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6"/>
  </bookViews>
  <sheets>
    <sheet name="TRIM 1" sheetId="1" r:id="rId1"/>
    <sheet name="TRIM 2" sheetId="2" r:id="rId2"/>
    <sheet name="TRIM 3" sheetId="3" r:id="rId3"/>
    <sheet name="M-BUDGET" sheetId="4" state="hidden" r:id="rId4"/>
    <sheet name="TRIM 4" sheetId="5" r:id="rId5"/>
    <sheet name="S-ACTUALS" sheetId="6" r:id="rId6"/>
    <sheet name="S-BUDGET" sheetId="7" r:id="rId7"/>
    <sheet name="UFF AREA (2)" sheetId="8" state="hidden" r:id="rId8"/>
    <sheet name="2022 BUDGET" sheetId="9" r:id="rId9"/>
  </sheets>
  <definedNames>
    <definedName name="_xlnm.Print_Area" localSheetId="8">'2022 BUDGET'!$A$1:$P$107</definedName>
    <definedName name="_xlnm.Print_Area" localSheetId="3">'M-BUDGET'!$A$1:$N$99</definedName>
    <definedName name="_xlnm.Print_Area" localSheetId="0">'TRIM 1'!$A$1:$P$114</definedName>
    <definedName name="_xlnm.Print_Area" localSheetId="1">'TRIM 2'!$A$1:$P$114</definedName>
    <definedName name="_xlnm.Print_Area" localSheetId="2">'TRIM 3'!$A$1:$P$115</definedName>
    <definedName name="_xlnm.Print_Area" localSheetId="4">'TRIM 4'!$A$1:$P$114</definedName>
    <definedName name="_xlnm.Print_Area" localSheetId="7">'UFF AREA (2)'!$A$1:$N$105</definedName>
    <definedName name="_xlnm.Print_Titles" localSheetId="0">'TRIM 1'!$1:$2</definedName>
    <definedName name="_xlnm.Print_Titles" localSheetId="1">'TRIM 2'!$1:$7</definedName>
    <definedName name="_xlnm.Print_Titles" localSheetId="2">'TRIM 3'!$1:$7</definedName>
    <definedName name="_xlnm.Print_Titles" localSheetId="4">'TRIM 4'!$1:$7</definedName>
  </definedNames>
  <calcPr fullCalcOnLoad="1"/>
</workbook>
</file>

<file path=xl/sharedStrings.xml><?xml version="1.0" encoding="utf-8"?>
<sst xmlns="http://schemas.openxmlformats.org/spreadsheetml/2006/main" count="620" uniqueCount="224">
  <si>
    <t>SUORE FRANCESCANE DEI POVERI</t>
  </si>
  <si>
    <t>ANNO 2012</t>
  </si>
  <si>
    <t>SPESE CASA</t>
  </si>
  <si>
    <t>LISTA   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</si>
  <si>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</si>
  <si>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</si>
  <si>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</si>
  <si>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</si>
  <si>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</si>
  <si>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</si>
  <si>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</si>
  <si>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</si>
  <si>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</si>
  <si>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</si>
  <si>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</si>
  <si>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</si>
  <si>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</si>
  <si>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AMMINISTRAZIONE</t>
  </si>
  <si>
    <t>UTILITA'</t>
  </si>
  <si>
    <t>TELEFONO</t>
  </si>
  <si>
    <t>VITTO</t>
  </si>
  <si>
    <t>INFERMERIA</t>
  </si>
  <si>
    <t>MACCHINA</t>
  </si>
  <si>
    <t>TRASPORTO COMUNITA'</t>
  </si>
  <si>
    <t>CAPPELLA</t>
  </si>
  <si>
    <t>FORMAZIONE</t>
  </si>
  <si>
    <t>OCC.SPECIALI/ VARIE</t>
  </si>
  <si>
    <t>ABBONAMENTI</t>
  </si>
  <si>
    <t>RIMBORSI</t>
  </si>
  <si>
    <t>RICHIESTE PERSONALI</t>
  </si>
  <si>
    <t>LISTA   II</t>
  </si>
  <si>
    <t>TOTALE SPESE</t>
  </si>
  <si>
    <t>ENTRATE</t>
  </si>
  <si>
    <t>LISTA   III</t>
  </si>
  <si>
    <t>OFFERTE</t>
  </si>
  <si>
    <t>TOTALE OFFERTE</t>
  </si>
  <si>
    <t>LAVORO (Working)</t>
  </si>
  <si>
    <t>TOTALE LAVORO</t>
  </si>
  <si>
    <t>PENSIONE</t>
  </si>
  <si>
    <t>TOTALE INPS</t>
  </si>
  <si>
    <t>TOTALE USA (CHARITABLE TRUST)</t>
  </si>
  <si>
    <t>TOTALE PENSIONE</t>
  </si>
  <si>
    <t>TOTALE ENTRATE</t>
  </si>
  <si>
    <t>NET INCOME (LOSS)</t>
  </si>
  <si>
    <t>SCHEDA RIASSUNTIVA (Suumary Sheet)</t>
  </si>
  <si>
    <t>DIFFERENZA DA CHIEDERE</t>
  </si>
  <si>
    <t>DIFFERENCE</t>
  </si>
  <si>
    <t>TOTALE FONDO DI CARITA</t>
  </si>
  <si>
    <t>TOTALE STIPENDI</t>
  </si>
  <si>
    <t>BUDGET</t>
  </si>
  <si>
    <t>DIFF.</t>
  </si>
  <si>
    <t>DONAZIONE</t>
  </si>
  <si>
    <t>RIPARAZIONI</t>
  </si>
  <si>
    <t>SALARI</t>
  </si>
  <si>
    <t>LEGAL</t>
  </si>
  <si>
    <t>FUNERALI</t>
  </si>
  <si>
    <t>TRASPORTO INTERNAZIONALE</t>
  </si>
  <si>
    <t>ASSEMBLEE/INCONTRI</t>
  </si>
  <si>
    <t>AFFITTO</t>
  </si>
  <si>
    <t>COMITATI</t>
  </si>
  <si>
    <t>COMUNICAZIONI</t>
  </si>
  <si>
    <t>ATTREZZATURE DI BASE</t>
  </si>
  <si>
    <t xml:space="preserve"> sr Francesca Maria Tramonte </t>
  </si>
  <si>
    <t xml:space="preserve"> sr Gabriella D'Agostino </t>
  </si>
  <si>
    <t xml:space="preserve"> sr Silvana De Vita </t>
  </si>
  <si>
    <t xml:space="preserve"> sr Laura Viti </t>
  </si>
  <si>
    <t xml:space="preserve"> sr Anna Ingoglia</t>
  </si>
  <si>
    <t xml:space="preserve"> sr Paola Zaccaria </t>
  </si>
  <si>
    <t xml:space="preserve"> sr Giannica Selmo </t>
  </si>
  <si>
    <t>AFFITTO PROPRIETA' ( Bertini)-RENT</t>
  </si>
  <si>
    <t>INTERESSI BANCARI (INTEREST)</t>
  </si>
  <si>
    <t>sr Laura Viti (F.C.)</t>
  </si>
  <si>
    <t>sr. Giannica Selmo</t>
  </si>
  <si>
    <t>sr. Silvana De Vita</t>
  </si>
  <si>
    <t>sr. Francesca M. T (INPS)</t>
  </si>
  <si>
    <t>sr. Francesca M. T (USA)</t>
  </si>
  <si>
    <t>sr. Maria Atorino (USA)</t>
  </si>
  <si>
    <t>sr. Letizia Nigro (USA)</t>
  </si>
  <si>
    <t>UFFICIO AREA ITALIANA</t>
  </si>
  <si>
    <t>Largo Berchet, 2 - ROMA</t>
  </si>
  <si>
    <t>FRANCISCAN SISTERS OF THE POOR</t>
  </si>
  <si>
    <t>DUMAGUETE, PHILIPPINES</t>
  </si>
  <si>
    <t>**</t>
  </si>
  <si>
    <t>HOUSEHOLD EXPENSES</t>
  </si>
  <si>
    <t>Rent</t>
  </si>
  <si>
    <t xml:space="preserve">Utilities </t>
  </si>
  <si>
    <t>Food</t>
  </si>
  <si>
    <t>Household</t>
  </si>
  <si>
    <t>Telephone</t>
  </si>
  <si>
    <t>Subscription</t>
  </si>
  <si>
    <t>Assemblies</t>
  </si>
  <si>
    <t>Donations/Spiritual</t>
  </si>
  <si>
    <t>Mass Stipend</t>
  </si>
  <si>
    <t>Computer Expenses</t>
  </si>
  <si>
    <t>Public Transport</t>
  </si>
  <si>
    <t>Driver/Gardener</t>
  </si>
  <si>
    <t>Security Guard</t>
  </si>
  <si>
    <t>Household Helpers</t>
  </si>
  <si>
    <t>Appliances/Furnishings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</si>
  <si>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</si>
  <si>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</si>
  <si>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</si>
  <si>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</si>
  <si>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</si>
  <si>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</si>
  <si>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</si>
  <si>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</si>
  <si>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</si>
  <si>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</si>
  <si>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</si>
  <si>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</si>
  <si>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JANUARY</t>
  </si>
  <si>
    <t>FEBRUARY</t>
  </si>
  <si>
    <t>MARCH</t>
  </si>
  <si>
    <t>1ST QUARTER</t>
  </si>
  <si>
    <t>YEAR-TO-DATE</t>
  </si>
  <si>
    <t>Sr. Arminda Sison</t>
  </si>
  <si>
    <t>Sr. Maria Atorino</t>
  </si>
  <si>
    <t>Sr. Cristina DiNocco</t>
  </si>
  <si>
    <t>TOTAL</t>
  </si>
  <si>
    <t>TOTAL EXPENSES</t>
  </si>
  <si>
    <t>RENTAL INCOME</t>
  </si>
  <si>
    <t>BANK INTEREST</t>
  </si>
  <si>
    <t>DONATIONS</t>
  </si>
  <si>
    <t>TOTALE EXPENSE</t>
  </si>
  <si>
    <t>TOTAL OTHER INCOME</t>
  </si>
  <si>
    <t>ACTUALS</t>
  </si>
  <si>
    <t>APRIL</t>
  </si>
  <si>
    <t>JUNE</t>
  </si>
  <si>
    <t>2ND QUARTER</t>
  </si>
  <si>
    <t>INFORMATION:</t>
  </si>
  <si>
    <t>TOTAL EXPENSE</t>
  </si>
  <si>
    <t>TOTAL INCOME</t>
  </si>
  <si>
    <t>SUMMARY</t>
  </si>
  <si>
    <t>INCOME</t>
  </si>
  <si>
    <t>JULY</t>
  </si>
  <si>
    <t>AUGUST</t>
  </si>
  <si>
    <t>SEPTEMBER</t>
  </si>
  <si>
    <t>3RD QUARTER</t>
  </si>
  <si>
    <t xml:space="preserve"> 2013</t>
  </si>
  <si>
    <t>OCTOBER</t>
  </si>
  <si>
    <t>NOVEMBER</t>
  </si>
  <si>
    <t>DECEMBER</t>
  </si>
  <si>
    <t>4TH QUARTER</t>
  </si>
  <si>
    <t>QUARTERLY BUDGET SUMMARY</t>
  </si>
  <si>
    <t>EXPENSES</t>
  </si>
  <si>
    <t>YEAR</t>
  </si>
  <si>
    <t>SUMMARY OF ACTUAL ACTIVITY</t>
  </si>
  <si>
    <t>Salaries</t>
  </si>
  <si>
    <t>Auto Expense</t>
  </si>
  <si>
    <t>Legal</t>
  </si>
  <si>
    <t>MINISTRY EXPENSES</t>
  </si>
  <si>
    <t>USD$ TOTAL</t>
  </si>
  <si>
    <t>qtrly usd $$</t>
  </si>
  <si>
    <t>2015 BUDGET</t>
  </si>
  <si>
    <t>xxx</t>
  </si>
  <si>
    <t>xx</t>
  </si>
  <si>
    <t>2016 BUDGET</t>
  </si>
  <si>
    <t>Car Expenses</t>
  </si>
  <si>
    <t>Minor Equipment</t>
  </si>
  <si>
    <t>Utility</t>
  </si>
  <si>
    <t>Appliances</t>
  </si>
  <si>
    <t>Furnishings</t>
  </si>
  <si>
    <t>STAFF EXPENSES</t>
  </si>
  <si>
    <t xml:space="preserve">Supplies </t>
  </si>
  <si>
    <t>Suumary Sheet</t>
  </si>
  <si>
    <t>GENERAL EXPENSES</t>
  </si>
  <si>
    <t>General expenses</t>
  </si>
  <si>
    <t>Staff expenses</t>
  </si>
  <si>
    <t>Consultants</t>
  </si>
  <si>
    <t>Insurance</t>
  </si>
  <si>
    <t>Postage &amp; freight</t>
  </si>
  <si>
    <t>Fund raiser &amp; Advertising &amp; Events</t>
  </si>
  <si>
    <t>Transportation/Travel</t>
  </si>
  <si>
    <t>Meeting &amp; seminars</t>
  </si>
  <si>
    <t xml:space="preserve">Maintenance </t>
  </si>
  <si>
    <t>Contributions to people served</t>
  </si>
  <si>
    <t>Depreciation</t>
  </si>
  <si>
    <t>Formation for employees</t>
  </si>
  <si>
    <t>Bank expenses</t>
  </si>
  <si>
    <t>TOTAL GENERAL EXPENSES</t>
  </si>
  <si>
    <t>TOTAL STAFF EXPENSES</t>
  </si>
  <si>
    <t xml:space="preserve">STAFF EXPENSES </t>
  </si>
  <si>
    <t xml:space="preserve">TOTAL EXPENSES </t>
  </si>
  <si>
    <t>3TH QUARTER</t>
  </si>
  <si>
    <t>Employees Benefits</t>
  </si>
  <si>
    <t>Pension Contribution</t>
  </si>
  <si>
    <t>SFP mission orientation programs</t>
  </si>
  <si>
    <t>Rental Income</t>
  </si>
  <si>
    <t>Interest</t>
  </si>
  <si>
    <t>Benefactors</t>
  </si>
  <si>
    <t xml:space="preserve">Governmental Entities </t>
  </si>
  <si>
    <t>Ministry's Events</t>
  </si>
  <si>
    <t>Contributions from people served</t>
  </si>
  <si>
    <t>Sale of Ministry's products</t>
  </si>
  <si>
    <t>SCHEDULE OF AVAILABLE CASH</t>
  </si>
  <si>
    <t>CASH</t>
  </si>
  <si>
    <t>BANK</t>
  </si>
  <si>
    <t>BEGINNING BALANCE-MONTH</t>
  </si>
  <si>
    <t>INCOME DURING THE MONTH</t>
  </si>
  <si>
    <t>TRANSFERS</t>
  </si>
  <si>
    <t>SUBTOTAL</t>
  </si>
  <si>
    <t>EXPENSES DURING THE MONTH</t>
  </si>
  <si>
    <t>NET CASH</t>
  </si>
  <si>
    <t>OTHER INCOME</t>
  </si>
  <si>
    <t>MINISTRY INCOME</t>
  </si>
  <si>
    <t>Previous Year balance 12/31/..</t>
  </si>
  <si>
    <t>FOUNDATION GRANT</t>
  </si>
  <si>
    <t xml:space="preserve">CONGREG. ST.ELIZABETH MINISTRY FUND </t>
  </si>
  <si>
    <t>Computer Costs</t>
  </si>
  <si>
    <t>Brochure &amp; Printing</t>
  </si>
  <si>
    <t>Due To/From Other Ministries</t>
  </si>
  <si>
    <t>Bureau of Workers Compensation</t>
  </si>
  <si>
    <t>PEDDLER FUNDS</t>
  </si>
  <si>
    <t>TOTAL  PEDDLER &amp; FOUNDATION &amp; ST.ELIZABETH MINISTRY FUNDS</t>
  </si>
  <si>
    <t>Outside Grants</t>
  </si>
  <si>
    <t>Contributions Individuals</t>
  </si>
  <si>
    <t>Contributions Businesses</t>
  </si>
  <si>
    <t>PEDDLER &amp; FOUNDATION &amp; ST.ELIZABETH INCOME</t>
  </si>
  <si>
    <t xml:space="preserve"> Previous Year balance 12/31/..</t>
  </si>
  <si>
    <t>Properties  Taxes</t>
  </si>
  <si>
    <t>Payroll taxes</t>
  </si>
  <si>
    <t>Previous Year balance 12/31/20xx</t>
  </si>
  <si>
    <t>NAME OF THE MINISTRY -  HAIRCUTS FROM THE HEART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</si>
</sst>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€]\ #,##0;[Red]\-[$€]\ #,##0"/>
    <numFmt numFmtId="181" formatCode="_(* #,##0.0000_);_(* \(#,##0.0000\);_(* &quot;-&quot;????_);_(@_)"/>
    <numFmt numFmtId="182" formatCode="_(* #,##0.000000_);_(* \(#,##0.000000\);_(* &quot;-&quot;??????_);_(@_)"/>
    <numFmt numFmtId="183" formatCode="_(* #,##0.0_);_(* \(#,##0.0\);_(* &quot;-&quot;??_);_(@_)"/>
    <numFmt numFmtId="184" formatCode="_(* #,##0_);_(* \(#,##0\);_(* &quot;-&quot;??_);_(@_)"/>
    <numFmt numFmtId="185" formatCode="&quot;Sì&quot;;&quot;Sì&quot;;&quot;No&quot;"/>
    <numFmt numFmtId="186" formatCode="&quot;Vero&quot;;&quot;Vero&quot;;&quot;Falso&quot;"/>
    <numFmt numFmtId="187" formatCode="&quot;Attivo&quot;;&quot;Attivo&quot;;&quot;Inattivo&quot;"/>
    <numFmt numFmtId="188" formatCode="[$€-2]\ #.##000_);[Red]\([$€-2]\ #.##000\)"/>
    <numFmt numFmtId="189" formatCode="_(* #,##0.000_);_(* \(#,##0.000\);_(* &quot;-&quot;??_);_(@_)"/>
    <numFmt numFmtId="190" formatCode="_(* #,##0.0000_);_(* \(#,##0.0000\);_(* &quot;-&quot;??_);_(@_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9">
    <font>
      <sz val="10"/>
      <name val="MS Sans Serif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i/>
      <sz val="10"/>
      <name val="Arial"/>
      <family val="2"/>
    </font>
    <font>
      <sz val="10"/>
      <color indexed="60"/>
      <name val="Times New Roman"/>
      <family val="1"/>
    </font>
    <font>
      <b/>
      <sz val="10"/>
      <name val="MS Sans Serif"/>
      <family val="2"/>
    </font>
    <font>
      <b/>
      <sz val="10"/>
      <color indexed="10"/>
      <name val="MS Sans Serif"/>
      <family val="2"/>
    </font>
    <font>
      <b/>
      <sz val="9.5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MS Sans Serif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0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dashDotDot"/>
      <bottom style="dashDotDot"/>
    </border>
    <border>
      <left style="hair"/>
      <right style="hair"/>
      <top style="dashDot"/>
      <bottom style="medium"/>
    </border>
    <border>
      <left style="hair"/>
      <right style="hair"/>
      <top style="medium"/>
      <bottom/>
    </border>
    <border>
      <left style="hair"/>
      <right/>
      <top style="dashDot"/>
      <bottom style="medium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/>
      <right/>
      <top style="thin"/>
      <bottom/>
    </border>
    <border>
      <left style="thin"/>
      <right style="hair"/>
      <top style="hair"/>
      <bottom style="dashed"/>
    </border>
    <border>
      <left/>
      <right style="hair"/>
      <top style="hair"/>
      <bottom style="dashed"/>
    </border>
    <border>
      <left style="hair"/>
      <right style="hair"/>
      <top style="double"/>
      <bottom style="hair"/>
    </border>
    <border>
      <left style="hair"/>
      <right style="hair"/>
      <top style="thin"/>
      <bottom style="double"/>
    </border>
    <border>
      <left style="hair"/>
      <right/>
      <top style="thin"/>
      <bottom style="double"/>
    </border>
    <border>
      <left style="hair"/>
      <right/>
      <top style="hair"/>
      <bottom style="hair"/>
    </border>
    <border>
      <left style="hair"/>
      <right/>
      <top style="medium"/>
      <bottom style="medium"/>
    </border>
    <border>
      <left/>
      <right style="hair"/>
      <top style="medium"/>
      <bottom style="hair"/>
    </border>
    <border>
      <left style="hair"/>
      <right/>
      <top/>
      <bottom style="hair"/>
    </border>
    <border>
      <left style="hair"/>
      <right style="hair"/>
      <top style="medium"/>
      <bottom style="medium"/>
    </border>
    <border>
      <left/>
      <right/>
      <top style="thick"/>
      <bottom style="double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hair"/>
      <right style="hair"/>
      <top/>
      <bottom style="thin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medium"/>
      <right/>
      <top style="medium"/>
      <bottom style="medium"/>
    </border>
    <border>
      <left/>
      <right/>
      <top style="dashDot"/>
      <bottom style="medium"/>
    </border>
    <border>
      <left style="dashed"/>
      <right style="dashed"/>
      <top style="dashed"/>
      <bottom style="dashed"/>
    </border>
    <border>
      <left/>
      <right/>
      <top style="hair"/>
      <bottom style="hair"/>
    </border>
    <border>
      <left/>
      <right/>
      <top style="hair"/>
      <bottom/>
    </border>
    <border>
      <left style="hair"/>
      <right/>
      <top/>
      <bottom style="medium"/>
    </border>
    <border>
      <left style="medium"/>
      <right/>
      <top/>
      <bottom style="medium"/>
    </border>
    <border>
      <left/>
      <right/>
      <top/>
      <bottom style="hair"/>
    </border>
    <border>
      <left/>
      <right/>
      <top/>
      <bottom style="medium"/>
    </border>
    <border>
      <left style="hair"/>
      <right style="hair"/>
      <top/>
      <bottom style="medium"/>
    </border>
    <border>
      <left style="hair"/>
      <right/>
      <top style="thin"/>
      <bottom style="thin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 style="thick"/>
      <right style="hair"/>
      <top style="thick"/>
      <bottom style="hair"/>
    </border>
    <border>
      <left/>
      <right/>
      <top style="thick"/>
      <bottom style="hair"/>
    </border>
    <border>
      <left/>
      <right style="thick"/>
      <top style="thick"/>
      <bottom style="hair"/>
    </border>
    <border>
      <left/>
      <right style="hair"/>
      <top style="thick"/>
      <bottom style="hair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/>
      <top style="hair"/>
      <bottom style="hair"/>
    </border>
    <border>
      <left/>
      <right style="thick"/>
      <top style="hair"/>
      <bottom style="hair"/>
    </border>
    <border>
      <left style="thick"/>
      <right/>
      <top/>
      <bottom/>
    </border>
    <border>
      <left/>
      <right style="thick"/>
      <top/>
      <bottom/>
    </border>
    <border>
      <left style="medium"/>
      <right/>
      <top style="thin"/>
      <bottom style="thin"/>
    </border>
    <border>
      <left style="thick"/>
      <right style="hair"/>
      <top style="hair"/>
      <bottom style="hair"/>
    </border>
    <border>
      <left style="thick"/>
      <right/>
      <top style="thin"/>
      <bottom style="thin"/>
    </border>
    <border>
      <left/>
      <right style="thick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/>
      <right style="dashed"/>
      <top style="hair"/>
      <bottom/>
    </border>
    <border>
      <left/>
      <right style="dashed"/>
      <top/>
      <bottom/>
    </border>
    <border>
      <left style="thick"/>
      <right/>
      <top style="thick"/>
      <bottom style="double"/>
    </border>
    <border>
      <left/>
      <right style="thick"/>
      <top style="thin"/>
      <bottom style="thin"/>
    </border>
    <border>
      <left style="thick"/>
      <right style="thin"/>
      <top style="thin"/>
      <bottom style="thin"/>
    </border>
    <border>
      <left/>
      <right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/>
      <bottom/>
    </border>
    <border>
      <left style="hair"/>
      <right style="thick"/>
      <top style="hair"/>
      <bottom style="hair"/>
    </border>
    <border>
      <left style="thick"/>
      <right/>
      <top style="medium"/>
      <bottom style="medium"/>
    </border>
    <border>
      <left style="hair"/>
      <right style="double"/>
      <top style="hair"/>
      <bottom style="hair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/>
      <top/>
      <bottom style="thin"/>
    </border>
    <border>
      <left/>
      <right style="dashed"/>
      <top style="dashed"/>
      <bottom style="dashed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/>
      <bottom/>
    </border>
    <border>
      <left/>
      <right style="dashed"/>
      <top style="dashed"/>
      <bottom>
        <color indexed="63"/>
      </bottom>
    </border>
    <border>
      <left style="thin"/>
      <right style="dashed"/>
      <top style="thin"/>
      <bottom style="thin"/>
    </border>
    <border>
      <left/>
      <right style="dashed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37">
    <xf numFmtId="0" fontId="0" fillId="0" borderId="0" xfId="0" applyAlignment="1">
      <alignment/>
    </xf>
    <xf numFmtId="43" fontId="2" fillId="0" borderId="0" xfId="0" applyNumberFormat="1" applyFont="1" applyAlignment="1" applyProtection="1">
      <alignment/>
      <protection locked="0"/>
    </xf>
    <xf numFmtId="43" fontId="3" fillId="0" borderId="10" xfId="43" applyNumberFormat="1" applyFont="1" applyFill="1" applyBorder="1" applyAlignment="1" applyProtection="1">
      <alignment/>
      <protection/>
    </xf>
    <xf numFmtId="43" fontId="2" fillId="0" borderId="0" xfId="0" applyNumberFormat="1" applyFont="1" applyAlignment="1" applyProtection="1">
      <alignment/>
      <protection/>
    </xf>
    <xf numFmtId="43" fontId="6" fillId="0" borderId="11" xfId="43" applyNumberFormat="1" applyFont="1" applyFill="1" applyBorder="1" applyAlignment="1" applyProtection="1">
      <alignment/>
      <protection/>
    </xf>
    <xf numFmtId="43" fontId="3" fillId="0" borderId="11" xfId="43" applyNumberFormat="1" applyFont="1" applyFill="1" applyBorder="1" applyAlignment="1" applyProtection="1">
      <alignment/>
      <protection/>
    </xf>
    <xf numFmtId="43" fontId="2" fillId="0" borderId="11" xfId="43" applyNumberFormat="1" applyFont="1" applyFill="1" applyBorder="1" applyAlignment="1" applyProtection="1">
      <alignment/>
      <protection/>
    </xf>
    <xf numFmtId="43" fontId="4" fillId="0" borderId="12" xfId="43" applyNumberFormat="1" applyFont="1" applyBorder="1" applyAlignment="1" applyProtection="1">
      <alignment/>
      <protection/>
    </xf>
    <xf numFmtId="43" fontId="3" fillId="0" borderId="12" xfId="43" applyNumberFormat="1" applyFont="1" applyBorder="1" applyAlignment="1" applyProtection="1">
      <alignment/>
      <protection/>
    </xf>
    <xf numFmtId="43" fontId="3" fillId="0" borderId="13" xfId="0" applyNumberFormat="1" applyFont="1" applyBorder="1" applyAlignment="1" applyProtection="1">
      <alignment/>
      <protection/>
    </xf>
    <xf numFmtId="43" fontId="3" fillId="33" borderId="10" xfId="0" applyNumberFormat="1" applyFont="1" applyFill="1" applyBorder="1" applyAlignment="1" applyProtection="1">
      <alignment/>
      <protection/>
    </xf>
    <xf numFmtId="43" fontId="3" fillId="33" borderId="0" xfId="0" applyNumberFormat="1" applyFont="1" applyFill="1" applyBorder="1" applyAlignment="1" applyProtection="1">
      <alignment/>
      <protection/>
    </xf>
    <xf numFmtId="43" fontId="2" fillId="0" borderId="14" xfId="0" applyNumberFormat="1" applyFont="1" applyFill="1" applyBorder="1" applyAlignment="1" applyProtection="1">
      <alignment/>
      <protection/>
    </xf>
    <xf numFmtId="43" fontId="2" fillId="0" borderId="15" xfId="0" applyNumberFormat="1" applyFont="1" applyFill="1" applyBorder="1" applyAlignment="1" applyProtection="1">
      <alignment/>
      <protection/>
    </xf>
    <xf numFmtId="43" fontId="2" fillId="0" borderId="16" xfId="0" applyNumberFormat="1" applyFont="1" applyFill="1" applyBorder="1" applyAlignment="1" applyProtection="1">
      <alignment/>
      <protection/>
    </xf>
    <xf numFmtId="3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3" fontId="8" fillId="0" borderId="0" xfId="0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 horizontal="right"/>
      <protection/>
    </xf>
    <xf numFmtId="3" fontId="8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3" fontId="7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/>
      <protection/>
    </xf>
    <xf numFmtId="4" fontId="8" fillId="0" borderId="16" xfId="0" applyNumberFormat="1" applyFont="1" applyBorder="1" applyAlignment="1" applyProtection="1">
      <alignment horizontal="center"/>
      <protection/>
    </xf>
    <xf numFmtId="3" fontId="8" fillId="0" borderId="17" xfId="0" applyNumberFormat="1" applyFont="1" applyBorder="1" applyAlignment="1" applyProtection="1">
      <alignment/>
      <protection/>
    </xf>
    <xf numFmtId="43" fontId="7" fillId="0" borderId="16" xfId="0" applyNumberFormat="1" applyFont="1" applyBorder="1" applyAlignment="1" applyProtection="1">
      <alignment horizontal="right"/>
      <protection/>
    </xf>
    <xf numFmtId="43" fontId="7" fillId="0" borderId="18" xfId="0" applyNumberFormat="1" applyFont="1" applyBorder="1" applyAlignment="1" applyProtection="1">
      <alignment horizontal="right"/>
      <protection/>
    </xf>
    <xf numFmtId="3" fontId="8" fillId="0" borderId="19" xfId="0" applyNumberFormat="1" applyFont="1" applyBorder="1" applyAlignment="1" applyProtection="1">
      <alignment/>
      <protection/>
    </xf>
    <xf numFmtId="43" fontId="8" fillId="0" borderId="20" xfId="0" applyNumberFormat="1" applyFont="1" applyBorder="1" applyAlignment="1" applyProtection="1">
      <alignment/>
      <protection/>
    </xf>
    <xf numFmtId="0" fontId="11" fillId="0" borderId="21" xfId="0" applyFont="1" applyBorder="1" applyAlignment="1" applyProtection="1">
      <alignment/>
      <protection/>
    </xf>
    <xf numFmtId="43" fontId="11" fillId="0" borderId="21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43" fontId="7" fillId="0" borderId="0" xfId="0" applyNumberFormat="1" applyFont="1" applyAlignment="1" applyProtection="1">
      <alignment/>
      <protection/>
    </xf>
    <xf numFmtId="43" fontId="8" fillId="0" borderId="0" xfId="0" applyNumberFormat="1" applyFont="1" applyBorder="1" applyAlignment="1" applyProtection="1">
      <alignment horizontal="center"/>
      <protection/>
    </xf>
    <xf numFmtId="43" fontId="8" fillId="0" borderId="16" xfId="0" applyNumberFormat="1" applyFont="1" applyBorder="1" applyAlignment="1" applyProtection="1">
      <alignment horizontal="center"/>
      <protection/>
    </xf>
    <xf numFmtId="3" fontId="8" fillId="0" borderId="22" xfId="0" applyNumberFormat="1" applyFont="1" applyFill="1" applyBorder="1" applyAlignment="1" applyProtection="1">
      <alignment/>
      <protection/>
    </xf>
    <xf numFmtId="43" fontId="7" fillId="0" borderId="23" xfId="0" applyNumberFormat="1" applyFont="1" applyFill="1" applyBorder="1" applyAlignment="1" applyProtection="1">
      <alignment/>
      <protection/>
    </xf>
    <xf numFmtId="0" fontId="8" fillId="0" borderId="19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 horizontal="left"/>
      <protection/>
    </xf>
    <xf numFmtId="43" fontId="7" fillId="0" borderId="16" xfId="0" applyNumberFormat="1" applyFont="1" applyBorder="1" applyAlignment="1" applyProtection="1">
      <alignment/>
      <protection/>
    </xf>
    <xf numFmtId="3" fontId="7" fillId="0" borderId="16" xfId="0" applyNumberFormat="1" applyFont="1" applyBorder="1" applyAlignment="1" applyProtection="1" quotePrefix="1">
      <alignment horizontal="left"/>
      <protection/>
    </xf>
    <xf numFmtId="3" fontId="8" fillId="0" borderId="24" xfId="0" applyNumberFormat="1" applyFont="1" applyBorder="1" applyAlignment="1" applyProtection="1">
      <alignment horizontal="left"/>
      <protection/>
    </xf>
    <xf numFmtId="43" fontId="8" fillId="0" borderId="24" xfId="0" applyNumberFormat="1" applyFont="1" applyBorder="1" applyAlignment="1" applyProtection="1">
      <alignment/>
      <protection/>
    </xf>
    <xf numFmtId="43" fontId="3" fillId="0" borderId="0" xfId="0" applyNumberFormat="1" applyFont="1" applyAlignment="1" applyProtection="1" quotePrefix="1">
      <alignment horizontal="right"/>
      <protection/>
    </xf>
    <xf numFmtId="3" fontId="3" fillId="0" borderId="0" xfId="0" applyNumberFormat="1" applyFont="1" applyAlignment="1" applyProtection="1">
      <alignment horizontal="left"/>
      <protection/>
    </xf>
    <xf numFmtId="3" fontId="2" fillId="0" borderId="0" xfId="0" applyNumberFormat="1" applyFont="1" applyAlignment="1" applyProtection="1">
      <alignment/>
      <protection/>
    </xf>
    <xf numFmtId="43" fontId="4" fillId="0" borderId="0" xfId="0" applyNumberFormat="1" applyFont="1" applyAlignment="1" applyProtection="1" quotePrefix="1">
      <alignment horizontal="left"/>
      <protection/>
    </xf>
    <xf numFmtId="43" fontId="2" fillId="0" borderId="0" xfId="0" applyNumberFormat="1" applyFont="1" applyAlignment="1" applyProtection="1" quotePrefix="1">
      <alignment horizontal="right"/>
      <protection/>
    </xf>
    <xf numFmtId="43" fontId="2" fillId="0" borderId="16" xfId="0" applyNumberFormat="1" applyFont="1" applyBorder="1" applyAlignment="1" applyProtection="1">
      <alignment/>
      <protection/>
    </xf>
    <xf numFmtId="43" fontId="2" fillId="0" borderId="16" xfId="0" applyNumberFormat="1" applyFont="1" applyBorder="1" applyAlignment="1" applyProtection="1">
      <alignment horizontal="centerContinuous"/>
      <protection/>
    </xf>
    <xf numFmtId="43" fontId="3" fillId="0" borderId="20" xfId="42" applyNumberFormat="1" applyFont="1" applyBorder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Border="1" applyAlignment="1" applyProtection="1">
      <alignment/>
      <protection/>
    </xf>
    <xf numFmtId="43" fontId="3" fillId="0" borderId="20" xfId="42" applyNumberFormat="1" applyFont="1" applyBorder="1" applyAlignment="1" applyProtection="1">
      <alignment/>
      <protection/>
    </xf>
    <xf numFmtId="43" fontId="3" fillId="0" borderId="25" xfId="0" applyNumberFormat="1" applyFont="1" applyBorder="1" applyAlignment="1" applyProtection="1">
      <alignment horizontal="left"/>
      <protection/>
    </xf>
    <xf numFmtId="43" fontId="3" fillId="0" borderId="26" xfId="0" applyNumberFormat="1" applyFont="1" applyBorder="1" applyAlignment="1" applyProtection="1">
      <alignment/>
      <protection/>
    </xf>
    <xf numFmtId="43" fontId="3" fillId="0" borderId="0" xfId="0" applyNumberFormat="1" applyFont="1" applyAlignment="1" applyProtection="1">
      <alignment horizontal="right"/>
      <protection/>
    </xf>
    <xf numFmtId="43" fontId="3" fillId="0" borderId="0" xfId="0" applyNumberFormat="1" applyFont="1" applyAlignment="1" applyProtection="1" quotePrefix="1">
      <alignment horizontal="left"/>
      <protection/>
    </xf>
    <xf numFmtId="43" fontId="2" fillId="0" borderId="27" xfId="0" applyNumberFormat="1" applyFont="1" applyBorder="1" applyAlignment="1" applyProtection="1">
      <alignment horizontal="centerContinuous"/>
      <protection/>
    </xf>
    <xf numFmtId="43" fontId="2" fillId="0" borderId="27" xfId="0" applyNumberFormat="1" applyFont="1" applyBorder="1" applyAlignment="1" applyProtection="1">
      <alignment/>
      <protection/>
    </xf>
    <xf numFmtId="43" fontId="3" fillId="0" borderId="28" xfId="0" applyNumberFormat="1" applyFont="1" applyBorder="1" applyAlignment="1" applyProtection="1">
      <alignment/>
      <protection/>
    </xf>
    <xf numFmtId="43" fontId="2" fillId="0" borderId="29" xfId="0" applyNumberFormat="1" applyFont="1" applyBorder="1" applyAlignment="1" applyProtection="1">
      <alignment/>
      <protection/>
    </xf>
    <xf numFmtId="43" fontId="2" fillId="0" borderId="15" xfId="0" applyNumberFormat="1" applyFont="1" applyBorder="1" applyAlignment="1" applyProtection="1">
      <alignment/>
      <protection/>
    </xf>
    <xf numFmtId="43" fontId="2" fillId="0" borderId="30" xfId="0" applyNumberFormat="1" applyFont="1" applyBorder="1" applyAlignment="1" applyProtection="1">
      <alignment/>
      <protection/>
    </xf>
    <xf numFmtId="43" fontId="4" fillId="0" borderId="31" xfId="0" applyNumberFormat="1" applyFont="1" applyBorder="1" applyAlignment="1" applyProtection="1">
      <alignment/>
      <protection/>
    </xf>
    <xf numFmtId="43" fontId="3" fillId="0" borderId="31" xfId="0" applyNumberFormat="1" applyFont="1" applyBorder="1" applyAlignment="1" applyProtection="1">
      <alignment/>
      <protection/>
    </xf>
    <xf numFmtId="43" fontId="3" fillId="0" borderId="25" xfId="43" applyNumberFormat="1" applyFont="1" applyBorder="1" applyAlignment="1" applyProtection="1">
      <alignment horizontal="left"/>
      <protection/>
    </xf>
    <xf numFmtId="43" fontId="3" fillId="0" borderId="25" xfId="43" applyNumberFormat="1" applyFont="1" applyBorder="1" applyAlignment="1" applyProtection="1">
      <alignment/>
      <protection/>
    </xf>
    <xf numFmtId="43" fontId="3" fillId="34" borderId="32" xfId="0" applyNumberFormat="1" applyFont="1" applyFill="1" applyBorder="1" applyAlignment="1" applyProtection="1">
      <alignment/>
      <protection/>
    </xf>
    <xf numFmtId="43" fontId="2" fillId="0" borderId="33" xfId="0" applyNumberFormat="1" applyFont="1" applyBorder="1" applyAlignment="1" applyProtection="1">
      <alignment horizontal="centerContinuous"/>
      <protection/>
    </xf>
    <xf numFmtId="43" fontId="2" fillId="0" borderId="0" xfId="0" applyNumberFormat="1" applyFont="1" applyBorder="1" applyAlignment="1" applyProtection="1" quotePrefix="1">
      <alignment horizontal="left"/>
      <protection/>
    </xf>
    <xf numFmtId="43" fontId="2" fillId="0" borderId="21" xfId="0" applyNumberFormat="1" applyFont="1" applyBorder="1" applyAlignment="1" applyProtection="1">
      <alignment horizontal="right"/>
      <protection/>
    </xf>
    <xf numFmtId="43" fontId="2" fillId="0" borderId="34" xfId="0" applyNumberFormat="1" applyFont="1" applyBorder="1" applyAlignment="1" applyProtection="1">
      <alignment horizontal="left"/>
      <protection/>
    </xf>
    <xf numFmtId="43" fontId="2" fillId="0" borderId="34" xfId="0" applyNumberFormat="1" applyFont="1" applyBorder="1" applyAlignment="1" applyProtection="1">
      <alignment/>
      <protection/>
    </xf>
    <xf numFmtId="43" fontId="2" fillId="0" borderId="20" xfId="0" applyNumberFormat="1" applyFont="1" applyBorder="1" applyAlignment="1" applyProtection="1">
      <alignment horizontal="left"/>
      <protection/>
    </xf>
    <xf numFmtId="43" fontId="2" fillId="0" borderId="20" xfId="0" applyNumberFormat="1" applyFont="1" applyBorder="1" applyAlignment="1" applyProtection="1">
      <alignment/>
      <protection/>
    </xf>
    <xf numFmtId="43" fontId="2" fillId="0" borderId="35" xfId="0" applyNumberFormat="1" applyFont="1" applyBorder="1" applyAlignment="1" applyProtection="1" quotePrefix="1">
      <alignment horizontal="left"/>
      <protection/>
    </xf>
    <xf numFmtId="43" fontId="2" fillId="0" borderId="35" xfId="0" applyNumberFormat="1" applyFont="1" applyBorder="1" applyAlignment="1" applyProtection="1">
      <alignment/>
      <protection/>
    </xf>
    <xf numFmtId="43" fontId="3" fillId="34" borderId="25" xfId="0" applyNumberFormat="1" applyFont="1" applyFill="1" applyBorder="1" applyAlignment="1" applyProtection="1">
      <alignment horizontal="left"/>
      <protection/>
    </xf>
    <xf numFmtId="43" fontId="3" fillId="34" borderId="25" xfId="0" applyNumberFormat="1" applyFont="1" applyFill="1" applyBorder="1" applyAlignment="1" applyProtection="1">
      <alignment/>
      <protection/>
    </xf>
    <xf numFmtId="43" fontId="2" fillId="0" borderId="0" xfId="0" applyNumberFormat="1" applyFont="1" applyBorder="1" applyAlignment="1" applyProtection="1">
      <alignment/>
      <protection/>
    </xf>
    <xf numFmtId="43" fontId="7" fillId="0" borderId="36" xfId="0" applyNumberFormat="1" applyFont="1" applyBorder="1" applyAlignment="1" applyProtection="1">
      <alignment horizontal="right"/>
      <protection/>
    </xf>
    <xf numFmtId="3" fontId="8" fillId="0" borderId="21" xfId="0" applyNumberFormat="1" applyFont="1" applyBorder="1" applyAlignment="1" applyProtection="1">
      <alignment/>
      <protection/>
    </xf>
    <xf numFmtId="43" fontId="8" fillId="0" borderId="21" xfId="0" applyNumberFormat="1" applyFont="1" applyBorder="1" applyAlignment="1" applyProtection="1">
      <alignment/>
      <protection/>
    </xf>
    <xf numFmtId="43" fontId="2" fillId="0" borderId="0" xfId="0" applyNumberFormat="1" applyFont="1" applyFill="1" applyAlignment="1" applyProtection="1">
      <alignment/>
      <protection/>
    </xf>
    <xf numFmtId="43" fontId="3" fillId="0" borderId="0" xfId="0" applyNumberFormat="1" applyFont="1" applyFill="1" applyAlignment="1" applyProtection="1" quotePrefix="1">
      <alignment horizontal="right"/>
      <protection/>
    </xf>
    <xf numFmtId="3" fontId="3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/>
      <protection/>
    </xf>
    <xf numFmtId="43" fontId="4" fillId="0" borderId="0" xfId="0" applyNumberFormat="1" applyFont="1" applyFill="1" applyAlignment="1" applyProtection="1" quotePrefix="1">
      <alignment horizontal="left"/>
      <protection/>
    </xf>
    <xf numFmtId="43" fontId="2" fillId="0" borderId="0" xfId="0" applyNumberFormat="1" applyFont="1" applyFill="1" applyAlignment="1" applyProtection="1" quotePrefix="1">
      <alignment horizontal="right"/>
      <protection/>
    </xf>
    <xf numFmtId="43" fontId="2" fillId="0" borderId="16" xfId="0" applyNumberFormat="1" applyFont="1" applyFill="1" applyBorder="1" applyAlignment="1" applyProtection="1">
      <alignment horizontal="centerContinuous"/>
      <protection/>
    </xf>
    <xf numFmtId="43" fontId="2" fillId="0" borderId="16" xfId="42" applyNumberFormat="1" applyFont="1" applyFill="1" applyBorder="1" applyAlignment="1" applyProtection="1">
      <alignment/>
      <protection/>
    </xf>
    <xf numFmtId="43" fontId="2" fillId="0" borderId="16" xfId="0" applyNumberFormat="1" applyFont="1" applyFill="1" applyBorder="1" applyAlignment="1" applyProtection="1" quotePrefix="1">
      <alignment horizontal="left"/>
      <protection/>
    </xf>
    <xf numFmtId="43" fontId="2" fillId="0" borderId="37" xfId="0" applyNumberFormat="1" applyFont="1" applyFill="1" applyBorder="1" applyAlignment="1" applyProtection="1">
      <alignment/>
      <protection/>
    </xf>
    <xf numFmtId="43" fontId="2" fillId="0" borderId="37" xfId="42" applyNumberFormat="1" applyFont="1" applyFill="1" applyBorder="1" applyAlignment="1" applyProtection="1">
      <alignment/>
      <protection/>
    </xf>
    <xf numFmtId="43" fontId="3" fillId="0" borderId="20" xfId="0" applyNumberFormat="1" applyFont="1" applyFill="1" applyBorder="1" applyAlignment="1" applyProtection="1">
      <alignment horizontal="left"/>
      <protection/>
    </xf>
    <xf numFmtId="43" fontId="3" fillId="0" borderId="20" xfId="42" applyNumberFormat="1" applyFont="1" applyFill="1" applyBorder="1" applyAlignment="1" applyProtection="1">
      <alignment horizontal="right"/>
      <protection/>
    </xf>
    <xf numFmtId="43" fontId="4" fillId="0" borderId="0" xfId="0" applyNumberFormat="1" applyFont="1" applyFill="1" applyAlignment="1" applyProtection="1">
      <alignment/>
      <protection/>
    </xf>
    <xf numFmtId="43" fontId="3" fillId="0" borderId="0" xfId="0" applyNumberFormat="1" applyFont="1" applyFill="1" applyBorder="1" applyAlignment="1" applyProtection="1">
      <alignment/>
      <protection/>
    </xf>
    <xf numFmtId="43" fontId="3" fillId="0" borderId="20" xfId="42" applyNumberFormat="1" applyFont="1" applyFill="1" applyBorder="1" applyAlignment="1" applyProtection="1">
      <alignment/>
      <protection/>
    </xf>
    <xf numFmtId="43" fontId="3" fillId="0" borderId="25" xfId="0" applyNumberFormat="1" applyFont="1" applyFill="1" applyBorder="1" applyAlignment="1" applyProtection="1">
      <alignment horizontal="left"/>
      <protection/>
    </xf>
    <xf numFmtId="43" fontId="3" fillId="0" borderId="26" xfId="0" applyNumberFormat="1" applyFont="1" applyFill="1" applyBorder="1" applyAlignment="1" applyProtection="1">
      <alignment/>
      <protection/>
    </xf>
    <xf numFmtId="43" fontId="3" fillId="0" borderId="0" xfId="0" applyNumberFormat="1" applyFont="1" applyFill="1" applyAlignment="1" applyProtection="1">
      <alignment horizontal="right"/>
      <protection/>
    </xf>
    <xf numFmtId="43" fontId="3" fillId="0" borderId="0" xfId="0" applyNumberFormat="1" applyFont="1" applyFill="1" applyAlignment="1" applyProtection="1" quotePrefix="1">
      <alignment horizontal="left"/>
      <protection/>
    </xf>
    <xf numFmtId="43" fontId="2" fillId="0" borderId="27" xfId="0" applyNumberFormat="1" applyFont="1" applyFill="1" applyBorder="1" applyAlignment="1" applyProtection="1">
      <alignment horizontal="centerContinuous"/>
      <protection/>
    </xf>
    <xf numFmtId="43" fontId="3" fillId="0" borderId="16" xfId="0" applyNumberFormat="1" applyFont="1" applyFill="1" applyBorder="1" applyAlignment="1" applyProtection="1">
      <alignment/>
      <protection/>
    </xf>
    <xf numFmtId="43" fontId="2" fillId="0" borderId="27" xfId="0" applyNumberFormat="1" applyFont="1" applyFill="1" applyBorder="1" applyAlignment="1" applyProtection="1">
      <alignment/>
      <protection/>
    </xf>
    <xf numFmtId="43" fontId="2" fillId="0" borderId="38" xfId="0" applyNumberFormat="1" applyFont="1" applyFill="1" applyBorder="1" applyAlignment="1" applyProtection="1">
      <alignment/>
      <protection/>
    </xf>
    <xf numFmtId="43" fontId="6" fillId="0" borderId="0" xfId="0" applyNumberFormat="1" applyFont="1" applyFill="1" applyAlignment="1" applyProtection="1">
      <alignment/>
      <protection/>
    </xf>
    <xf numFmtId="43" fontId="4" fillId="0" borderId="39" xfId="0" applyNumberFormat="1" applyFont="1" applyFill="1" applyBorder="1" applyAlignment="1" applyProtection="1">
      <alignment/>
      <protection/>
    </xf>
    <xf numFmtId="43" fontId="3" fillId="0" borderId="28" xfId="0" applyNumberFormat="1" applyFont="1" applyFill="1" applyBorder="1" applyAlignment="1" applyProtection="1">
      <alignment/>
      <protection/>
    </xf>
    <xf numFmtId="43" fontId="2" fillId="0" borderId="29" xfId="0" applyNumberFormat="1" applyFont="1" applyFill="1" applyBorder="1" applyAlignment="1" applyProtection="1">
      <alignment/>
      <protection/>
    </xf>
    <xf numFmtId="43" fontId="2" fillId="0" borderId="30" xfId="0" applyNumberFormat="1" applyFont="1" applyFill="1" applyBorder="1" applyAlignment="1" applyProtection="1">
      <alignment/>
      <protection/>
    </xf>
    <xf numFmtId="43" fontId="5" fillId="0" borderId="15" xfId="0" applyNumberFormat="1" applyFont="1" applyFill="1" applyBorder="1" applyAlignment="1" applyProtection="1">
      <alignment horizontal="center"/>
      <protection/>
    </xf>
    <xf numFmtId="43" fontId="6" fillId="0" borderId="16" xfId="0" applyNumberFormat="1" applyFont="1" applyFill="1" applyBorder="1" applyAlignment="1" applyProtection="1">
      <alignment/>
      <protection/>
    </xf>
    <xf numFmtId="43" fontId="6" fillId="0" borderId="14" xfId="0" applyNumberFormat="1" applyFont="1" applyFill="1" applyBorder="1" applyAlignment="1" applyProtection="1">
      <alignment/>
      <protection/>
    </xf>
    <xf numFmtId="43" fontId="3" fillId="0" borderId="10" xfId="0" applyNumberFormat="1" applyFont="1" applyFill="1" applyBorder="1" applyAlignment="1" applyProtection="1">
      <alignment/>
      <protection/>
    </xf>
    <xf numFmtId="43" fontId="3" fillId="0" borderId="15" xfId="0" applyNumberFormat="1" applyFont="1" applyFill="1" applyBorder="1" applyAlignment="1" applyProtection="1">
      <alignment/>
      <protection/>
    </xf>
    <xf numFmtId="43" fontId="3" fillId="0" borderId="40" xfId="0" applyNumberFormat="1" applyFont="1" applyFill="1" applyBorder="1" applyAlignment="1" applyProtection="1">
      <alignment/>
      <protection/>
    </xf>
    <xf numFmtId="43" fontId="3" fillId="0" borderId="13" xfId="0" applyNumberFormat="1" applyFont="1" applyFill="1" applyBorder="1" applyAlignment="1" applyProtection="1">
      <alignment/>
      <protection/>
    </xf>
    <xf numFmtId="43" fontId="4" fillId="0" borderId="31" xfId="0" applyNumberFormat="1" applyFont="1" applyFill="1" applyBorder="1" applyAlignment="1" applyProtection="1">
      <alignment/>
      <protection/>
    </xf>
    <xf numFmtId="43" fontId="3" fillId="0" borderId="31" xfId="0" applyNumberFormat="1" applyFont="1" applyFill="1" applyBorder="1" applyAlignment="1" applyProtection="1">
      <alignment/>
      <protection/>
    </xf>
    <xf numFmtId="43" fontId="5" fillId="0" borderId="16" xfId="0" applyNumberFormat="1" applyFont="1" applyFill="1" applyBorder="1" applyAlignment="1" applyProtection="1">
      <alignment horizontal="center"/>
      <protection/>
    </xf>
    <xf numFmtId="43" fontId="3" fillId="0" borderId="16" xfId="43" applyNumberFormat="1" applyFont="1" applyFill="1" applyBorder="1" applyAlignment="1" applyProtection="1">
      <alignment/>
      <protection/>
    </xf>
    <xf numFmtId="43" fontId="2" fillId="0" borderId="27" xfId="43" applyNumberFormat="1" applyFont="1" applyFill="1" applyBorder="1" applyAlignment="1" applyProtection="1">
      <alignment/>
      <protection/>
    </xf>
    <xf numFmtId="43" fontId="2" fillId="0" borderId="16" xfId="43" applyNumberFormat="1" applyFont="1" applyFill="1" applyBorder="1" applyAlignment="1" applyProtection="1">
      <alignment/>
      <protection/>
    </xf>
    <xf numFmtId="43" fontId="4" fillId="0" borderId="12" xfId="43" applyNumberFormat="1" applyFont="1" applyFill="1" applyBorder="1" applyAlignment="1" applyProtection="1">
      <alignment/>
      <protection/>
    </xf>
    <xf numFmtId="43" fontId="3" fillId="0" borderId="12" xfId="43" applyNumberFormat="1" applyFont="1" applyFill="1" applyBorder="1" applyAlignment="1" applyProtection="1">
      <alignment/>
      <protection/>
    </xf>
    <xf numFmtId="43" fontId="3" fillId="0" borderId="25" xfId="43" applyNumberFormat="1" applyFont="1" applyFill="1" applyBorder="1" applyAlignment="1" applyProtection="1">
      <alignment horizontal="left"/>
      <protection/>
    </xf>
    <xf numFmtId="43" fontId="3" fillId="0" borderId="25" xfId="43" applyNumberFormat="1" applyFont="1" applyFill="1" applyBorder="1" applyAlignment="1" applyProtection="1">
      <alignment/>
      <protection/>
    </xf>
    <xf numFmtId="43" fontId="3" fillId="0" borderId="32" xfId="0" applyNumberFormat="1" applyFont="1" applyFill="1" applyBorder="1" applyAlignment="1" applyProtection="1">
      <alignment/>
      <protection/>
    </xf>
    <xf numFmtId="43" fontId="2" fillId="0" borderId="33" xfId="0" applyNumberFormat="1" applyFont="1" applyFill="1" applyBorder="1" applyAlignment="1" applyProtection="1">
      <alignment horizontal="centerContinuous"/>
      <protection/>
    </xf>
    <xf numFmtId="43" fontId="2" fillId="0" borderId="0" xfId="0" applyNumberFormat="1" applyFont="1" applyFill="1" applyBorder="1" applyAlignment="1" applyProtection="1" quotePrefix="1">
      <alignment horizontal="left"/>
      <protection/>
    </xf>
    <xf numFmtId="43" fontId="2" fillId="0" borderId="21" xfId="0" applyNumberFormat="1" applyFont="1" applyFill="1" applyBorder="1" applyAlignment="1" applyProtection="1">
      <alignment horizontal="right"/>
      <protection/>
    </xf>
    <xf numFmtId="43" fontId="2" fillId="0" borderId="34" xfId="0" applyNumberFormat="1" applyFont="1" applyFill="1" applyBorder="1" applyAlignment="1" applyProtection="1">
      <alignment horizontal="left"/>
      <protection/>
    </xf>
    <xf numFmtId="43" fontId="2" fillId="0" borderId="34" xfId="0" applyNumberFormat="1" applyFont="1" applyFill="1" applyBorder="1" applyAlignment="1" applyProtection="1">
      <alignment/>
      <protection/>
    </xf>
    <xf numFmtId="43" fontId="2" fillId="0" borderId="20" xfId="0" applyNumberFormat="1" applyFont="1" applyFill="1" applyBorder="1" applyAlignment="1" applyProtection="1">
      <alignment horizontal="left"/>
      <protection/>
    </xf>
    <xf numFmtId="43" fontId="2" fillId="0" borderId="20" xfId="0" applyNumberFormat="1" applyFont="1" applyFill="1" applyBorder="1" applyAlignment="1" applyProtection="1">
      <alignment/>
      <protection/>
    </xf>
    <xf numFmtId="43" fontId="2" fillId="0" borderId="35" xfId="0" applyNumberFormat="1" applyFont="1" applyFill="1" applyBorder="1" applyAlignment="1" applyProtection="1" quotePrefix="1">
      <alignment horizontal="left"/>
      <protection/>
    </xf>
    <xf numFmtId="43" fontId="2" fillId="0" borderId="35" xfId="0" applyNumberFormat="1" applyFont="1" applyFill="1" applyBorder="1" applyAlignment="1" applyProtection="1">
      <alignment/>
      <protection/>
    </xf>
    <xf numFmtId="43" fontId="3" fillId="0" borderId="25" xfId="0" applyNumberFormat="1" applyFont="1" applyFill="1" applyBorder="1" applyAlignment="1" applyProtection="1">
      <alignment/>
      <protection/>
    </xf>
    <xf numFmtId="43" fontId="2" fillId="0" borderId="0" xfId="0" applyNumberFormat="1" applyFont="1" applyFill="1" applyBorder="1" applyAlignment="1" applyProtection="1">
      <alignment/>
      <protection/>
    </xf>
    <xf numFmtId="43" fontId="3" fillId="0" borderId="16" xfId="42" applyNumberFormat="1" applyFont="1" applyFill="1" applyBorder="1" applyAlignment="1" applyProtection="1">
      <alignment/>
      <protection/>
    </xf>
    <xf numFmtId="43" fontId="2" fillId="0" borderId="0" xfId="42" applyNumberFormat="1" applyFont="1" applyFill="1" applyAlignment="1" applyProtection="1">
      <alignment/>
      <protection/>
    </xf>
    <xf numFmtId="43" fontId="2" fillId="35" borderId="27" xfId="0" applyNumberFormat="1" applyFont="1" applyFill="1" applyBorder="1" applyAlignment="1" applyProtection="1">
      <alignment/>
      <protection/>
    </xf>
    <xf numFmtId="43" fontId="2" fillId="35" borderId="38" xfId="0" applyNumberFormat="1" applyFont="1" applyFill="1" applyBorder="1" applyAlignment="1" applyProtection="1">
      <alignment/>
      <protection/>
    </xf>
    <xf numFmtId="43" fontId="2" fillId="0" borderId="18" xfId="42" applyNumberFormat="1" applyFont="1" applyBorder="1" applyAlignment="1" applyProtection="1">
      <alignment/>
      <protection/>
    </xf>
    <xf numFmtId="43" fontId="2" fillId="0" borderId="36" xfId="42" applyNumberFormat="1" applyFont="1" applyBorder="1" applyAlignment="1" applyProtection="1">
      <alignment/>
      <protection/>
    </xf>
    <xf numFmtId="43" fontId="2" fillId="0" borderId="37" xfId="0" applyNumberFormat="1" applyFont="1" applyBorder="1" applyAlignment="1" applyProtection="1">
      <alignment horizontal="centerContinuous"/>
      <protection/>
    </xf>
    <xf numFmtId="43" fontId="3" fillId="0" borderId="35" xfId="42" applyNumberFormat="1" applyFont="1" applyBorder="1" applyAlignment="1" applyProtection="1">
      <alignment horizontal="right"/>
      <protection/>
    </xf>
    <xf numFmtId="43" fontId="2" fillId="0" borderId="41" xfId="0" applyNumberFormat="1" applyFont="1" applyBorder="1" applyAlignment="1" applyProtection="1">
      <alignment/>
      <protection locked="0"/>
    </xf>
    <xf numFmtId="43" fontId="3" fillId="0" borderId="35" xfId="0" applyNumberFormat="1" applyFont="1" applyBorder="1" applyAlignment="1" applyProtection="1">
      <alignment horizontal="left"/>
      <protection/>
    </xf>
    <xf numFmtId="43" fontId="2" fillId="0" borderId="41" xfId="0" applyNumberFormat="1" applyFont="1" applyFill="1" applyBorder="1" applyAlignment="1" applyProtection="1">
      <alignment/>
      <protection locked="0"/>
    </xf>
    <xf numFmtId="43" fontId="2" fillId="0" borderId="18" xfId="42" applyNumberFormat="1" applyFont="1" applyBorder="1" applyAlignment="1">
      <alignment/>
    </xf>
    <xf numFmtId="43" fontId="2" fillId="0" borderId="37" xfId="0" applyNumberFormat="1" applyFont="1" applyBorder="1" applyAlignment="1" applyProtection="1">
      <alignment/>
      <protection/>
    </xf>
    <xf numFmtId="43" fontId="3" fillId="0" borderId="35" xfId="42" applyNumberFormat="1" applyFont="1" applyBorder="1" applyAlignment="1" applyProtection="1">
      <alignment/>
      <protection/>
    </xf>
    <xf numFmtId="43" fontId="3" fillId="0" borderId="41" xfId="42" applyNumberFormat="1" applyFont="1" applyFill="1" applyBorder="1" applyAlignment="1" applyProtection="1">
      <alignment/>
      <protection locked="0"/>
    </xf>
    <xf numFmtId="43" fontId="3" fillId="0" borderId="41" xfId="0" applyNumberFormat="1" applyFont="1" applyFill="1" applyBorder="1" applyAlignment="1" applyProtection="1">
      <alignment/>
      <protection locked="0"/>
    </xf>
    <xf numFmtId="43" fontId="3" fillId="35" borderId="27" xfId="0" applyNumberFormat="1" applyFont="1" applyFill="1" applyBorder="1" applyAlignment="1" applyProtection="1">
      <alignment/>
      <protection/>
    </xf>
    <xf numFmtId="43" fontId="2" fillId="0" borderId="42" xfId="0" applyNumberFormat="1" applyFont="1" applyBorder="1" applyAlignment="1" applyProtection="1">
      <alignment/>
      <protection/>
    </xf>
    <xf numFmtId="43" fontId="2" fillId="0" borderId="43" xfId="0" applyNumberFormat="1" applyFont="1" applyBorder="1" applyAlignment="1" applyProtection="1">
      <alignment/>
      <protection/>
    </xf>
    <xf numFmtId="43" fontId="2" fillId="0" borderId="43" xfId="0" applyNumberFormat="1" applyFont="1" applyFill="1" applyBorder="1" applyAlignment="1" applyProtection="1">
      <alignment/>
      <protection/>
    </xf>
    <xf numFmtId="43" fontId="3" fillId="0" borderId="44" xfId="0" applyNumberFormat="1" applyFont="1" applyBorder="1" applyAlignment="1" applyProtection="1">
      <alignment/>
      <protection/>
    </xf>
    <xf numFmtId="43" fontId="2" fillId="35" borderId="0" xfId="0" applyNumberFormat="1" applyFont="1" applyFill="1" applyAlignment="1" applyProtection="1">
      <alignment/>
      <protection/>
    </xf>
    <xf numFmtId="43" fontId="4" fillId="0" borderId="45" xfId="0" applyNumberFormat="1" applyFont="1" applyBorder="1" applyAlignment="1" applyProtection="1">
      <alignment/>
      <protection/>
    </xf>
    <xf numFmtId="43" fontId="6" fillId="0" borderId="41" xfId="0" applyNumberFormat="1" applyFont="1" applyFill="1" applyBorder="1" applyAlignment="1" applyProtection="1">
      <alignment/>
      <protection locked="0"/>
    </xf>
    <xf numFmtId="43" fontId="5" fillId="0" borderId="14" xfId="0" applyNumberFormat="1" applyFont="1" applyBorder="1" applyAlignment="1" applyProtection="1">
      <alignment horizontal="center"/>
      <protection/>
    </xf>
    <xf numFmtId="43" fontId="2" fillId="0" borderId="46" xfId="0" applyNumberFormat="1" applyFont="1" applyBorder="1" applyAlignment="1" applyProtection="1">
      <alignment/>
      <protection/>
    </xf>
    <xf numFmtId="43" fontId="3" fillId="33" borderId="14" xfId="0" applyNumberFormat="1" applyFont="1" applyFill="1" applyBorder="1" applyAlignment="1" applyProtection="1">
      <alignment/>
      <protection/>
    </xf>
    <xf numFmtId="43" fontId="3" fillId="0" borderId="47" xfId="0" applyNumberFormat="1" applyFont="1" applyBorder="1" applyAlignment="1" applyProtection="1">
      <alignment/>
      <protection/>
    </xf>
    <xf numFmtId="43" fontId="2" fillId="0" borderId="42" xfId="43" applyNumberFormat="1" applyFont="1" applyBorder="1" applyAlignment="1" applyProtection="1">
      <alignment/>
      <protection/>
    </xf>
    <xf numFmtId="43" fontId="5" fillId="0" borderId="37" xfId="0" applyNumberFormat="1" applyFont="1" applyBorder="1" applyAlignment="1" applyProtection="1">
      <alignment horizontal="center"/>
      <protection/>
    </xf>
    <xf numFmtId="43" fontId="3" fillId="0" borderId="41" xfId="43" applyNumberFormat="1" applyFont="1" applyFill="1" applyBorder="1" applyAlignment="1" applyProtection="1">
      <alignment/>
      <protection locked="0"/>
    </xf>
    <xf numFmtId="43" fontId="2" fillId="0" borderId="18" xfId="43" applyNumberFormat="1" applyFont="1" applyBorder="1" applyAlignment="1" applyProtection="1">
      <alignment/>
      <protection/>
    </xf>
    <xf numFmtId="43" fontId="3" fillId="0" borderId="14" xfId="43" applyNumberFormat="1" applyFont="1" applyFill="1" applyBorder="1" applyAlignment="1" applyProtection="1">
      <alignment/>
      <protection/>
    </xf>
    <xf numFmtId="43" fontId="6" fillId="0" borderId="48" xfId="43" applyNumberFormat="1" applyFont="1" applyFill="1" applyBorder="1" applyAlignment="1" applyProtection="1">
      <alignment/>
      <protection/>
    </xf>
    <xf numFmtId="43" fontId="3" fillId="0" borderId="48" xfId="43" applyNumberFormat="1" applyFont="1" applyFill="1" applyBorder="1" applyAlignment="1" applyProtection="1">
      <alignment/>
      <protection/>
    </xf>
    <xf numFmtId="43" fontId="2" fillId="0" borderId="27" xfId="0" applyNumberFormat="1" applyFont="1" applyBorder="1" applyAlignment="1" applyProtection="1">
      <alignment/>
      <protection locked="0"/>
    </xf>
    <xf numFmtId="43" fontId="2" fillId="0" borderId="0" xfId="0" applyNumberFormat="1" applyFont="1" applyFill="1" applyAlignment="1" applyProtection="1">
      <alignment/>
      <protection locked="0"/>
    </xf>
    <xf numFmtId="43" fontId="2" fillId="0" borderId="41" xfId="0" applyNumberFormat="1" applyFont="1" applyBorder="1" applyAlignment="1" applyProtection="1" quotePrefix="1">
      <alignment/>
      <protection locked="0"/>
    </xf>
    <xf numFmtId="43" fontId="12" fillId="35" borderId="41" xfId="0" applyNumberFormat="1" applyFont="1" applyFill="1" applyBorder="1" applyAlignment="1" applyProtection="1">
      <alignment/>
      <protection locked="0"/>
    </xf>
    <xf numFmtId="43" fontId="12" fillId="35" borderId="18" xfId="42" applyNumberFormat="1" applyFont="1" applyFill="1" applyBorder="1" applyAlignment="1" applyProtection="1">
      <alignment/>
      <protection/>
    </xf>
    <xf numFmtId="43" fontId="2" fillId="35" borderId="41" xfId="0" applyNumberFormat="1" applyFont="1" applyFill="1" applyBorder="1" applyAlignment="1" applyProtection="1">
      <alignment/>
      <protection/>
    </xf>
    <xf numFmtId="43" fontId="2" fillId="35" borderId="18" xfId="42" applyNumberFormat="1" applyFont="1" applyFill="1" applyBorder="1" applyAlignment="1" applyProtection="1">
      <alignment/>
      <protection/>
    </xf>
    <xf numFmtId="0" fontId="3" fillId="36" borderId="33" xfId="0" applyFont="1" applyFill="1" applyBorder="1" applyAlignment="1">
      <alignment wrapText="1"/>
    </xf>
    <xf numFmtId="0" fontId="3" fillId="36" borderId="33" xfId="0" applyFont="1" applyFill="1" applyBorder="1" applyAlignment="1">
      <alignment horizontal="left" wrapText="1"/>
    </xf>
    <xf numFmtId="0" fontId="3" fillId="36" borderId="33" xfId="0" applyFont="1" applyFill="1" applyBorder="1" applyAlignment="1" quotePrefix="1">
      <alignment horizontal="left" wrapText="1"/>
    </xf>
    <xf numFmtId="0" fontId="3" fillId="36" borderId="33" xfId="0" applyFont="1" applyFill="1" applyBorder="1" applyAlignment="1" applyProtection="1">
      <alignment wrapText="1"/>
      <protection locked="0"/>
    </xf>
    <xf numFmtId="182" fontId="2" fillId="0" borderId="0" xfId="0" applyNumberFormat="1" applyFont="1" applyAlignment="1" applyProtection="1">
      <alignment/>
      <protection/>
    </xf>
    <xf numFmtId="43" fontId="8" fillId="0" borderId="16" xfId="0" applyNumberFormat="1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0" fontId="8" fillId="0" borderId="35" xfId="0" applyFont="1" applyFill="1" applyBorder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184" fontId="13" fillId="0" borderId="0" xfId="0" applyNumberFormat="1" applyFont="1" applyAlignment="1" applyProtection="1">
      <alignment/>
      <protection/>
    </xf>
    <xf numFmtId="184" fontId="13" fillId="0" borderId="49" xfId="0" applyNumberFormat="1" applyFont="1" applyBorder="1" applyAlignment="1" applyProtection="1">
      <alignment/>
      <protection/>
    </xf>
    <xf numFmtId="184" fontId="13" fillId="0" borderId="50" xfId="0" applyNumberFormat="1" applyFont="1" applyBorder="1" applyAlignment="1" applyProtection="1">
      <alignment/>
      <protection/>
    </xf>
    <xf numFmtId="184" fontId="8" fillId="0" borderId="24" xfId="0" applyNumberFormat="1" applyFont="1" applyBorder="1" applyAlignment="1" applyProtection="1">
      <alignment/>
      <protection/>
    </xf>
    <xf numFmtId="0" fontId="8" fillId="0" borderId="27" xfId="0" applyFont="1" applyBorder="1" applyAlignment="1" applyProtection="1">
      <alignment horizontal="center"/>
      <protection/>
    </xf>
    <xf numFmtId="4" fontId="8" fillId="0" borderId="27" xfId="0" applyNumberFormat="1" applyFont="1" applyBorder="1" applyAlignment="1" applyProtection="1">
      <alignment horizontal="center"/>
      <protection/>
    </xf>
    <xf numFmtId="43" fontId="7" fillId="0" borderId="42" xfId="0" applyNumberFormat="1" applyFont="1" applyBorder="1" applyAlignment="1" applyProtection="1">
      <alignment horizontal="right"/>
      <protection/>
    </xf>
    <xf numFmtId="43" fontId="8" fillId="0" borderId="27" xfId="0" applyNumberFormat="1" applyFont="1" applyBorder="1" applyAlignment="1" applyProtection="1">
      <alignment horizontal="center"/>
      <protection/>
    </xf>
    <xf numFmtId="43" fontId="8" fillId="0" borderId="49" xfId="0" applyNumberFormat="1" applyFont="1" applyBorder="1" applyAlignment="1" applyProtection="1">
      <alignment/>
      <protection/>
    </xf>
    <xf numFmtId="43" fontId="7" fillId="0" borderId="27" xfId="0" applyNumberFormat="1" applyFont="1" applyBorder="1" applyAlignment="1" applyProtection="1">
      <alignment/>
      <protection/>
    </xf>
    <xf numFmtId="43" fontId="8" fillId="0" borderId="51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4" fontId="1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/>
      <protection/>
    </xf>
    <xf numFmtId="43" fontId="0" fillId="0" borderId="0" xfId="0" applyNumberFormat="1" applyBorder="1" applyAlignment="1" applyProtection="1">
      <alignment/>
      <protection/>
    </xf>
    <xf numFmtId="0" fontId="8" fillId="0" borderId="0" xfId="0" applyNumberFormat="1" applyFont="1" applyAlignment="1" applyProtection="1">
      <alignment horizontal="right"/>
      <protection/>
    </xf>
    <xf numFmtId="43" fontId="34" fillId="0" borderId="0" xfId="0" applyNumberFormat="1" applyFont="1" applyAlignment="1" applyProtection="1">
      <alignment/>
      <protection locked="0"/>
    </xf>
    <xf numFmtId="184" fontId="34" fillId="0" borderId="0" xfId="0" applyNumberFormat="1" applyFont="1" applyAlignment="1" applyProtection="1">
      <alignment/>
      <protection locked="0"/>
    </xf>
    <xf numFmtId="0" fontId="34" fillId="0" borderId="0" xfId="0" applyNumberFormat="1" applyFont="1" applyAlignment="1" applyProtection="1">
      <alignment/>
      <protection locked="0"/>
    </xf>
    <xf numFmtId="3" fontId="35" fillId="0" borderId="0" xfId="0" applyNumberFormat="1" applyFont="1" applyAlignment="1" applyProtection="1">
      <alignment horizontal="left"/>
      <protection locked="0"/>
    </xf>
    <xf numFmtId="3" fontId="36" fillId="0" borderId="0" xfId="0" applyNumberFormat="1" applyFont="1" applyAlignment="1" applyProtection="1">
      <alignment/>
      <protection locked="0"/>
    </xf>
    <xf numFmtId="43" fontId="36" fillId="0" borderId="0" xfId="0" applyNumberFormat="1" applyFont="1" applyAlignment="1" applyProtection="1" quotePrefix="1">
      <alignment horizontal="left"/>
      <protection locked="0"/>
    </xf>
    <xf numFmtId="43" fontId="36" fillId="0" borderId="0" xfId="0" applyNumberFormat="1" applyFont="1" applyAlignment="1" applyProtection="1">
      <alignment/>
      <protection locked="0"/>
    </xf>
    <xf numFmtId="184" fontId="34" fillId="0" borderId="52" xfId="0" applyNumberFormat="1" applyFont="1" applyBorder="1" applyAlignment="1" applyProtection="1">
      <alignment horizontal="centerContinuous"/>
      <protection locked="0"/>
    </xf>
    <xf numFmtId="184" fontId="34" fillId="0" borderId="53" xfId="0" applyNumberFormat="1" applyFont="1" applyBorder="1" applyAlignment="1" applyProtection="1">
      <alignment horizontal="centerContinuous"/>
      <protection locked="0"/>
    </xf>
    <xf numFmtId="184" fontId="34" fillId="0" borderId="54" xfId="0" applyNumberFormat="1" applyFont="1" applyBorder="1" applyAlignment="1" applyProtection="1">
      <alignment horizontal="centerContinuous"/>
      <protection locked="0"/>
    </xf>
    <xf numFmtId="184" fontId="34" fillId="0" borderId="55" xfId="0" applyNumberFormat="1" applyFont="1" applyBorder="1" applyAlignment="1" applyProtection="1">
      <alignment horizontal="centerContinuous"/>
      <protection locked="0"/>
    </xf>
    <xf numFmtId="184" fontId="34" fillId="0" borderId="56" xfId="0" applyNumberFormat="1" applyFont="1" applyBorder="1" applyAlignment="1" applyProtection="1">
      <alignment horizontal="centerContinuous"/>
      <protection locked="0"/>
    </xf>
    <xf numFmtId="184" fontId="34" fillId="0" borderId="57" xfId="0" applyNumberFormat="1" applyFont="1" applyBorder="1" applyAlignment="1" applyProtection="1">
      <alignment horizontal="centerContinuous"/>
      <protection locked="0"/>
    </xf>
    <xf numFmtId="184" fontId="34" fillId="0" borderId="58" xfId="0" applyNumberFormat="1" applyFont="1" applyBorder="1" applyAlignment="1" applyProtection="1">
      <alignment horizontal="centerContinuous"/>
      <protection locked="0"/>
    </xf>
    <xf numFmtId="184" fontId="34" fillId="0" borderId="59" xfId="0" applyNumberFormat="1" applyFont="1" applyBorder="1" applyAlignment="1" applyProtection="1">
      <alignment horizontal="centerContinuous"/>
      <protection locked="0"/>
    </xf>
    <xf numFmtId="184" fontId="34" fillId="37" borderId="16" xfId="0" applyNumberFormat="1" applyFont="1" applyFill="1" applyBorder="1" applyAlignment="1" applyProtection="1">
      <alignment horizontal="centerContinuous"/>
      <protection locked="0"/>
    </xf>
    <xf numFmtId="184" fontId="34" fillId="37" borderId="60" xfId="0" applyNumberFormat="1" applyFont="1" applyFill="1" applyBorder="1" applyAlignment="1" applyProtection="1">
      <alignment horizontal="centerContinuous"/>
      <protection locked="0"/>
    </xf>
    <xf numFmtId="184" fontId="34" fillId="0" borderId="18" xfId="0" applyNumberFormat="1" applyFont="1" applyBorder="1" applyAlignment="1" applyProtection="1">
      <alignment horizontal="centerContinuous"/>
      <protection locked="0"/>
    </xf>
    <xf numFmtId="184" fontId="34" fillId="37" borderId="59" xfId="0" applyNumberFormat="1" applyFont="1" applyFill="1" applyBorder="1" applyAlignment="1" applyProtection="1">
      <alignment horizontal="centerContinuous"/>
      <protection locked="0"/>
    </xf>
    <xf numFmtId="184" fontId="34" fillId="37" borderId="42" xfId="0" applyNumberFormat="1" applyFont="1" applyFill="1" applyBorder="1" applyAlignment="1" applyProtection="1">
      <alignment horizontal="centerContinuous"/>
      <protection locked="0"/>
    </xf>
    <xf numFmtId="43" fontId="34" fillId="37" borderId="27" xfId="0" applyNumberFormat="1" applyFont="1" applyFill="1" applyBorder="1" applyAlignment="1" applyProtection="1">
      <alignment/>
      <protection/>
    </xf>
    <xf numFmtId="184" fontId="34" fillId="0" borderId="61" xfId="0" applyNumberFormat="1" applyFont="1" applyBorder="1" applyAlignment="1" applyProtection="1">
      <alignment/>
      <protection locked="0"/>
    </xf>
    <xf numFmtId="184" fontId="34" fillId="37" borderId="14" xfId="0" applyNumberFormat="1" applyFont="1" applyFill="1" applyBorder="1" applyAlignment="1" applyProtection="1">
      <alignment/>
      <protection/>
    </xf>
    <xf numFmtId="184" fontId="34" fillId="37" borderId="62" xfId="0" applyNumberFormat="1" applyFont="1" applyFill="1" applyBorder="1" applyAlignment="1" applyProtection="1">
      <alignment/>
      <protection/>
    </xf>
    <xf numFmtId="184" fontId="34" fillId="37" borderId="61" xfId="0" applyNumberFormat="1" applyFont="1" applyFill="1" applyBorder="1" applyAlignment="1" applyProtection="1">
      <alignment/>
      <protection/>
    </xf>
    <xf numFmtId="184" fontId="34" fillId="37" borderId="0" xfId="0" applyNumberFormat="1" applyFont="1" applyFill="1" applyBorder="1" applyAlignment="1" applyProtection="1">
      <alignment/>
      <protection/>
    </xf>
    <xf numFmtId="43" fontId="35" fillId="0" borderId="49" xfId="0" applyNumberFormat="1" applyFont="1" applyBorder="1" applyAlignment="1" applyProtection="1">
      <alignment horizontal="left"/>
      <protection/>
    </xf>
    <xf numFmtId="184" fontId="35" fillId="0" borderId="63" xfId="42" applyNumberFormat="1" applyFont="1" applyBorder="1" applyAlignment="1" applyProtection="1">
      <alignment horizontal="right"/>
      <protection locked="0"/>
    </xf>
    <xf numFmtId="43" fontId="35" fillId="0" borderId="0" xfId="0" applyNumberFormat="1" applyFont="1" applyBorder="1" applyAlignment="1" applyProtection="1">
      <alignment horizontal="left"/>
      <protection/>
    </xf>
    <xf numFmtId="184" fontId="35" fillId="0" borderId="0" xfId="42" applyNumberFormat="1" applyFont="1" applyBorder="1" applyAlignment="1" applyProtection="1">
      <alignment horizontal="right"/>
      <protection locked="0"/>
    </xf>
    <xf numFmtId="43" fontId="34" fillId="0" borderId="0" xfId="0" applyNumberFormat="1" applyFont="1" applyFill="1" applyAlignment="1" applyProtection="1">
      <alignment/>
      <protection/>
    </xf>
    <xf numFmtId="184" fontId="34" fillId="0" borderId="61" xfId="0" applyNumberFormat="1" applyFont="1" applyFill="1" applyBorder="1" applyAlignment="1" applyProtection="1">
      <alignment/>
      <protection locked="0"/>
    </xf>
    <xf numFmtId="184" fontId="34" fillId="0" borderId="14" xfId="0" applyNumberFormat="1" applyFont="1" applyFill="1" applyBorder="1" applyAlignment="1" applyProtection="1">
      <alignment/>
      <protection locked="0"/>
    </xf>
    <xf numFmtId="184" fontId="34" fillId="0" borderId="62" xfId="0" applyNumberFormat="1" applyFont="1" applyFill="1" applyBorder="1" applyAlignment="1" applyProtection="1">
      <alignment/>
      <protection locked="0"/>
    </xf>
    <xf numFmtId="184" fontId="34" fillId="0" borderId="0" xfId="0" applyNumberFormat="1" applyFont="1" applyFill="1" applyAlignment="1" applyProtection="1">
      <alignment/>
      <protection locked="0"/>
    </xf>
    <xf numFmtId="184" fontId="34" fillId="0" borderId="14" xfId="0" applyNumberFormat="1" applyFont="1" applyFill="1" applyBorder="1" applyAlignment="1" applyProtection="1">
      <alignment/>
      <protection/>
    </xf>
    <xf numFmtId="184" fontId="34" fillId="0" borderId="62" xfId="0" applyNumberFormat="1" applyFont="1" applyFill="1" applyBorder="1" applyAlignment="1" applyProtection="1">
      <alignment/>
      <protection/>
    </xf>
    <xf numFmtId="184" fontId="34" fillId="0" borderId="61" xfId="0" applyNumberFormat="1" applyFont="1" applyFill="1" applyBorder="1" applyAlignment="1" applyProtection="1">
      <alignment/>
      <protection/>
    </xf>
    <xf numFmtId="184" fontId="34" fillId="0" borderId="0" xfId="0" applyNumberFormat="1" applyFont="1" applyFill="1" applyBorder="1" applyAlignment="1" applyProtection="1">
      <alignment/>
      <protection/>
    </xf>
    <xf numFmtId="43" fontId="36" fillId="0" borderId="0" xfId="0" applyNumberFormat="1" applyFont="1" applyFill="1" applyAlignment="1" applyProtection="1">
      <alignment/>
      <protection/>
    </xf>
    <xf numFmtId="43" fontId="34" fillId="0" borderId="27" xfId="0" applyNumberFormat="1" applyFont="1" applyBorder="1" applyAlignment="1" applyProtection="1">
      <alignment/>
      <protection/>
    </xf>
    <xf numFmtId="184" fontId="34" fillId="37" borderId="16" xfId="0" applyNumberFormat="1" applyFont="1" applyFill="1" applyBorder="1" applyAlignment="1" applyProtection="1">
      <alignment horizontal="centerContinuous"/>
      <protection/>
    </xf>
    <xf numFmtId="184" fontId="34" fillId="37" borderId="60" xfId="0" applyNumberFormat="1" applyFont="1" applyFill="1" applyBorder="1" applyAlignment="1" applyProtection="1">
      <alignment horizontal="centerContinuous"/>
      <protection/>
    </xf>
    <xf numFmtId="184" fontId="34" fillId="0" borderId="64" xfId="0" applyNumberFormat="1" applyFont="1" applyBorder="1" applyAlignment="1" applyProtection="1">
      <alignment horizontal="centerContinuous"/>
      <protection locked="0"/>
    </xf>
    <xf numFmtId="184" fontId="34" fillId="37" borderId="64" xfId="0" applyNumberFormat="1" applyFont="1" applyFill="1" applyBorder="1" applyAlignment="1" applyProtection="1">
      <alignment horizontal="centerContinuous"/>
      <protection/>
    </xf>
    <xf numFmtId="184" fontId="34" fillId="37" borderId="42" xfId="0" applyNumberFormat="1" applyFont="1" applyFill="1" applyBorder="1" applyAlignment="1" applyProtection="1">
      <alignment horizontal="centerContinuous"/>
      <protection/>
    </xf>
    <xf numFmtId="43" fontId="34" fillId="37" borderId="27" xfId="42" applyNumberFormat="1" applyFont="1" applyFill="1" applyBorder="1" applyAlignment="1" applyProtection="1">
      <alignment/>
      <protection/>
    </xf>
    <xf numFmtId="184" fontId="35" fillId="0" borderId="65" xfId="42" applyNumberFormat="1" applyFont="1" applyBorder="1" applyAlignment="1" applyProtection="1">
      <alignment/>
      <protection locked="0"/>
    </xf>
    <xf numFmtId="184" fontId="35" fillId="0" borderId="65" xfId="42" applyNumberFormat="1" applyFont="1" applyBorder="1" applyAlignment="1" applyProtection="1">
      <alignment/>
      <protection/>
    </xf>
    <xf numFmtId="43" fontId="34" fillId="0" borderId="34" xfId="0" applyNumberFormat="1" applyFont="1" applyBorder="1" applyAlignment="1" applyProtection="1">
      <alignment/>
      <protection locked="0"/>
    </xf>
    <xf numFmtId="43" fontId="35" fillId="0" borderId="66" xfId="0" applyNumberFormat="1" applyFont="1" applyFill="1" applyBorder="1" applyAlignment="1" applyProtection="1">
      <alignment horizontal="left"/>
      <protection/>
    </xf>
    <xf numFmtId="184" fontId="35" fillId="0" borderId="21" xfId="0" applyNumberFormat="1" applyFont="1" applyFill="1" applyBorder="1" applyAlignment="1" applyProtection="1">
      <alignment/>
      <protection locked="0"/>
    </xf>
    <xf numFmtId="184" fontId="35" fillId="0" borderId="0" xfId="0" applyNumberFormat="1" applyFont="1" applyFill="1" applyBorder="1" applyAlignment="1" applyProtection="1">
      <alignment/>
      <protection/>
    </xf>
    <xf numFmtId="184" fontId="35" fillId="0" borderId="0" xfId="0" applyNumberFormat="1" applyFont="1" applyFill="1" applyBorder="1" applyAlignment="1" applyProtection="1">
      <alignment/>
      <protection locked="0"/>
    </xf>
    <xf numFmtId="43" fontId="34" fillId="0" borderId="0" xfId="0" applyNumberFormat="1" applyFont="1" applyFill="1" applyBorder="1" applyAlignment="1" applyProtection="1">
      <alignment/>
      <protection locked="0"/>
    </xf>
    <xf numFmtId="43" fontId="35" fillId="0" borderId="33" xfId="0" applyNumberFormat="1" applyFont="1" applyFill="1" applyBorder="1" applyAlignment="1" applyProtection="1">
      <alignment horizontal="left"/>
      <protection/>
    </xf>
    <xf numFmtId="184" fontId="35" fillId="0" borderId="33" xfId="0" applyNumberFormat="1" applyFont="1" applyFill="1" applyBorder="1" applyAlignment="1" applyProtection="1">
      <alignment/>
      <protection locked="0"/>
    </xf>
    <xf numFmtId="43" fontId="34" fillId="0" borderId="0" xfId="0" applyNumberFormat="1" applyFont="1" applyAlignment="1" applyProtection="1">
      <alignment/>
      <protection/>
    </xf>
    <xf numFmtId="43" fontId="36" fillId="0" borderId="67" xfId="0" applyNumberFormat="1" applyFont="1" applyBorder="1" applyAlignment="1" applyProtection="1" quotePrefix="1">
      <alignment horizontal="left"/>
      <protection/>
    </xf>
    <xf numFmtId="184" fontId="34" fillId="0" borderId="0" xfId="0" applyNumberFormat="1" applyFont="1" applyFill="1" applyBorder="1" applyAlignment="1" applyProtection="1">
      <alignment/>
      <protection locked="0"/>
    </xf>
    <xf numFmtId="43" fontId="34" fillId="0" borderId="68" xfId="0" applyNumberFormat="1" applyFont="1" applyBorder="1" applyAlignment="1" applyProtection="1">
      <alignment/>
      <protection/>
    </xf>
    <xf numFmtId="184" fontId="34" fillId="0" borderId="42" xfId="0" applyNumberFormat="1" applyFont="1" applyBorder="1" applyAlignment="1" applyProtection="1">
      <alignment horizontal="centerContinuous"/>
      <protection locked="0"/>
    </xf>
    <xf numFmtId="43" fontId="35" fillId="0" borderId="68" xfId="42" applyNumberFormat="1" applyFont="1" applyFill="1" applyBorder="1" applyAlignment="1" applyProtection="1">
      <alignment/>
      <protection/>
    </xf>
    <xf numFmtId="184" fontId="34" fillId="0" borderId="69" xfId="0" applyNumberFormat="1" applyFont="1" applyBorder="1" applyAlignment="1" applyProtection="1">
      <alignment/>
      <protection locked="0"/>
    </xf>
    <xf numFmtId="184" fontId="35" fillId="0" borderId="14" xfId="0" applyNumberFormat="1" applyFont="1" applyFill="1" applyBorder="1" applyAlignment="1" applyProtection="1">
      <alignment/>
      <protection/>
    </xf>
    <xf numFmtId="184" fontId="35" fillId="0" borderId="62" xfId="0" applyNumberFormat="1" applyFont="1" applyFill="1" applyBorder="1" applyAlignment="1" applyProtection="1">
      <alignment/>
      <protection/>
    </xf>
    <xf numFmtId="184" fontId="35" fillId="0" borderId="69" xfId="0" applyNumberFormat="1" applyFont="1" applyFill="1" applyBorder="1" applyAlignment="1" applyProtection="1">
      <alignment/>
      <protection locked="0"/>
    </xf>
    <xf numFmtId="184" fontId="35" fillId="0" borderId="61" xfId="0" applyNumberFormat="1" applyFont="1" applyFill="1" applyBorder="1" applyAlignment="1" applyProtection="1">
      <alignment/>
      <protection/>
    </xf>
    <xf numFmtId="43" fontId="34" fillId="0" borderId="68" xfId="42" applyNumberFormat="1" applyFont="1" applyFill="1" applyBorder="1" applyAlignment="1" applyProtection="1">
      <alignment/>
      <protection/>
    </xf>
    <xf numFmtId="43" fontId="34" fillId="37" borderId="68" xfId="42" applyNumberFormat="1" applyFont="1" applyFill="1" applyBorder="1" applyAlignment="1" applyProtection="1">
      <alignment/>
      <protection/>
    </xf>
    <xf numFmtId="43" fontId="35" fillId="0" borderId="27" xfId="42" applyNumberFormat="1" applyFont="1" applyFill="1" applyBorder="1" applyAlignment="1" applyProtection="1">
      <alignment/>
      <protection/>
    </xf>
    <xf numFmtId="184" fontId="35" fillId="0" borderId="33" xfId="0" applyNumberFormat="1" applyFont="1" applyBorder="1" applyAlignment="1" applyProtection="1">
      <alignment/>
      <protection locked="0"/>
    </xf>
    <xf numFmtId="43" fontId="34" fillId="33" borderId="0" xfId="0" applyNumberFormat="1" applyFont="1" applyFill="1" applyAlignment="1" applyProtection="1">
      <alignment/>
      <protection locked="0"/>
    </xf>
    <xf numFmtId="43" fontId="35" fillId="37" borderId="27" xfId="42" applyNumberFormat="1" applyFont="1" applyFill="1" applyBorder="1" applyAlignment="1" applyProtection="1">
      <alignment/>
      <protection/>
    </xf>
    <xf numFmtId="184" fontId="34" fillId="0" borderId="70" xfId="0" applyNumberFormat="1" applyFont="1" applyFill="1" applyBorder="1" applyAlignment="1" applyProtection="1">
      <alignment/>
      <protection locked="0"/>
    </xf>
    <xf numFmtId="184" fontId="34" fillId="0" borderId="70" xfId="0" applyNumberFormat="1" applyFont="1" applyBorder="1" applyAlignment="1" applyProtection="1">
      <alignment/>
      <protection locked="0"/>
    </xf>
    <xf numFmtId="43" fontId="35" fillId="0" borderId="32" xfId="0" applyNumberFormat="1" applyFont="1" applyFill="1" applyBorder="1" applyAlignment="1" applyProtection="1">
      <alignment/>
      <protection/>
    </xf>
    <xf numFmtId="184" fontId="35" fillId="37" borderId="71" xfId="0" applyNumberFormat="1" applyFont="1" applyFill="1" applyBorder="1" applyAlignment="1" applyProtection="1">
      <alignment/>
      <protection locked="0"/>
    </xf>
    <xf numFmtId="43" fontId="34" fillId="0" borderId="0" xfId="0" applyNumberFormat="1" applyFont="1" applyFill="1" applyAlignment="1" applyProtection="1">
      <alignment/>
      <protection locked="0"/>
    </xf>
    <xf numFmtId="43" fontId="36" fillId="0" borderId="0" xfId="0" applyNumberFormat="1" applyFont="1" applyFill="1" applyAlignment="1" applyProtection="1">
      <alignment/>
      <protection locked="0"/>
    </xf>
    <xf numFmtId="184" fontId="34" fillId="37" borderId="65" xfId="0" applyNumberFormat="1" applyFont="1" applyFill="1" applyBorder="1" applyAlignment="1" applyProtection="1">
      <alignment horizontal="centerContinuous"/>
      <protection/>
    </xf>
    <xf numFmtId="184" fontId="34" fillId="37" borderId="20" xfId="0" applyNumberFormat="1" applyFont="1" applyFill="1" applyBorder="1" applyAlignment="1" applyProtection="1">
      <alignment horizontal="centerContinuous"/>
      <protection/>
    </xf>
    <xf numFmtId="184" fontId="34" fillId="37" borderId="72" xfId="0" applyNumberFormat="1" applyFont="1" applyFill="1" applyBorder="1" applyAlignment="1" applyProtection="1">
      <alignment horizontal="centerContinuous"/>
      <protection/>
    </xf>
    <xf numFmtId="184" fontId="34" fillId="37" borderId="73" xfId="0" applyNumberFormat="1" applyFont="1" applyFill="1" applyBorder="1" applyAlignment="1" applyProtection="1">
      <alignment horizontal="centerContinuous"/>
      <protection/>
    </xf>
    <xf numFmtId="184" fontId="34" fillId="37" borderId="74" xfId="0" applyNumberFormat="1" applyFont="1" applyFill="1" applyBorder="1" applyAlignment="1" applyProtection="1">
      <alignment horizontal="centerContinuous"/>
      <protection/>
    </xf>
    <xf numFmtId="184" fontId="34" fillId="37" borderId="75" xfId="0" applyNumberFormat="1" applyFont="1" applyFill="1" applyBorder="1" applyAlignment="1" applyProtection="1">
      <alignment horizontal="right"/>
      <protection/>
    </xf>
    <xf numFmtId="184" fontId="34" fillId="37" borderId="66" xfId="0" applyNumberFormat="1" applyFont="1" applyFill="1" applyBorder="1" applyAlignment="1" applyProtection="1">
      <alignment horizontal="right"/>
      <protection/>
    </xf>
    <xf numFmtId="184" fontId="34" fillId="37" borderId="21" xfId="0" applyNumberFormat="1" applyFont="1" applyFill="1" applyBorder="1" applyAlignment="1" applyProtection="1">
      <alignment horizontal="right"/>
      <protection/>
    </xf>
    <xf numFmtId="184" fontId="34" fillId="37" borderId="76" xfId="0" applyNumberFormat="1" applyFont="1" applyFill="1" applyBorder="1" applyAlignment="1" applyProtection="1">
      <alignment/>
      <protection/>
    </xf>
    <xf numFmtId="43" fontId="35" fillId="37" borderId="77" xfId="42" applyNumberFormat="1" applyFont="1" applyFill="1" applyBorder="1" applyAlignment="1" applyProtection="1">
      <alignment/>
      <protection/>
    </xf>
    <xf numFmtId="43" fontId="34" fillId="37" borderId="77" xfId="42" applyNumberFormat="1" applyFont="1" applyFill="1" applyBorder="1" applyAlignment="1" applyProtection="1">
      <alignment/>
      <protection/>
    </xf>
    <xf numFmtId="43" fontId="34" fillId="37" borderId="38" xfId="42" applyNumberFormat="1" applyFont="1" applyFill="1" applyBorder="1" applyAlignment="1" applyProtection="1">
      <alignment/>
      <protection/>
    </xf>
    <xf numFmtId="43" fontId="35" fillId="37" borderId="38" xfId="42" applyNumberFormat="1" applyFont="1" applyFill="1" applyBorder="1" applyAlignment="1" applyProtection="1">
      <alignment/>
      <protection/>
    </xf>
    <xf numFmtId="43" fontId="35" fillId="37" borderId="39" xfId="42" applyNumberFormat="1" applyFont="1" applyFill="1" applyBorder="1" applyAlignment="1" applyProtection="1">
      <alignment/>
      <protection/>
    </xf>
    <xf numFmtId="184" fontId="35" fillId="37" borderId="78" xfId="0" applyNumberFormat="1" applyFont="1" applyFill="1" applyBorder="1" applyAlignment="1" applyProtection="1">
      <alignment/>
      <protection/>
    </xf>
    <xf numFmtId="43" fontId="37" fillId="0" borderId="0" xfId="0" applyNumberFormat="1" applyFont="1" applyAlignment="1" applyProtection="1">
      <alignment/>
      <protection locked="0"/>
    </xf>
    <xf numFmtId="2" fontId="35" fillId="0" borderId="16" xfId="0" applyNumberFormat="1" applyFont="1" applyBorder="1" applyAlignment="1" applyProtection="1">
      <alignment horizontal="centerContinuous"/>
      <protection locked="0"/>
    </xf>
    <xf numFmtId="184" fontId="35" fillId="0" borderId="16" xfId="0" applyNumberFormat="1" applyFont="1" applyBorder="1" applyAlignment="1" applyProtection="1">
      <alignment horizontal="centerContinuous"/>
      <protection locked="0"/>
    </xf>
    <xf numFmtId="184" fontId="35" fillId="0" borderId="79" xfId="42" applyNumberFormat="1" applyFont="1" applyBorder="1" applyAlignment="1" applyProtection="1">
      <alignment horizontal="centerContinuous"/>
      <protection locked="0"/>
    </xf>
    <xf numFmtId="184" fontId="35" fillId="0" borderId="27" xfId="42" applyNumberFormat="1" applyFont="1" applyBorder="1" applyAlignment="1" applyProtection="1">
      <alignment horizontal="centerContinuous"/>
      <protection locked="0"/>
    </xf>
    <xf numFmtId="2" fontId="34" fillId="0" borderId="16" xfId="0" applyNumberFormat="1" applyFont="1" applyBorder="1" applyAlignment="1" applyProtection="1" quotePrefix="1">
      <alignment horizontal="left"/>
      <protection locked="0"/>
    </xf>
    <xf numFmtId="184" fontId="34" fillId="0" borderId="16" xfId="0" applyNumberFormat="1" applyFont="1" applyBorder="1" applyAlignment="1" applyProtection="1">
      <alignment horizontal="right"/>
      <protection locked="0"/>
    </xf>
    <xf numFmtId="184" fontId="34" fillId="37" borderId="16" xfId="0" applyNumberFormat="1" applyFont="1" applyFill="1" applyBorder="1" applyAlignment="1" applyProtection="1">
      <alignment horizontal="right"/>
      <protection/>
    </xf>
    <xf numFmtId="184" fontId="34" fillId="0" borderId="16" xfId="42" applyNumberFormat="1" applyFont="1" applyBorder="1" applyAlignment="1" applyProtection="1">
      <alignment horizontal="right"/>
      <protection locked="0"/>
    </xf>
    <xf numFmtId="184" fontId="34" fillId="37" borderId="16" xfId="0" applyNumberFormat="1" applyFont="1" applyFill="1" applyBorder="1" applyAlignment="1" applyProtection="1">
      <alignment horizontal="right"/>
      <protection locked="0"/>
    </xf>
    <xf numFmtId="184" fontId="34" fillId="37" borderId="16" xfId="42" applyNumberFormat="1" applyFont="1" applyFill="1" applyBorder="1" applyAlignment="1" applyProtection="1">
      <alignment horizontal="right"/>
      <protection/>
    </xf>
    <xf numFmtId="184" fontId="34" fillId="37" borderId="27" xfId="42" applyNumberFormat="1" applyFont="1" applyFill="1" applyBorder="1" applyAlignment="1" applyProtection="1">
      <alignment horizontal="right"/>
      <protection/>
    </xf>
    <xf numFmtId="184" fontId="34" fillId="37" borderId="37" xfId="0" applyNumberFormat="1" applyFont="1" applyFill="1" applyBorder="1" applyAlignment="1" applyProtection="1">
      <alignment horizontal="right"/>
      <protection locked="0"/>
    </xf>
    <xf numFmtId="184" fontId="34" fillId="0" borderId="37" xfId="0" applyNumberFormat="1" applyFont="1" applyBorder="1" applyAlignment="1" applyProtection="1">
      <alignment horizontal="right"/>
      <protection locked="0"/>
    </xf>
    <xf numFmtId="184" fontId="34" fillId="0" borderId="37" xfId="42" applyNumberFormat="1" applyFont="1" applyBorder="1" applyAlignment="1" applyProtection="1">
      <alignment horizontal="right"/>
      <protection locked="0"/>
    </xf>
    <xf numFmtId="184" fontId="34" fillId="37" borderId="37" xfId="0" applyNumberFormat="1" applyFont="1" applyFill="1" applyBorder="1" applyAlignment="1" applyProtection="1">
      <alignment horizontal="right"/>
      <protection/>
    </xf>
    <xf numFmtId="184" fontId="34" fillId="37" borderId="37" xfId="42" applyNumberFormat="1" applyFont="1" applyFill="1" applyBorder="1" applyAlignment="1" applyProtection="1">
      <alignment horizontal="right"/>
      <protection/>
    </xf>
    <xf numFmtId="184" fontId="34" fillId="37" borderId="38" xfId="42" applyNumberFormat="1" applyFont="1" applyFill="1" applyBorder="1" applyAlignment="1" applyProtection="1">
      <alignment horizontal="right"/>
      <protection/>
    </xf>
    <xf numFmtId="2" fontId="35" fillId="0" borderId="27" xfId="0" applyNumberFormat="1" applyFont="1" applyBorder="1" applyAlignment="1" applyProtection="1">
      <alignment horizontal="center"/>
      <protection locked="0"/>
    </xf>
    <xf numFmtId="184" fontId="35" fillId="37" borderId="80" xfId="0" applyNumberFormat="1" applyFont="1" applyFill="1" applyBorder="1" applyAlignment="1" applyProtection="1">
      <alignment horizontal="right"/>
      <protection/>
    </xf>
    <xf numFmtId="184" fontId="35" fillId="37" borderId="31" xfId="0" applyNumberFormat="1" applyFont="1" applyFill="1" applyBorder="1" applyAlignment="1" applyProtection="1">
      <alignment horizontal="right"/>
      <protection/>
    </xf>
    <xf numFmtId="184" fontId="35" fillId="37" borderId="81" xfId="0" applyNumberFormat="1" applyFont="1" applyFill="1" applyBorder="1" applyAlignment="1" applyProtection="1">
      <alignment horizontal="right"/>
      <protection/>
    </xf>
    <xf numFmtId="3" fontId="34" fillId="0" borderId="16" xfId="0" applyNumberFormat="1" applyFont="1" applyBorder="1" applyAlignment="1" applyProtection="1">
      <alignment/>
      <protection locked="0"/>
    </xf>
    <xf numFmtId="184" fontId="34" fillId="37" borderId="15" xfId="0" applyNumberFormat="1" applyFont="1" applyFill="1" applyBorder="1" applyAlignment="1" applyProtection="1">
      <alignment horizontal="right"/>
      <protection/>
    </xf>
    <xf numFmtId="184" fontId="34" fillId="0" borderId="15" xfId="42" applyNumberFormat="1" applyFont="1" applyBorder="1" applyAlignment="1" applyProtection="1">
      <alignment horizontal="right"/>
      <protection locked="0"/>
    </xf>
    <xf numFmtId="184" fontId="34" fillId="37" borderId="15" xfId="42" applyNumberFormat="1" applyFont="1" applyFill="1" applyBorder="1" applyAlignment="1" applyProtection="1">
      <alignment horizontal="right"/>
      <protection/>
    </xf>
    <xf numFmtId="184" fontId="34" fillId="37" borderId="30" xfId="42" applyNumberFormat="1" applyFont="1" applyFill="1" applyBorder="1" applyAlignment="1" applyProtection="1">
      <alignment horizontal="right"/>
      <protection/>
    </xf>
    <xf numFmtId="0" fontId="34" fillId="0" borderId="16" xfId="0" applyFont="1" applyBorder="1" applyAlignment="1" applyProtection="1">
      <alignment/>
      <protection locked="0"/>
    </xf>
    <xf numFmtId="184" fontId="34" fillId="37" borderId="37" xfId="42" applyNumberFormat="1" applyFont="1" applyFill="1" applyBorder="1" applyAlignment="1" applyProtection="1">
      <alignment horizontal="right"/>
      <protection locked="0"/>
    </xf>
    <xf numFmtId="184" fontId="34" fillId="37" borderId="38" xfId="42" applyNumberFormat="1" applyFont="1" applyFill="1" applyBorder="1" applyAlignment="1" applyProtection="1">
      <alignment horizontal="right"/>
      <protection locked="0"/>
    </xf>
    <xf numFmtId="3" fontId="35" fillId="0" borderId="27" xfId="0" applyNumberFormat="1" applyFont="1" applyFill="1" applyBorder="1" applyAlignment="1" applyProtection="1">
      <alignment horizontal="center"/>
      <protection locked="0"/>
    </xf>
    <xf numFmtId="49" fontId="34" fillId="0" borderId="0" xfId="0" applyNumberFormat="1" applyFont="1" applyBorder="1" applyAlignment="1" applyProtection="1">
      <alignment/>
      <protection locked="0"/>
    </xf>
    <xf numFmtId="184" fontId="38" fillId="0" borderId="0" xfId="0" applyNumberFormat="1" applyFont="1" applyAlignment="1" applyProtection="1">
      <alignment/>
      <protection locked="0"/>
    </xf>
    <xf numFmtId="184" fontId="34" fillId="0" borderId="0" xfId="0" applyNumberFormat="1" applyFont="1" applyBorder="1" applyAlignment="1" applyProtection="1">
      <alignment/>
      <protection locked="0"/>
    </xf>
    <xf numFmtId="184" fontId="34" fillId="0" borderId="0" xfId="0" applyNumberFormat="1" applyFont="1" applyAlignment="1" applyProtection="1">
      <alignment/>
      <protection/>
    </xf>
    <xf numFmtId="184" fontId="37" fillId="0" borderId="0" xfId="0" applyNumberFormat="1" applyFont="1" applyAlignment="1" applyProtection="1">
      <alignment/>
      <protection/>
    </xf>
    <xf numFmtId="43" fontId="35" fillId="0" borderId="0" xfId="0" applyNumberFormat="1" applyFont="1" applyAlignment="1" applyProtection="1">
      <alignment/>
      <protection/>
    </xf>
    <xf numFmtId="184" fontId="35" fillId="0" borderId="0" xfId="0" applyNumberFormat="1" applyFont="1" applyAlignment="1" applyProtection="1">
      <alignment/>
      <protection/>
    </xf>
    <xf numFmtId="43" fontId="36" fillId="0" borderId="0" xfId="0" applyNumberFormat="1" applyFont="1" applyAlignment="1" applyProtection="1" quotePrefix="1">
      <alignment horizontal="left"/>
      <protection/>
    </xf>
    <xf numFmtId="43" fontId="35" fillId="0" borderId="0" xfId="0" applyNumberFormat="1" applyFont="1" applyAlignment="1" applyProtection="1" quotePrefix="1">
      <alignment horizontal="left"/>
      <protection/>
    </xf>
    <xf numFmtId="184" fontId="34" fillId="0" borderId="0" xfId="0" applyNumberFormat="1" applyFont="1" applyAlignment="1" applyProtection="1" quotePrefix="1">
      <alignment horizontal="right"/>
      <protection/>
    </xf>
    <xf numFmtId="184" fontId="35" fillId="0" borderId="0" xfId="0" applyNumberFormat="1" applyFont="1" applyAlignment="1" applyProtection="1">
      <alignment horizontal="center"/>
      <protection/>
    </xf>
    <xf numFmtId="43" fontId="36" fillId="0" borderId="0" xfId="0" applyNumberFormat="1" applyFont="1" applyAlignment="1" applyProtection="1">
      <alignment/>
      <protection/>
    </xf>
    <xf numFmtId="184" fontId="35" fillId="0" borderId="35" xfId="0" applyNumberFormat="1" applyFont="1" applyFill="1" applyBorder="1" applyAlignment="1" applyProtection="1">
      <alignment horizontal="center"/>
      <protection/>
    </xf>
    <xf numFmtId="184" fontId="35" fillId="0" borderId="82" xfId="0" applyNumberFormat="1" applyFont="1" applyBorder="1" applyAlignment="1" applyProtection="1">
      <alignment horizontal="center"/>
      <protection/>
    </xf>
    <xf numFmtId="43" fontId="34" fillId="0" borderId="16" xfId="0" applyNumberFormat="1" applyFont="1" applyBorder="1" applyAlignment="1" applyProtection="1">
      <alignment/>
      <protection/>
    </xf>
    <xf numFmtId="184" fontId="34" fillId="0" borderId="37" xfId="0" applyNumberFormat="1" applyFont="1" applyBorder="1" applyAlignment="1" applyProtection="1">
      <alignment horizontal="centerContinuous"/>
      <protection/>
    </xf>
    <xf numFmtId="184" fontId="34" fillId="0" borderId="16" xfId="0" applyNumberFormat="1" applyFont="1" applyBorder="1" applyAlignment="1" applyProtection="1">
      <alignment horizontal="centerContinuous"/>
      <protection/>
    </xf>
    <xf numFmtId="184" fontId="34" fillId="0" borderId="41" xfId="0" applyNumberFormat="1" applyFont="1" applyBorder="1" applyAlignment="1" applyProtection="1">
      <alignment/>
      <protection locked="0"/>
    </xf>
    <xf numFmtId="184" fontId="34" fillId="0" borderId="18" xfId="42" applyNumberFormat="1" applyFont="1" applyFill="1" applyBorder="1" applyAlignment="1" applyProtection="1">
      <alignment/>
      <protection/>
    </xf>
    <xf numFmtId="184" fontId="34" fillId="0" borderId="0" xfId="0" applyNumberFormat="1" applyFont="1" applyFill="1" applyBorder="1" applyAlignment="1">
      <alignment/>
    </xf>
    <xf numFmtId="184" fontId="34" fillId="0" borderId="0" xfId="0" applyNumberFormat="1" applyFont="1" applyBorder="1" applyAlignment="1" applyProtection="1">
      <alignment/>
      <protection/>
    </xf>
    <xf numFmtId="43" fontId="34" fillId="0" borderId="0" xfId="0" applyNumberFormat="1" applyFont="1" applyBorder="1" applyAlignment="1" applyProtection="1">
      <alignment/>
      <protection/>
    </xf>
    <xf numFmtId="184" fontId="39" fillId="0" borderId="0" xfId="0" applyNumberFormat="1" applyFont="1" applyFill="1" applyBorder="1" applyAlignment="1" applyProtection="1">
      <alignment/>
      <protection locked="0"/>
    </xf>
    <xf numFmtId="43" fontId="39" fillId="0" borderId="0" xfId="0" applyNumberFormat="1" applyFont="1" applyFill="1" applyBorder="1" applyAlignment="1" applyProtection="1">
      <alignment/>
      <protection locked="0"/>
    </xf>
    <xf numFmtId="43" fontId="39" fillId="0" borderId="0" xfId="42" applyNumberFormat="1" applyFont="1" applyFill="1" applyBorder="1" applyAlignment="1" applyProtection="1">
      <alignment/>
      <protection/>
    </xf>
    <xf numFmtId="43" fontId="34" fillId="38" borderId="33" xfId="0" applyNumberFormat="1" applyFont="1" applyFill="1" applyBorder="1" applyAlignment="1" applyProtection="1">
      <alignment wrapText="1"/>
      <protection/>
    </xf>
    <xf numFmtId="184" fontId="35" fillId="0" borderId="0" xfId="0" applyNumberFormat="1" applyFont="1" applyFill="1" applyBorder="1" applyAlignment="1">
      <alignment/>
    </xf>
    <xf numFmtId="43" fontId="35" fillId="38" borderId="33" xfId="0" applyNumberFormat="1" applyFont="1" applyFill="1" applyBorder="1" applyAlignment="1" applyProtection="1">
      <alignment wrapText="1"/>
      <protection/>
    </xf>
    <xf numFmtId="184" fontId="35" fillId="0" borderId="0" xfId="0" applyNumberFormat="1" applyFont="1" applyBorder="1" applyAlignment="1" applyProtection="1">
      <alignment/>
      <protection/>
    </xf>
    <xf numFmtId="43" fontId="35" fillId="39" borderId="35" xfId="0" applyNumberFormat="1" applyFont="1" applyFill="1" applyBorder="1" applyAlignment="1" applyProtection="1">
      <alignment horizontal="left"/>
      <protection/>
    </xf>
    <xf numFmtId="184" fontId="35" fillId="0" borderId="35" xfId="42" applyNumberFormat="1" applyFont="1" applyBorder="1" applyAlignment="1" applyProtection="1">
      <alignment/>
      <protection locked="0"/>
    </xf>
    <xf numFmtId="184" fontId="35" fillId="0" borderId="20" xfId="42" applyNumberFormat="1" applyFont="1" applyBorder="1" applyAlignment="1" applyProtection="1">
      <alignment/>
      <protection/>
    </xf>
    <xf numFmtId="43" fontId="34" fillId="0" borderId="37" xfId="0" applyNumberFormat="1" applyFont="1" applyBorder="1" applyAlignment="1" applyProtection="1">
      <alignment/>
      <protection/>
    </xf>
    <xf numFmtId="184" fontId="34" fillId="0" borderId="37" xfId="0" applyNumberFormat="1" applyFont="1" applyBorder="1" applyAlignment="1" applyProtection="1">
      <alignment horizontal="centerContinuous"/>
      <protection locked="0"/>
    </xf>
    <xf numFmtId="184" fontId="34" fillId="0" borderId="83" xfId="0" applyNumberFormat="1" applyFont="1" applyFill="1" applyBorder="1" applyAlignment="1" applyProtection="1">
      <alignment/>
      <protection locked="0"/>
    </xf>
    <xf numFmtId="184" fontId="34" fillId="0" borderId="18" xfId="42" applyNumberFormat="1" applyFont="1" applyBorder="1" applyAlignment="1" applyProtection="1">
      <alignment/>
      <protection/>
    </xf>
    <xf numFmtId="43" fontId="34" fillId="0" borderId="41" xfId="0" applyNumberFormat="1" applyFont="1" applyBorder="1" applyAlignment="1" applyProtection="1">
      <alignment/>
      <protection/>
    </xf>
    <xf numFmtId="43" fontId="35" fillId="0" borderId="0" xfId="0" applyNumberFormat="1" applyFont="1" applyFill="1" applyBorder="1" applyAlignment="1" applyProtection="1">
      <alignment horizontal="left"/>
      <protection/>
    </xf>
    <xf numFmtId="43" fontId="35" fillId="14" borderId="33" xfId="0" applyNumberFormat="1" applyFont="1" applyFill="1" applyBorder="1" applyAlignment="1" applyProtection="1">
      <alignment/>
      <protection/>
    </xf>
    <xf numFmtId="184" fontId="35" fillId="0" borderId="33" xfId="0" applyNumberFormat="1" applyFont="1" applyBorder="1" applyAlignment="1" applyProtection="1">
      <alignment/>
      <protection/>
    </xf>
    <xf numFmtId="0" fontId="35" fillId="0" borderId="0" xfId="0" applyNumberFormat="1" applyFont="1" applyAlignment="1" applyProtection="1">
      <alignment horizontal="right"/>
      <protection/>
    </xf>
    <xf numFmtId="184" fontId="34" fillId="0" borderId="27" xfId="0" applyNumberFormat="1" applyFont="1" applyBorder="1" applyAlignment="1" applyProtection="1">
      <alignment horizontal="centerContinuous"/>
      <protection/>
    </xf>
    <xf numFmtId="184" fontId="35" fillId="0" borderId="83" xfId="0" applyNumberFormat="1" applyFont="1" applyFill="1" applyBorder="1" applyAlignment="1" applyProtection="1">
      <alignment/>
      <protection locked="0"/>
    </xf>
    <xf numFmtId="184" fontId="35" fillId="0" borderId="42" xfId="0" applyNumberFormat="1" applyFont="1" applyFill="1" applyBorder="1" applyAlignment="1" applyProtection="1">
      <alignment/>
      <protection/>
    </xf>
    <xf numFmtId="184" fontId="34" fillId="40" borderId="0" xfId="0" applyNumberFormat="1" applyFont="1" applyFill="1" applyBorder="1" applyAlignment="1">
      <alignment/>
    </xf>
    <xf numFmtId="184" fontId="34" fillId="40" borderId="0" xfId="0" applyNumberFormat="1" applyFont="1" applyFill="1" applyAlignment="1" applyProtection="1">
      <alignment/>
      <protection/>
    </xf>
    <xf numFmtId="43" fontId="34" fillId="40" borderId="0" xfId="0" applyNumberFormat="1" applyFont="1" applyFill="1" applyAlignment="1" applyProtection="1">
      <alignment/>
      <protection/>
    </xf>
    <xf numFmtId="184" fontId="34" fillId="0" borderId="42" xfId="0" applyNumberFormat="1" applyFont="1" applyFill="1" applyBorder="1" applyAlignment="1" applyProtection="1">
      <alignment/>
      <protection/>
    </xf>
    <xf numFmtId="43" fontId="35" fillId="0" borderId="0" xfId="0" applyNumberFormat="1" applyFont="1" applyFill="1" applyBorder="1" applyAlignment="1" applyProtection="1">
      <alignment/>
      <protection/>
    </xf>
    <xf numFmtId="184" fontId="34" fillId="0" borderId="0" xfId="0" applyNumberFormat="1" applyFont="1" applyFill="1" applyAlignment="1" applyProtection="1">
      <alignment/>
      <protection/>
    </xf>
    <xf numFmtId="43" fontId="34" fillId="0" borderId="41" xfId="0" applyNumberFormat="1" applyFont="1" applyFill="1" applyBorder="1" applyAlignment="1" applyProtection="1">
      <alignment/>
      <protection/>
    </xf>
    <xf numFmtId="184" fontId="35" fillId="0" borderId="48" xfId="43" applyNumberFormat="1" applyFont="1" applyFill="1" applyBorder="1" applyAlignment="1" applyProtection="1">
      <alignment/>
      <protection locked="0"/>
    </xf>
    <xf numFmtId="43" fontId="36" fillId="0" borderId="0" xfId="0" applyNumberFormat="1" applyFont="1" applyFill="1" applyBorder="1" applyAlignment="1" applyProtection="1">
      <alignment/>
      <protection/>
    </xf>
    <xf numFmtId="184" fontId="35" fillId="0" borderId="0" xfId="43" applyNumberFormat="1" applyFont="1" applyFill="1" applyBorder="1" applyAlignment="1" applyProtection="1">
      <alignment/>
      <protection locked="0"/>
    </xf>
    <xf numFmtId="43" fontId="35" fillId="39" borderId="32" xfId="0" applyNumberFormat="1" applyFont="1" applyFill="1" applyBorder="1" applyAlignment="1" applyProtection="1">
      <alignment/>
      <protection/>
    </xf>
    <xf numFmtId="184" fontId="35" fillId="0" borderId="32" xfId="0" applyNumberFormat="1" applyFont="1" applyFill="1" applyBorder="1" applyAlignment="1" applyProtection="1">
      <alignment/>
      <protection/>
    </xf>
    <xf numFmtId="184" fontId="34" fillId="0" borderId="33" xfId="0" applyNumberFormat="1" applyFont="1" applyBorder="1" applyAlignment="1" applyProtection="1">
      <alignment horizontal="centerContinuous"/>
      <protection/>
    </xf>
    <xf numFmtId="184" fontId="34" fillId="0" borderId="21" xfId="0" applyNumberFormat="1" applyFont="1" applyBorder="1" applyAlignment="1" applyProtection="1">
      <alignment horizontal="right"/>
      <protection/>
    </xf>
    <xf numFmtId="184" fontId="34" fillId="0" borderId="34" xfId="0" applyNumberFormat="1" applyFont="1" applyBorder="1" applyAlignment="1" applyProtection="1">
      <alignment/>
      <protection/>
    </xf>
    <xf numFmtId="184" fontId="35" fillId="0" borderId="20" xfId="0" applyNumberFormat="1" applyFont="1" applyBorder="1" applyAlignment="1" applyProtection="1">
      <alignment/>
      <protection/>
    </xf>
    <xf numFmtId="184" fontId="34" fillId="0" borderId="35" xfId="0" applyNumberFormat="1" applyFont="1" applyBorder="1" applyAlignment="1" applyProtection="1">
      <alignment/>
      <protection/>
    </xf>
    <xf numFmtId="184" fontId="35" fillId="0" borderId="35" xfId="0" applyNumberFormat="1" applyFont="1" applyBorder="1" applyAlignment="1" applyProtection="1">
      <alignment/>
      <protection/>
    </xf>
    <xf numFmtId="184" fontId="35" fillId="39" borderId="25" xfId="0" applyNumberFormat="1" applyFont="1" applyFill="1" applyBorder="1" applyAlignment="1" applyProtection="1">
      <alignment/>
      <protection/>
    </xf>
    <xf numFmtId="43" fontId="35" fillId="0" borderId="0" xfId="0" applyNumberFormat="1" applyFont="1" applyAlignment="1" applyProtection="1">
      <alignment horizontal="center"/>
      <protection/>
    </xf>
    <xf numFmtId="0" fontId="35" fillId="0" borderId="0" xfId="0" applyNumberFormat="1" applyFont="1" applyAlignment="1" applyProtection="1" quotePrefix="1">
      <alignment horizontal="right"/>
      <protection/>
    </xf>
    <xf numFmtId="3" fontId="35" fillId="0" borderId="0" xfId="0" applyNumberFormat="1" applyFont="1" applyAlignment="1" applyProtection="1">
      <alignment horizontal="center"/>
      <protection/>
    </xf>
    <xf numFmtId="43" fontId="34" fillId="0" borderId="16" xfId="0" applyNumberFormat="1" applyFont="1" applyFill="1" applyBorder="1" applyAlignment="1" applyProtection="1">
      <alignment/>
      <protection/>
    </xf>
    <xf numFmtId="43" fontId="34" fillId="0" borderId="15" xfId="0" applyNumberFormat="1" applyFont="1" applyFill="1" applyBorder="1" applyAlignment="1" applyProtection="1">
      <alignment/>
      <protection/>
    </xf>
    <xf numFmtId="43" fontId="35" fillId="40" borderId="15" xfId="0" applyNumberFormat="1" applyFont="1" applyFill="1" applyBorder="1" applyAlignment="1" applyProtection="1">
      <alignment/>
      <protection/>
    </xf>
    <xf numFmtId="184" fontId="35" fillId="0" borderId="11" xfId="43" applyNumberFormat="1" applyFont="1" applyFill="1" applyBorder="1" applyAlignment="1" applyProtection="1">
      <alignment/>
      <protection/>
    </xf>
    <xf numFmtId="184" fontId="35" fillId="0" borderId="0" xfId="43" applyNumberFormat="1" applyFont="1" applyFill="1" applyBorder="1" applyAlignment="1" applyProtection="1">
      <alignment/>
      <protection/>
    </xf>
    <xf numFmtId="43" fontId="34" fillId="0" borderId="0" xfId="0" applyNumberFormat="1" applyFont="1" applyBorder="1" applyAlignment="1" applyProtection="1" quotePrefix="1">
      <alignment horizontal="left"/>
      <protection/>
    </xf>
    <xf numFmtId="43" fontId="35" fillId="0" borderId="20" xfId="0" applyNumberFormat="1" applyFont="1" applyBorder="1" applyAlignment="1" applyProtection="1">
      <alignment horizontal="left"/>
      <protection/>
    </xf>
    <xf numFmtId="43" fontId="34" fillId="0" borderId="20" xfId="0" applyNumberFormat="1" applyFont="1" applyBorder="1" applyAlignment="1" applyProtection="1">
      <alignment horizontal="left"/>
      <protection/>
    </xf>
    <xf numFmtId="43" fontId="35" fillId="0" borderId="35" xfId="0" applyNumberFormat="1" applyFont="1" applyBorder="1" applyAlignment="1" applyProtection="1" quotePrefix="1">
      <alignment horizontal="left"/>
      <protection/>
    </xf>
    <xf numFmtId="43" fontId="35" fillId="39" borderId="25" xfId="0" applyNumberFormat="1" applyFont="1" applyFill="1" applyBorder="1" applyAlignment="1" applyProtection="1">
      <alignment horizontal="left"/>
      <protection/>
    </xf>
    <xf numFmtId="184" fontId="35" fillId="37" borderId="14" xfId="0" applyNumberFormat="1" applyFont="1" applyFill="1" applyBorder="1" applyAlignment="1" applyProtection="1">
      <alignment/>
      <protection/>
    </xf>
    <xf numFmtId="184" fontId="35" fillId="0" borderId="69" xfId="0" applyNumberFormat="1" applyFont="1" applyBorder="1" applyAlignment="1" applyProtection="1">
      <alignment/>
      <protection locked="0"/>
    </xf>
    <xf numFmtId="184" fontId="35" fillId="37" borderId="61" xfId="0" applyNumberFormat="1" applyFont="1" applyFill="1" applyBorder="1" applyAlignment="1" applyProtection="1">
      <alignment/>
      <protection/>
    </xf>
    <xf numFmtId="184" fontId="35" fillId="37" borderId="62" xfId="0" applyNumberFormat="1" applyFont="1" applyFill="1" applyBorder="1" applyAlignment="1" applyProtection="1">
      <alignment/>
      <protection/>
    </xf>
    <xf numFmtId="43" fontId="34" fillId="0" borderId="38" xfId="42" applyNumberFormat="1" applyFont="1" applyFill="1" applyBorder="1" applyAlignment="1" applyProtection="1">
      <alignment/>
      <protection/>
    </xf>
    <xf numFmtId="43" fontId="34" fillId="0" borderId="27" xfId="42" applyNumberFormat="1" applyFont="1" applyFill="1" applyBorder="1" applyAlignment="1" applyProtection="1">
      <alignment/>
      <protection/>
    </xf>
    <xf numFmtId="3" fontId="7" fillId="0" borderId="17" xfId="0" applyNumberFormat="1" applyFont="1" applyBorder="1" applyAlignment="1" applyProtection="1">
      <alignment/>
      <protection/>
    </xf>
    <xf numFmtId="43" fontId="7" fillId="0" borderId="37" xfId="0" applyNumberFormat="1" applyFont="1" applyBorder="1" applyAlignment="1" applyProtection="1">
      <alignment horizontal="right"/>
      <protection/>
    </xf>
    <xf numFmtId="3" fontId="8" fillId="0" borderId="84" xfId="0" applyNumberFormat="1" applyFont="1" applyBorder="1" applyAlignment="1" applyProtection="1">
      <alignment/>
      <protection/>
    </xf>
    <xf numFmtId="43" fontId="7" fillId="0" borderId="35" xfId="0" applyNumberFormat="1" applyFont="1" applyBorder="1" applyAlignment="1" applyProtection="1">
      <alignment/>
      <protection/>
    </xf>
    <xf numFmtId="43" fontId="35" fillId="39" borderId="85" xfId="0" applyNumberFormat="1" applyFont="1" applyFill="1" applyBorder="1" applyAlignment="1" applyProtection="1">
      <alignment horizontal="left"/>
      <protection/>
    </xf>
    <xf numFmtId="184" fontId="34" fillId="0" borderId="86" xfId="0" applyNumberFormat="1" applyFont="1" applyFill="1" applyBorder="1" applyAlignment="1" applyProtection="1">
      <alignment/>
      <protection locked="0"/>
    </xf>
    <xf numFmtId="184" fontId="34" fillId="0" borderId="36" xfId="42" applyNumberFormat="1" applyFont="1" applyBorder="1" applyAlignment="1" applyProtection="1">
      <alignment/>
      <protection/>
    </xf>
    <xf numFmtId="184" fontId="34" fillId="0" borderId="87" xfId="0" applyNumberFormat="1" applyFont="1" applyBorder="1" applyAlignment="1" applyProtection="1">
      <alignment/>
      <protection locked="0"/>
    </xf>
    <xf numFmtId="184" fontId="34" fillId="0" borderId="88" xfId="0" applyNumberFormat="1" applyFont="1" applyBorder="1" applyAlignment="1" applyProtection="1">
      <alignment/>
      <protection locked="0"/>
    </xf>
    <xf numFmtId="184" fontId="34" fillId="0" borderId="89" xfId="0" applyNumberFormat="1" applyFont="1" applyBorder="1" applyAlignment="1" applyProtection="1">
      <alignment/>
      <protection locked="0"/>
    </xf>
    <xf numFmtId="184" fontId="35" fillId="37" borderId="0" xfId="0" applyNumberFormat="1" applyFont="1" applyFill="1" applyBorder="1" applyAlignment="1" applyProtection="1">
      <alignment/>
      <protection/>
    </xf>
    <xf numFmtId="3" fontId="34" fillId="0" borderId="17" xfId="0" applyNumberFormat="1" applyFont="1" applyBorder="1" applyAlignment="1" applyProtection="1">
      <alignment/>
      <protection/>
    </xf>
    <xf numFmtId="43" fontId="34" fillId="0" borderId="33" xfId="0" applyNumberFormat="1" applyFont="1" applyFill="1" applyBorder="1" applyAlignment="1" applyProtection="1">
      <alignment wrapText="1"/>
      <protection/>
    </xf>
    <xf numFmtId="43" fontId="35" fillId="0" borderId="33" xfId="0" applyNumberFormat="1" applyFont="1" applyFill="1" applyBorder="1" applyAlignment="1" applyProtection="1">
      <alignment/>
      <protection locked="0"/>
    </xf>
    <xf numFmtId="184" fontId="34" fillId="0" borderId="69" xfId="0" applyNumberFormat="1" applyFont="1" applyFill="1" applyBorder="1" applyAlignment="1" applyProtection="1">
      <alignment/>
      <protection locked="0"/>
    </xf>
    <xf numFmtId="43" fontId="34" fillId="32" borderId="68" xfId="42" applyNumberFormat="1" applyFont="1" applyFill="1" applyBorder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6"/>
  <sheetViews>
    <sheetView view="pageBreakPreview" zoomScaleSheetLayoutView="100" zoomScalePageLayoutView="0" workbookViewId="0" topLeftCell="A58">
      <selection activeCell="H12" sqref="H12"/>
    </sheetView>
  </sheetViews>
  <sheetFormatPr defaultColWidth="9.140625" defaultRowHeight="12.75"/>
  <cols>
    <col min="1" max="1" width="41.421875" style="213" customWidth="1"/>
    <col min="2" max="2" width="10.421875" style="214" customWidth="1"/>
    <col min="3" max="3" width="9.8515625" style="214" bestFit="1" customWidth="1"/>
    <col min="4" max="4" width="9.7109375" style="214" bestFit="1" customWidth="1"/>
    <col min="5" max="5" width="10.57421875" style="214" bestFit="1" customWidth="1"/>
    <col min="6" max="6" width="9.8515625" style="214" bestFit="1" customWidth="1"/>
    <col min="7" max="7" width="9.7109375" style="214" bestFit="1" customWidth="1"/>
    <col min="8" max="8" width="10.57421875" style="214" bestFit="1" customWidth="1"/>
    <col min="9" max="9" width="9.8515625" style="214" bestFit="1" customWidth="1"/>
    <col min="10" max="10" width="9.7109375" style="214" bestFit="1" customWidth="1"/>
    <col min="11" max="11" width="10.57421875" style="214" bestFit="1" customWidth="1"/>
    <col min="12" max="12" width="10.421875" style="214" bestFit="1" customWidth="1"/>
    <col min="13" max="13" width="11.140625" style="214" bestFit="1" customWidth="1"/>
    <col min="14" max="14" width="10.57421875" style="214" bestFit="1" customWidth="1"/>
    <col min="15" max="15" width="10.421875" style="214" bestFit="1" customWidth="1"/>
    <col min="16" max="16" width="11.140625" style="214" bestFit="1" customWidth="1"/>
    <col min="17" max="16384" width="9.140625" style="213" customWidth="1"/>
  </cols>
  <sheetData>
    <row r="1" spans="1:16" ht="12.75">
      <c r="A1" s="213" t="str">
        <f>+'2022 BUDGET'!A1</f>
        <v>FRANCISCAN SISTERS OF THE POOR</v>
      </c>
      <c r="P1" s="215">
        <f>+'2022 BUDGET'!N1</f>
        <v>2022</v>
      </c>
    </row>
    <row r="2" ht="12.75">
      <c r="A2" s="216" t="str">
        <f>+'2022 BUDGET'!A2</f>
        <v>NAME OF THE MINISTRY -  HAIRCUTS FROM THE HEART</v>
      </c>
    </row>
    <row r="4" ht="12.75">
      <c r="A4" s="217" t="str">
        <f>'2022 BUDGET'!A4</f>
        <v>MINISTRY EXPENSES</v>
      </c>
    </row>
    <row r="5" ht="12.75">
      <c r="B5" s="340"/>
    </row>
    <row r="6" ht="13.5" thickBot="1">
      <c r="A6" s="218"/>
    </row>
    <row r="7" spans="1:16" ht="13.5" thickTop="1">
      <c r="A7" s="219" t="str">
        <f>'2022 BUDGET'!A7</f>
        <v>General expenses</v>
      </c>
      <c r="B7" s="220" t="s">
        <v>111</v>
      </c>
      <c r="C7" s="221"/>
      <c r="D7" s="222"/>
      <c r="E7" s="223" t="s">
        <v>112</v>
      </c>
      <c r="F7" s="221"/>
      <c r="G7" s="222"/>
      <c r="H7" s="220" t="s">
        <v>113</v>
      </c>
      <c r="I7" s="221"/>
      <c r="J7" s="222"/>
      <c r="K7" s="224" t="s">
        <v>114</v>
      </c>
      <c r="L7" s="221"/>
      <c r="M7" s="225"/>
      <c r="N7" s="224" t="s">
        <v>115</v>
      </c>
      <c r="O7" s="221"/>
      <c r="P7" s="226"/>
    </row>
    <row r="8" spans="1:16" ht="12.75">
      <c r="A8" s="218"/>
      <c r="B8" s="227" t="s">
        <v>126</v>
      </c>
      <c r="C8" s="228" t="s">
        <v>49</v>
      </c>
      <c r="D8" s="229" t="s">
        <v>50</v>
      </c>
      <c r="E8" s="230" t="s">
        <v>126</v>
      </c>
      <c r="F8" s="228" t="s">
        <v>49</v>
      </c>
      <c r="G8" s="229" t="s">
        <v>50</v>
      </c>
      <c r="H8" s="230" t="s">
        <v>126</v>
      </c>
      <c r="I8" s="228" t="s">
        <v>49</v>
      </c>
      <c r="J8" s="229" t="s">
        <v>50</v>
      </c>
      <c r="K8" s="231" t="s">
        <v>126</v>
      </c>
      <c r="L8" s="228" t="s">
        <v>49</v>
      </c>
      <c r="M8" s="229" t="s">
        <v>50</v>
      </c>
      <c r="N8" s="231" t="s">
        <v>126</v>
      </c>
      <c r="O8" s="228" t="s">
        <v>49</v>
      </c>
      <c r="P8" s="232" t="s">
        <v>50</v>
      </c>
    </row>
    <row r="9" spans="1:16" ht="12.75">
      <c r="A9" s="233" t="str">
        <f>+'2022 BUDGET'!A9</f>
        <v>Rent</v>
      </c>
      <c r="B9" s="234"/>
      <c r="C9" s="235">
        <f>+'2022 BUDGET'!B9</f>
        <v>0</v>
      </c>
      <c r="D9" s="236">
        <f>+B9-C9</f>
        <v>0</v>
      </c>
      <c r="E9" s="234"/>
      <c r="F9" s="235">
        <f>+'2022 BUDGET'!C9</f>
        <v>0</v>
      </c>
      <c r="G9" s="236">
        <f>+E9-F9</f>
        <v>0</v>
      </c>
      <c r="H9" s="234"/>
      <c r="I9" s="235">
        <f>+'2022 BUDGET'!D9</f>
        <v>0</v>
      </c>
      <c r="J9" s="236">
        <f>+H9-I9</f>
        <v>0</v>
      </c>
      <c r="K9" s="237">
        <f>+B9+E9+H9</f>
        <v>0</v>
      </c>
      <c r="L9" s="235">
        <f>+C9+F9+I9</f>
        <v>0</v>
      </c>
      <c r="M9" s="236">
        <f>D9+G9+J9</f>
        <v>0</v>
      </c>
      <c r="N9" s="237">
        <f>+K9</f>
        <v>0</v>
      </c>
      <c r="O9" s="235">
        <f>+L9</f>
        <v>0</v>
      </c>
      <c r="P9" s="238">
        <f>+M9</f>
        <v>0</v>
      </c>
    </row>
    <row r="10" spans="1:16" ht="12.75">
      <c r="A10" s="233" t="str">
        <f>+'2022 BUDGET'!A10</f>
        <v>Bank expenses</v>
      </c>
      <c r="B10" s="234"/>
      <c r="C10" s="235">
        <f>+'2022 BUDGET'!B10</f>
        <v>0</v>
      </c>
      <c r="D10" s="236">
        <f aca="true" t="shared" si="0" ref="D10:D19">+B10-C10</f>
        <v>0</v>
      </c>
      <c r="E10" s="234"/>
      <c r="F10" s="235">
        <f>+'2022 BUDGET'!C10</f>
        <v>0</v>
      </c>
      <c r="G10" s="236">
        <f aca="true" t="shared" si="1" ref="G10:G19">+E10-F10</f>
        <v>0</v>
      </c>
      <c r="H10" s="234"/>
      <c r="I10" s="235">
        <f>+'2022 BUDGET'!D10</f>
        <v>0</v>
      </c>
      <c r="J10" s="236">
        <f aca="true" t="shared" si="2" ref="J10:J19">+H10-I10</f>
        <v>0</v>
      </c>
      <c r="K10" s="237">
        <f aca="true" t="shared" si="3" ref="K10:K19">+B10+E10+H10</f>
        <v>0</v>
      </c>
      <c r="L10" s="235">
        <f aca="true" t="shared" si="4" ref="L10:L19">+C10+F10+I10</f>
        <v>0</v>
      </c>
      <c r="M10" s="236">
        <f aca="true" t="shared" si="5" ref="M10:M19">D10+G10+J10</f>
        <v>0</v>
      </c>
      <c r="N10" s="237">
        <f aca="true" t="shared" si="6" ref="N10:N19">+K10</f>
        <v>0</v>
      </c>
      <c r="O10" s="235">
        <f aca="true" t="shared" si="7" ref="O10:O19">+L10</f>
        <v>0</v>
      </c>
      <c r="P10" s="238">
        <f aca="true" t="shared" si="8" ref="P10:P19">+M10</f>
        <v>0</v>
      </c>
    </row>
    <row r="11" spans="1:16" ht="12.75">
      <c r="A11" s="233" t="str">
        <f>+'2022 BUDGET'!A11</f>
        <v>Utility</v>
      </c>
      <c r="B11" s="234"/>
      <c r="C11" s="235">
        <f>+'2022 BUDGET'!B11</f>
        <v>42</v>
      </c>
      <c r="D11" s="236">
        <f t="shared" si="0"/>
        <v>-42</v>
      </c>
      <c r="E11" s="234"/>
      <c r="F11" s="235">
        <f>+'2022 BUDGET'!C11</f>
        <v>41</v>
      </c>
      <c r="G11" s="236">
        <f t="shared" si="1"/>
        <v>-41</v>
      </c>
      <c r="H11" s="234">
        <v>121.91</v>
      </c>
      <c r="I11" s="235">
        <f>+'2022 BUDGET'!D11</f>
        <v>42</v>
      </c>
      <c r="J11" s="236">
        <f t="shared" si="2"/>
        <v>79.91</v>
      </c>
      <c r="K11" s="237">
        <f t="shared" si="3"/>
        <v>121.91</v>
      </c>
      <c r="L11" s="235">
        <f t="shared" si="4"/>
        <v>125</v>
      </c>
      <c r="M11" s="236">
        <f t="shared" si="5"/>
        <v>-3.0900000000000034</v>
      </c>
      <c r="N11" s="237">
        <f t="shared" si="6"/>
        <v>121.91</v>
      </c>
      <c r="O11" s="235">
        <f t="shared" si="7"/>
        <v>125</v>
      </c>
      <c r="P11" s="238">
        <f t="shared" si="8"/>
        <v>-3.0900000000000034</v>
      </c>
    </row>
    <row r="12" spans="1:16" ht="12.75">
      <c r="A12" s="233" t="str">
        <f>+'2022 BUDGET'!A12</f>
        <v>Telephone</v>
      </c>
      <c r="B12" s="234"/>
      <c r="C12" s="235">
        <f>+'2022 BUDGET'!B12</f>
        <v>0</v>
      </c>
      <c r="D12" s="236">
        <f t="shared" si="0"/>
        <v>0</v>
      </c>
      <c r="E12" s="234"/>
      <c r="F12" s="235">
        <f>+'2022 BUDGET'!C12</f>
        <v>0</v>
      </c>
      <c r="G12" s="236">
        <f t="shared" si="1"/>
        <v>0</v>
      </c>
      <c r="H12" s="234"/>
      <c r="I12" s="235">
        <f>+'2022 BUDGET'!D12</f>
        <v>0</v>
      </c>
      <c r="J12" s="236">
        <f t="shared" si="2"/>
        <v>0</v>
      </c>
      <c r="K12" s="237">
        <f t="shared" si="3"/>
        <v>0</v>
      </c>
      <c r="L12" s="235">
        <f t="shared" si="4"/>
        <v>0</v>
      </c>
      <c r="M12" s="236">
        <f t="shared" si="5"/>
        <v>0</v>
      </c>
      <c r="N12" s="237">
        <f t="shared" si="6"/>
        <v>0</v>
      </c>
      <c r="O12" s="235">
        <f t="shared" si="7"/>
        <v>0</v>
      </c>
      <c r="P12" s="238">
        <f t="shared" si="8"/>
        <v>0</v>
      </c>
    </row>
    <row r="13" spans="1:16" ht="12.75">
      <c r="A13" s="233" t="str">
        <f>+'2022 BUDGET'!A13</f>
        <v>Subscription</v>
      </c>
      <c r="B13" s="234"/>
      <c r="C13" s="235">
        <f>+'2022 BUDGET'!B13</f>
        <v>0</v>
      </c>
      <c r="D13" s="236">
        <f t="shared" si="0"/>
        <v>0</v>
      </c>
      <c r="E13" s="234"/>
      <c r="F13" s="235">
        <f>+'2022 BUDGET'!C13</f>
        <v>0</v>
      </c>
      <c r="G13" s="236">
        <f t="shared" si="1"/>
        <v>0</v>
      </c>
      <c r="H13" s="234">
        <v>1350</v>
      </c>
      <c r="I13" s="235">
        <f>+'2022 BUDGET'!D13</f>
        <v>0</v>
      </c>
      <c r="J13" s="236">
        <f t="shared" si="2"/>
        <v>1350</v>
      </c>
      <c r="K13" s="237">
        <f t="shared" si="3"/>
        <v>1350</v>
      </c>
      <c r="L13" s="235">
        <f t="shared" si="4"/>
        <v>0</v>
      </c>
      <c r="M13" s="236">
        <f t="shared" si="5"/>
        <v>1350</v>
      </c>
      <c r="N13" s="237">
        <f t="shared" si="6"/>
        <v>1350</v>
      </c>
      <c r="O13" s="235">
        <f t="shared" si="7"/>
        <v>0</v>
      </c>
      <c r="P13" s="238">
        <f t="shared" si="8"/>
        <v>1350</v>
      </c>
    </row>
    <row r="14" spans="1:16" ht="12.75">
      <c r="A14" s="233" t="str">
        <f>+'2022 BUDGET'!A14</f>
        <v>Appliances</v>
      </c>
      <c r="B14" s="234"/>
      <c r="C14" s="235">
        <f>+'2022 BUDGET'!B14</f>
        <v>0</v>
      </c>
      <c r="D14" s="236">
        <f t="shared" si="0"/>
        <v>0</v>
      </c>
      <c r="E14" s="234"/>
      <c r="F14" s="235">
        <f>+'2022 BUDGET'!C14</f>
        <v>0</v>
      </c>
      <c r="G14" s="236">
        <f t="shared" si="1"/>
        <v>0</v>
      </c>
      <c r="H14" s="234"/>
      <c r="I14" s="235">
        <f>+'2022 BUDGET'!D14</f>
        <v>0</v>
      </c>
      <c r="J14" s="236">
        <f t="shared" si="2"/>
        <v>0</v>
      </c>
      <c r="K14" s="237">
        <f t="shared" si="3"/>
        <v>0</v>
      </c>
      <c r="L14" s="235">
        <f t="shared" si="4"/>
        <v>0</v>
      </c>
      <c r="M14" s="236">
        <f t="shared" si="5"/>
        <v>0</v>
      </c>
      <c r="N14" s="237">
        <f t="shared" si="6"/>
        <v>0</v>
      </c>
      <c r="O14" s="235">
        <f t="shared" si="7"/>
        <v>0</v>
      </c>
      <c r="P14" s="238">
        <f t="shared" si="8"/>
        <v>0</v>
      </c>
    </row>
    <row r="15" spans="1:16" ht="12.75">
      <c r="A15" s="233" t="str">
        <f>+'2022 BUDGET'!A15</f>
        <v>Furnishings</v>
      </c>
      <c r="B15" s="234"/>
      <c r="C15" s="235">
        <f>+'2022 BUDGET'!B15</f>
        <v>0</v>
      </c>
      <c r="D15" s="236">
        <f t="shared" si="0"/>
        <v>0</v>
      </c>
      <c r="E15" s="234"/>
      <c r="F15" s="235">
        <f>+'2022 BUDGET'!C15</f>
        <v>0</v>
      </c>
      <c r="G15" s="236">
        <f t="shared" si="1"/>
        <v>0</v>
      </c>
      <c r="H15" s="234"/>
      <c r="I15" s="235">
        <f>+'2022 BUDGET'!D15</f>
        <v>0</v>
      </c>
      <c r="J15" s="236">
        <f t="shared" si="2"/>
        <v>0</v>
      </c>
      <c r="K15" s="237">
        <f t="shared" si="3"/>
        <v>0</v>
      </c>
      <c r="L15" s="235">
        <f t="shared" si="4"/>
        <v>0</v>
      </c>
      <c r="M15" s="236">
        <f t="shared" si="5"/>
        <v>0</v>
      </c>
      <c r="N15" s="237">
        <f t="shared" si="6"/>
        <v>0</v>
      </c>
      <c r="O15" s="235">
        <f t="shared" si="7"/>
        <v>0</v>
      </c>
      <c r="P15" s="238">
        <f t="shared" si="8"/>
        <v>0</v>
      </c>
    </row>
    <row r="16" spans="1:16" ht="12.75">
      <c r="A16" s="233" t="str">
        <f>+'2022 BUDGET'!A16</f>
        <v>Food</v>
      </c>
      <c r="B16" s="234"/>
      <c r="C16" s="235">
        <f>+'2022 BUDGET'!B16</f>
        <v>0</v>
      </c>
      <c r="D16" s="236">
        <f t="shared" si="0"/>
        <v>0</v>
      </c>
      <c r="E16" s="234"/>
      <c r="F16" s="235">
        <f>+'2022 BUDGET'!C16</f>
        <v>0</v>
      </c>
      <c r="G16" s="236">
        <f t="shared" si="1"/>
        <v>0</v>
      </c>
      <c r="H16" s="234"/>
      <c r="I16" s="235">
        <f>+'2022 BUDGET'!D16</f>
        <v>12.5</v>
      </c>
      <c r="J16" s="236">
        <f t="shared" si="2"/>
        <v>-12.5</v>
      </c>
      <c r="K16" s="237">
        <f t="shared" si="3"/>
        <v>0</v>
      </c>
      <c r="L16" s="235">
        <f t="shared" si="4"/>
        <v>12.5</v>
      </c>
      <c r="M16" s="236">
        <f t="shared" si="5"/>
        <v>-12.5</v>
      </c>
      <c r="N16" s="237">
        <f t="shared" si="6"/>
        <v>0</v>
      </c>
      <c r="O16" s="235">
        <f t="shared" si="7"/>
        <v>12.5</v>
      </c>
      <c r="P16" s="238">
        <f t="shared" si="8"/>
        <v>-12.5</v>
      </c>
    </row>
    <row r="17" spans="1:16" ht="12.75">
      <c r="A17" s="233" t="str">
        <f>+'2022 BUDGET'!A17</f>
        <v>Transportation/Travel</v>
      </c>
      <c r="B17" s="234">
        <v>14.49</v>
      </c>
      <c r="C17" s="235">
        <f>+'2022 BUDGET'!B17</f>
        <v>25</v>
      </c>
      <c r="D17" s="236">
        <f t="shared" si="0"/>
        <v>-10.51</v>
      </c>
      <c r="E17" s="234">
        <v>25.15</v>
      </c>
      <c r="F17" s="235">
        <f>+'2022 BUDGET'!C17</f>
        <v>25</v>
      </c>
      <c r="G17" s="236">
        <f t="shared" si="1"/>
        <v>0.14999999999999858</v>
      </c>
      <c r="H17" s="234">
        <v>6.73</v>
      </c>
      <c r="I17" s="235">
        <f>+'2022 BUDGET'!D17</f>
        <v>25</v>
      </c>
      <c r="J17" s="236">
        <f t="shared" si="2"/>
        <v>-18.27</v>
      </c>
      <c r="K17" s="237">
        <f t="shared" si="3"/>
        <v>46.370000000000005</v>
      </c>
      <c r="L17" s="235">
        <f t="shared" si="4"/>
        <v>75</v>
      </c>
      <c r="M17" s="236">
        <f t="shared" si="5"/>
        <v>-28.630000000000003</v>
      </c>
      <c r="N17" s="237">
        <f t="shared" si="6"/>
        <v>46.370000000000005</v>
      </c>
      <c r="O17" s="235">
        <f t="shared" si="7"/>
        <v>75</v>
      </c>
      <c r="P17" s="238">
        <f t="shared" si="8"/>
        <v>-28.630000000000003</v>
      </c>
    </row>
    <row r="18" spans="1:16" ht="12.75">
      <c r="A18" s="233" t="str">
        <f>+'2022 BUDGET'!A18</f>
        <v>Car Expenses</v>
      </c>
      <c r="B18" s="234"/>
      <c r="C18" s="235">
        <f>+'2022 BUDGET'!B18</f>
        <v>29</v>
      </c>
      <c r="D18" s="236">
        <f t="shared" si="0"/>
        <v>-29</v>
      </c>
      <c r="E18" s="234"/>
      <c r="F18" s="235">
        <f>+'2022 BUDGET'!C18</f>
        <v>29</v>
      </c>
      <c r="G18" s="236">
        <f t="shared" si="1"/>
        <v>-29</v>
      </c>
      <c r="H18" s="234">
        <v>56.91</v>
      </c>
      <c r="I18" s="235">
        <f>+'2022 BUDGET'!D18</f>
        <v>29</v>
      </c>
      <c r="J18" s="236">
        <f t="shared" si="2"/>
        <v>27.909999999999997</v>
      </c>
      <c r="K18" s="237">
        <f t="shared" si="3"/>
        <v>56.91</v>
      </c>
      <c r="L18" s="235">
        <f t="shared" si="4"/>
        <v>87</v>
      </c>
      <c r="M18" s="236">
        <f t="shared" si="5"/>
        <v>-30.090000000000003</v>
      </c>
      <c r="N18" s="237">
        <f t="shared" si="6"/>
        <v>56.91</v>
      </c>
      <c r="O18" s="235">
        <f t="shared" si="7"/>
        <v>87</v>
      </c>
      <c r="P18" s="238">
        <f t="shared" si="8"/>
        <v>-30.090000000000003</v>
      </c>
    </row>
    <row r="19" spans="1:16" ht="12.75">
      <c r="A19" s="233" t="str">
        <f>+'2022 BUDGET'!A19</f>
        <v>Legal</v>
      </c>
      <c r="B19" s="234"/>
      <c r="C19" s="235">
        <f>+'2022 BUDGET'!B19</f>
        <v>0</v>
      </c>
      <c r="D19" s="236">
        <f t="shared" si="0"/>
        <v>0</v>
      </c>
      <c r="E19" s="234"/>
      <c r="F19" s="235">
        <f>+'2022 BUDGET'!C19</f>
        <v>0</v>
      </c>
      <c r="G19" s="236">
        <f t="shared" si="1"/>
        <v>0</v>
      </c>
      <c r="H19" s="234"/>
      <c r="I19" s="235">
        <f>+'2022 BUDGET'!D19</f>
        <v>0</v>
      </c>
      <c r="J19" s="236">
        <f t="shared" si="2"/>
        <v>0</v>
      </c>
      <c r="K19" s="237">
        <f t="shared" si="3"/>
        <v>0</v>
      </c>
      <c r="L19" s="235">
        <f t="shared" si="4"/>
        <v>0</v>
      </c>
      <c r="M19" s="236">
        <f t="shared" si="5"/>
        <v>0</v>
      </c>
      <c r="N19" s="237">
        <f t="shared" si="6"/>
        <v>0</v>
      </c>
      <c r="O19" s="235">
        <f t="shared" si="7"/>
        <v>0</v>
      </c>
      <c r="P19" s="238">
        <f t="shared" si="8"/>
        <v>0</v>
      </c>
    </row>
    <row r="20" spans="1:16" ht="12.75">
      <c r="A20" s="233" t="str">
        <f>+'2022 BUDGET'!A20</f>
        <v>Maintenance </v>
      </c>
      <c r="B20" s="234"/>
      <c r="C20" s="235">
        <f>+'2022 BUDGET'!B20</f>
        <v>21</v>
      </c>
      <c r="D20" s="236">
        <f aca="true" t="shared" si="9" ref="D20:D28">+B20-C20</f>
        <v>-21</v>
      </c>
      <c r="E20" s="234"/>
      <c r="F20" s="235">
        <f>+'2022 BUDGET'!C20</f>
        <v>20</v>
      </c>
      <c r="G20" s="236">
        <f aca="true" t="shared" si="10" ref="G20:G28">+E20-F20</f>
        <v>-20</v>
      </c>
      <c r="H20" s="234"/>
      <c r="I20" s="235">
        <f>+'2022 BUDGET'!D20</f>
        <v>21</v>
      </c>
      <c r="J20" s="236">
        <f aca="true" t="shared" si="11" ref="J20:J28">+H20-I20</f>
        <v>-21</v>
      </c>
      <c r="K20" s="237">
        <f aca="true" t="shared" si="12" ref="K20:K28">+B20+E20+H20</f>
        <v>0</v>
      </c>
      <c r="L20" s="235">
        <f aca="true" t="shared" si="13" ref="L20:L28">+C20+F20+I20</f>
        <v>62</v>
      </c>
      <c r="M20" s="236">
        <f aca="true" t="shared" si="14" ref="M20:M28">D20+G20+J20</f>
        <v>-62</v>
      </c>
      <c r="N20" s="237">
        <f aca="true" t="shared" si="15" ref="N20:N28">+K20</f>
        <v>0</v>
      </c>
      <c r="O20" s="235">
        <f aca="true" t="shared" si="16" ref="O20:O28">+L20</f>
        <v>62</v>
      </c>
      <c r="P20" s="238">
        <f aca="true" t="shared" si="17" ref="P20:P28">+M20</f>
        <v>-62</v>
      </c>
    </row>
    <row r="21" spans="1:16" ht="12.75">
      <c r="A21" s="233" t="str">
        <f>+'2022 BUDGET'!A21</f>
        <v>Minor Equipment</v>
      </c>
      <c r="B21" s="234"/>
      <c r="C21" s="235">
        <f>+'2022 BUDGET'!B21</f>
        <v>0</v>
      </c>
      <c r="D21" s="236">
        <f t="shared" si="9"/>
        <v>0</v>
      </c>
      <c r="E21" s="234"/>
      <c r="F21" s="235">
        <f>+'2022 BUDGET'!C21</f>
        <v>0</v>
      </c>
      <c r="G21" s="236">
        <f t="shared" si="10"/>
        <v>0</v>
      </c>
      <c r="H21" s="234"/>
      <c r="I21" s="235">
        <f>+'2022 BUDGET'!D21</f>
        <v>0</v>
      </c>
      <c r="J21" s="236">
        <f t="shared" si="11"/>
        <v>0</v>
      </c>
      <c r="K21" s="237">
        <f t="shared" si="12"/>
        <v>0</v>
      </c>
      <c r="L21" s="235">
        <f t="shared" si="13"/>
        <v>0</v>
      </c>
      <c r="M21" s="236">
        <f t="shared" si="14"/>
        <v>0</v>
      </c>
      <c r="N21" s="237">
        <f t="shared" si="15"/>
        <v>0</v>
      </c>
      <c r="O21" s="235">
        <f t="shared" si="16"/>
        <v>0</v>
      </c>
      <c r="P21" s="238">
        <f t="shared" si="17"/>
        <v>0</v>
      </c>
    </row>
    <row r="22" spans="1:16" ht="12.75">
      <c r="A22" s="233" t="str">
        <f>+'2022 BUDGET'!A22</f>
        <v>Properties  Taxes</v>
      </c>
      <c r="B22" s="234"/>
      <c r="C22" s="235">
        <f>+'2022 BUDGET'!B22</f>
        <v>0</v>
      </c>
      <c r="D22" s="236">
        <f t="shared" si="9"/>
        <v>0</v>
      </c>
      <c r="E22" s="234"/>
      <c r="F22" s="235">
        <f>+'2022 BUDGET'!C22</f>
        <v>0</v>
      </c>
      <c r="G22" s="236">
        <f t="shared" si="10"/>
        <v>0</v>
      </c>
      <c r="H22" s="234"/>
      <c r="I22" s="235">
        <f>+'2022 BUDGET'!D22</f>
        <v>0</v>
      </c>
      <c r="J22" s="236">
        <f t="shared" si="11"/>
        <v>0</v>
      </c>
      <c r="K22" s="237">
        <f t="shared" si="12"/>
        <v>0</v>
      </c>
      <c r="L22" s="235">
        <f t="shared" si="13"/>
        <v>0</v>
      </c>
      <c r="M22" s="236">
        <f t="shared" si="14"/>
        <v>0</v>
      </c>
      <c r="N22" s="237">
        <f t="shared" si="15"/>
        <v>0</v>
      </c>
      <c r="O22" s="235">
        <f t="shared" si="16"/>
        <v>0</v>
      </c>
      <c r="P22" s="238">
        <f t="shared" si="17"/>
        <v>0</v>
      </c>
    </row>
    <row r="23" spans="1:16" ht="12.75">
      <c r="A23" s="233" t="str">
        <f>+'2022 BUDGET'!A23</f>
        <v>Supplies </v>
      </c>
      <c r="B23" s="234"/>
      <c r="C23" s="235">
        <f>+'2022 BUDGET'!B23</f>
        <v>83</v>
      </c>
      <c r="D23" s="236">
        <f t="shared" si="9"/>
        <v>-83</v>
      </c>
      <c r="E23" s="234"/>
      <c r="F23" s="235">
        <f>+'2022 BUDGET'!C23</f>
        <v>84</v>
      </c>
      <c r="G23" s="236">
        <f t="shared" si="10"/>
        <v>-84</v>
      </c>
      <c r="H23" s="234"/>
      <c r="I23" s="235">
        <f>+'2022 BUDGET'!D23</f>
        <v>83</v>
      </c>
      <c r="J23" s="236">
        <f t="shared" si="11"/>
        <v>-83</v>
      </c>
      <c r="K23" s="237">
        <f t="shared" si="12"/>
        <v>0</v>
      </c>
      <c r="L23" s="235">
        <f t="shared" si="13"/>
        <v>250</v>
      </c>
      <c r="M23" s="236">
        <f t="shared" si="14"/>
        <v>-250</v>
      </c>
      <c r="N23" s="237">
        <f t="shared" si="15"/>
        <v>0</v>
      </c>
      <c r="O23" s="235">
        <f t="shared" si="16"/>
        <v>250</v>
      </c>
      <c r="P23" s="238">
        <f t="shared" si="17"/>
        <v>-250</v>
      </c>
    </row>
    <row r="24" spans="1:16" ht="12.75">
      <c r="A24" s="233" t="str">
        <f>+'2022 BUDGET'!A24</f>
        <v>Insurance</v>
      </c>
      <c r="B24" s="234"/>
      <c r="C24" s="235">
        <f>+'2022 BUDGET'!B24</f>
        <v>300</v>
      </c>
      <c r="D24" s="236">
        <f t="shared" si="9"/>
        <v>-300</v>
      </c>
      <c r="E24" s="234">
        <v>20.25</v>
      </c>
      <c r="F24" s="235">
        <f>+'2022 BUDGET'!C24</f>
        <v>0</v>
      </c>
      <c r="G24" s="236">
        <f t="shared" si="10"/>
        <v>20.25</v>
      </c>
      <c r="H24" s="234"/>
      <c r="I24" s="235">
        <f>+'2022 BUDGET'!D24</f>
        <v>0</v>
      </c>
      <c r="J24" s="236">
        <f t="shared" si="11"/>
        <v>0</v>
      </c>
      <c r="K24" s="237">
        <f t="shared" si="12"/>
        <v>20.25</v>
      </c>
      <c r="L24" s="235">
        <f t="shared" si="13"/>
        <v>300</v>
      </c>
      <c r="M24" s="236">
        <f t="shared" si="14"/>
        <v>-279.75</v>
      </c>
      <c r="N24" s="237">
        <f t="shared" si="15"/>
        <v>20.25</v>
      </c>
      <c r="O24" s="235">
        <f t="shared" si="16"/>
        <v>300</v>
      </c>
      <c r="P24" s="238">
        <f t="shared" si="17"/>
        <v>-279.75</v>
      </c>
    </row>
    <row r="25" spans="1:16" ht="12.75">
      <c r="A25" s="233" t="str">
        <f>+'2022 BUDGET'!A25</f>
        <v>Fund raiser &amp; Advertising &amp; Events</v>
      </c>
      <c r="B25" s="234"/>
      <c r="C25" s="235">
        <f>+'2022 BUDGET'!B25</f>
        <v>0</v>
      </c>
      <c r="D25" s="236">
        <f t="shared" si="9"/>
        <v>0</v>
      </c>
      <c r="E25" s="234"/>
      <c r="F25" s="235">
        <f>+'2022 BUDGET'!C25</f>
        <v>0</v>
      </c>
      <c r="G25" s="236">
        <f t="shared" si="10"/>
        <v>0</v>
      </c>
      <c r="H25" s="234"/>
      <c r="I25" s="235">
        <f>+'2022 BUDGET'!D25</f>
        <v>0</v>
      </c>
      <c r="J25" s="236">
        <f t="shared" si="11"/>
        <v>0</v>
      </c>
      <c r="K25" s="237">
        <f t="shared" si="12"/>
        <v>0</v>
      </c>
      <c r="L25" s="235">
        <f t="shared" si="13"/>
        <v>0</v>
      </c>
      <c r="M25" s="236">
        <f t="shared" si="14"/>
        <v>0</v>
      </c>
      <c r="N25" s="237">
        <f t="shared" si="15"/>
        <v>0</v>
      </c>
      <c r="O25" s="235">
        <f t="shared" si="16"/>
        <v>0</v>
      </c>
      <c r="P25" s="238">
        <f t="shared" si="17"/>
        <v>0</v>
      </c>
    </row>
    <row r="26" spans="1:16" ht="12.75">
      <c r="A26" s="233" t="str">
        <f>+'2022 BUDGET'!A26</f>
        <v>Postage &amp; freight</v>
      </c>
      <c r="B26" s="234"/>
      <c r="C26" s="235">
        <f>+'2022 BUDGET'!B26</f>
        <v>0</v>
      </c>
      <c r="D26" s="236">
        <f>+B26-C26</f>
        <v>0</v>
      </c>
      <c r="E26" s="234"/>
      <c r="F26" s="235">
        <f>+'2022 BUDGET'!C26</f>
        <v>0</v>
      </c>
      <c r="G26" s="236">
        <f t="shared" si="10"/>
        <v>0</v>
      </c>
      <c r="H26" s="234"/>
      <c r="I26" s="235">
        <f>+'2022 BUDGET'!D26</f>
        <v>0</v>
      </c>
      <c r="J26" s="236">
        <f t="shared" si="11"/>
        <v>0</v>
      </c>
      <c r="K26" s="237">
        <f t="shared" si="12"/>
        <v>0</v>
      </c>
      <c r="L26" s="235">
        <f t="shared" si="13"/>
        <v>0</v>
      </c>
      <c r="M26" s="236">
        <f t="shared" si="14"/>
        <v>0</v>
      </c>
      <c r="N26" s="237">
        <f t="shared" si="15"/>
        <v>0</v>
      </c>
      <c r="O26" s="235">
        <f t="shared" si="16"/>
        <v>0</v>
      </c>
      <c r="P26" s="238">
        <f t="shared" si="17"/>
        <v>0</v>
      </c>
    </row>
    <row r="27" spans="1:16" ht="12.75">
      <c r="A27" s="233" t="str">
        <f>+'2022 BUDGET'!A27</f>
        <v>Meeting &amp; seminars</v>
      </c>
      <c r="B27" s="234"/>
      <c r="C27" s="235">
        <f>+'2022 BUDGET'!B27</f>
        <v>8</v>
      </c>
      <c r="D27" s="236">
        <f>+B27-C27</f>
        <v>-8</v>
      </c>
      <c r="E27" s="234"/>
      <c r="F27" s="235">
        <f>+'2022 BUDGET'!C27</f>
        <v>9</v>
      </c>
      <c r="G27" s="236">
        <f>+E27-F27</f>
        <v>-9</v>
      </c>
      <c r="H27" s="234"/>
      <c r="I27" s="235">
        <f>+'2022 BUDGET'!D27</f>
        <v>8</v>
      </c>
      <c r="J27" s="236">
        <f t="shared" si="11"/>
        <v>-8</v>
      </c>
      <c r="K27" s="237">
        <f t="shared" si="12"/>
        <v>0</v>
      </c>
      <c r="L27" s="235">
        <f t="shared" si="13"/>
        <v>25</v>
      </c>
      <c r="M27" s="236">
        <f t="shared" si="14"/>
        <v>-25</v>
      </c>
      <c r="N27" s="237">
        <f t="shared" si="15"/>
        <v>0</v>
      </c>
      <c r="O27" s="235">
        <f t="shared" si="16"/>
        <v>25</v>
      </c>
      <c r="P27" s="238">
        <f t="shared" si="17"/>
        <v>-25</v>
      </c>
    </row>
    <row r="28" spans="1:16" ht="12.75">
      <c r="A28" s="233" t="str">
        <f>+'2022 BUDGET'!A28</f>
        <v>Contributions to people served</v>
      </c>
      <c r="B28" s="234"/>
      <c r="C28" s="235">
        <f>+'2022 BUDGET'!B28</f>
        <v>0</v>
      </c>
      <c r="D28" s="236">
        <f t="shared" si="9"/>
        <v>0</v>
      </c>
      <c r="E28" s="234"/>
      <c r="F28" s="235">
        <f>+'2022 BUDGET'!C28</f>
        <v>0</v>
      </c>
      <c r="G28" s="236">
        <f t="shared" si="10"/>
        <v>0</v>
      </c>
      <c r="H28" s="234"/>
      <c r="I28" s="235">
        <f>+'2022 BUDGET'!D28</f>
        <v>0</v>
      </c>
      <c r="J28" s="236">
        <f t="shared" si="11"/>
        <v>0</v>
      </c>
      <c r="K28" s="237">
        <f t="shared" si="12"/>
        <v>0</v>
      </c>
      <c r="L28" s="235">
        <f t="shared" si="13"/>
        <v>0</v>
      </c>
      <c r="M28" s="236">
        <f t="shared" si="14"/>
        <v>0</v>
      </c>
      <c r="N28" s="237">
        <f t="shared" si="15"/>
        <v>0</v>
      </c>
      <c r="O28" s="235">
        <f t="shared" si="16"/>
        <v>0</v>
      </c>
      <c r="P28" s="238">
        <f t="shared" si="17"/>
        <v>0</v>
      </c>
    </row>
    <row r="29" spans="1:16" ht="12.75">
      <c r="A29" s="233" t="str">
        <f>+'2022 BUDGET'!A29</f>
        <v>Depreciation</v>
      </c>
      <c r="B29" s="234">
        <v>420.82</v>
      </c>
      <c r="C29" s="235">
        <f>+'2022 BUDGET'!B29</f>
        <v>43</v>
      </c>
      <c r="D29" s="236">
        <f aca="true" t="shared" si="18" ref="D29:D40">+B29-C29</f>
        <v>377.82</v>
      </c>
      <c r="E29" s="234">
        <v>420.82</v>
      </c>
      <c r="F29" s="235">
        <f>+'2022 BUDGET'!C29</f>
        <v>42</v>
      </c>
      <c r="G29" s="236">
        <f aca="true" t="shared" si="19" ref="G29:G40">+E29-F29</f>
        <v>378.82</v>
      </c>
      <c r="H29" s="234">
        <v>420.82</v>
      </c>
      <c r="I29" s="235">
        <f>+'2022 BUDGET'!D29</f>
        <v>43</v>
      </c>
      <c r="J29" s="236">
        <f aca="true" t="shared" si="20" ref="J29:J40">+H29-I29</f>
        <v>377.82</v>
      </c>
      <c r="K29" s="237">
        <f aca="true" t="shared" si="21" ref="K29:K40">+B29+E29+H29</f>
        <v>1262.46</v>
      </c>
      <c r="L29" s="235">
        <f aca="true" t="shared" si="22" ref="L29:L40">+C29+F29+I29</f>
        <v>128</v>
      </c>
      <c r="M29" s="236">
        <f aca="true" t="shared" si="23" ref="M29:M40">D29+G29+J29</f>
        <v>1134.46</v>
      </c>
      <c r="N29" s="237">
        <f aca="true" t="shared" si="24" ref="N29:N40">+K29</f>
        <v>1262.46</v>
      </c>
      <c r="O29" s="235">
        <f aca="true" t="shared" si="25" ref="O29:O40">+L29</f>
        <v>128</v>
      </c>
      <c r="P29" s="238">
        <f aca="true" t="shared" si="26" ref="P29:P40">+M29</f>
        <v>1134.46</v>
      </c>
    </row>
    <row r="30" spans="1:16" ht="12.75">
      <c r="A30" s="233" t="str">
        <f>+'2022 BUDGET'!A30</f>
        <v>Computer Costs</v>
      </c>
      <c r="B30" s="234">
        <v>1350</v>
      </c>
      <c r="C30" s="235">
        <f>+'2022 BUDGET'!B30</f>
        <v>83</v>
      </c>
      <c r="D30" s="236">
        <f t="shared" si="18"/>
        <v>1267</v>
      </c>
      <c r="E30" s="234"/>
      <c r="F30" s="235">
        <f>+'2022 BUDGET'!C30</f>
        <v>84</v>
      </c>
      <c r="G30" s="236">
        <f t="shared" si="19"/>
        <v>-84</v>
      </c>
      <c r="H30" s="234">
        <v>-1350</v>
      </c>
      <c r="I30" s="235">
        <f>+'2022 BUDGET'!D30</f>
        <v>83</v>
      </c>
      <c r="J30" s="236">
        <f t="shared" si="20"/>
        <v>-1433</v>
      </c>
      <c r="K30" s="237">
        <f t="shared" si="21"/>
        <v>0</v>
      </c>
      <c r="L30" s="235">
        <f t="shared" si="22"/>
        <v>250</v>
      </c>
      <c r="M30" s="236">
        <f t="shared" si="23"/>
        <v>-250</v>
      </c>
      <c r="N30" s="237">
        <f t="shared" si="24"/>
        <v>0</v>
      </c>
      <c r="O30" s="235">
        <f t="shared" si="25"/>
        <v>250</v>
      </c>
      <c r="P30" s="238">
        <f t="shared" si="26"/>
        <v>-250</v>
      </c>
    </row>
    <row r="31" spans="1:16" ht="12.75">
      <c r="A31" s="233" t="str">
        <f>+'2022 BUDGET'!A31</f>
        <v>Brochure &amp; Printing</v>
      </c>
      <c r="B31" s="234"/>
      <c r="C31" s="235">
        <f>+'2022 BUDGET'!B31</f>
        <v>16</v>
      </c>
      <c r="D31" s="236">
        <f t="shared" si="18"/>
        <v>-16</v>
      </c>
      <c r="E31" s="234"/>
      <c r="F31" s="235">
        <f>+'2022 BUDGET'!C31</f>
        <v>17</v>
      </c>
      <c r="G31" s="236">
        <f t="shared" si="19"/>
        <v>-17</v>
      </c>
      <c r="H31" s="234"/>
      <c r="I31" s="235">
        <f>+'2022 BUDGET'!D31</f>
        <v>16</v>
      </c>
      <c r="J31" s="236">
        <f t="shared" si="20"/>
        <v>-16</v>
      </c>
      <c r="K31" s="237">
        <f t="shared" si="21"/>
        <v>0</v>
      </c>
      <c r="L31" s="235">
        <f t="shared" si="22"/>
        <v>49</v>
      </c>
      <c r="M31" s="236">
        <f t="shared" si="23"/>
        <v>-49</v>
      </c>
      <c r="N31" s="237">
        <f t="shared" si="24"/>
        <v>0</v>
      </c>
      <c r="O31" s="235">
        <f t="shared" si="25"/>
        <v>49</v>
      </c>
      <c r="P31" s="238">
        <f t="shared" si="26"/>
        <v>-49</v>
      </c>
    </row>
    <row r="32" spans="1:16" ht="12.75">
      <c r="A32" s="233" t="str">
        <f>+'2022 BUDGET'!A32</f>
        <v>Due To/From Other Ministries</v>
      </c>
      <c r="B32" s="234">
        <v>-580.55</v>
      </c>
      <c r="C32" s="235">
        <f>+'2022 BUDGET'!B32</f>
        <v>0</v>
      </c>
      <c r="D32" s="236">
        <f>+B32-C32</f>
        <v>-580.55</v>
      </c>
      <c r="E32" s="234">
        <v>-605.61</v>
      </c>
      <c r="F32" s="235">
        <f>+'2022 BUDGET'!C32</f>
        <v>0</v>
      </c>
      <c r="G32" s="236">
        <f>+E32-F32</f>
        <v>-605.61</v>
      </c>
      <c r="H32" s="234">
        <v>-1299.56</v>
      </c>
      <c r="I32" s="235">
        <f>+'2022 BUDGET'!D32</f>
        <v>0</v>
      </c>
      <c r="J32" s="236">
        <f>+H32-I32</f>
        <v>-1299.56</v>
      </c>
      <c r="K32" s="237">
        <f aca="true" t="shared" si="27" ref="K32:L34">+B32+E32+H32</f>
        <v>-2485.72</v>
      </c>
      <c r="L32" s="235">
        <f t="shared" si="27"/>
        <v>0</v>
      </c>
      <c r="M32" s="236">
        <f>D32+G32+J32</f>
        <v>-2485.72</v>
      </c>
      <c r="N32" s="237">
        <f aca="true" t="shared" si="28" ref="N32:P34">+K32</f>
        <v>-2485.72</v>
      </c>
      <c r="O32" s="235">
        <f t="shared" si="28"/>
        <v>0</v>
      </c>
      <c r="P32" s="238">
        <f t="shared" si="28"/>
        <v>-2485.72</v>
      </c>
    </row>
    <row r="33" spans="1:16" ht="12.75">
      <c r="A33" s="233" t="str">
        <f>+'2022 BUDGET'!A33</f>
        <v>Bureau of Workers Compensation</v>
      </c>
      <c r="B33" s="234"/>
      <c r="C33" s="235">
        <f>+'2022 BUDGET'!B33</f>
        <v>0</v>
      </c>
      <c r="D33" s="236">
        <f>+B33-C33</f>
        <v>0</v>
      </c>
      <c r="E33" s="234"/>
      <c r="F33" s="235">
        <f>+'2022 BUDGET'!C33</f>
        <v>0</v>
      </c>
      <c r="G33" s="236">
        <f>+E33-F33</f>
        <v>0</v>
      </c>
      <c r="H33" s="234"/>
      <c r="I33" s="235">
        <f>+'2022 BUDGET'!D33</f>
        <v>0</v>
      </c>
      <c r="J33" s="236">
        <f>+H33-I33</f>
        <v>0</v>
      </c>
      <c r="K33" s="237">
        <f t="shared" si="27"/>
        <v>0</v>
      </c>
      <c r="L33" s="235">
        <f t="shared" si="27"/>
        <v>0</v>
      </c>
      <c r="M33" s="236">
        <f>D33+G33+J33</f>
        <v>0</v>
      </c>
      <c r="N33" s="237">
        <f t="shared" si="28"/>
        <v>0</v>
      </c>
      <c r="O33" s="235">
        <f t="shared" si="28"/>
        <v>0</v>
      </c>
      <c r="P33" s="238">
        <f t="shared" si="28"/>
        <v>0</v>
      </c>
    </row>
    <row r="34" spans="1:16" ht="12.75">
      <c r="A34" s="233">
        <f>+'2022 BUDGET'!A34</f>
        <v>0</v>
      </c>
      <c r="B34" s="234"/>
      <c r="C34" s="235">
        <f>+'2022 BUDGET'!B34</f>
        <v>0</v>
      </c>
      <c r="D34" s="236">
        <f>+B34-C34</f>
        <v>0</v>
      </c>
      <c r="E34" s="234"/>
      <c r="F34" s="235">
        <f>+'2022 BUDGET'!C34</f>
        <v>0</v>
      </c>
      <c r="G34" s="236">
        <f>+E34-F34</f>
        <v>0</v>
      </c>
      <c r="H34" s="234"/>
      <c r="I34" s="235">
        <f>+'2022 BUDGET'!D34</f>
        <v>0</v>
      </c>
      <c r="J34" s="236">
        <f>+H34-I34</f>
        <v>0</v>
      </c>
      <c r="K34" s="237">
        <f t="shared" si="27"/>
        <v>0</v>
      </c>
      <c r="L34" s="235">
        <f t="shared" si="27"/>
        <v>0</v>
      </c>
      <c r="M34" s="236">
        <f>D34+G34+J34</f>
        <v>0</v>
      </c>
      <c r="N34" s="237">
        <f t="shared" si="28"/>
        <v>0</v>
      </c>
      <c r="O34" s="235">
        <f t="shared" si="28"/>
        <v>0</v>
      </c>
      <c r="P34" s="238">
        <f t="shared" si="28"/>
        <v>0</v>
      </c>
    </row>
    <row r="35" spans="1:16" ht="12.75">
      <c r="A35" s="233">
        <f>+'2022 BUDGET'!A35</f>
        <v>0</v>
      </c>
      <c r="B35" s="234"/>
      <c r="C35" s="235">
        <f>+'2022 BUDGET'!B35</f>
        <v>0</v>
      </c>
      <c r="D35" s="236">
        <f t="shared" si="18"/>
        <v>0</v>
      </c>
      <c r="E35" s="234"/>
      <c r="F35" s="235">
        <f>+'2022 BUDGET'!C35</f>
        <v>0</v>
      </c>
      <c r="G35" s="236">
        <f t="shared" si="19"/>
        <v>0</v>
      </c>
      <c r="H35" s="234"/>
      <c r="I35" s="235">
        <f>+'2022 BUDGET'!D35</f>
        <v>0</v>
      </c>
      <c r="J35" s="236">
        <f t="shared" si="20"/>
        <v>0</v>
      </c>
      <c r="K35" s="237">
        <f t="shared" si="21"/>
        <v>0</v>
      </c>
      <c r="L35" s="235">
        <f t="shared" si="22"/>
        <v>0</v>
      </c>
      <c r="M35" s="236">
        <f t="shared" si="23"/>
        <v>0</v>
      </c>
      <c r="N35" s="237">
        <f t="shared" si="24"/>
        <v>0</v>
      </c>
      <c r="O35" s="235">
        <f t="shared" si="25"/>
        <v>0</v>
      </c>
      <c r="P35" s="238">
        <f t="shared" si="26"/>
        <v>0</v>
      </c>
    </row>
    <row r="36" spans="1:16" ht="12.75">
      <c r="A36" s="233">
        <f>+'2022 BUDGET'!A36</f>
        <v>0</v>
      </c>
      <c r="B36" s="234"/>
      <c r="C36" s="235">
        <f>+'2022 BUDGET'!B36</f>
        <v>0</v>
      </c>
      <c r="D36" s="236">
        <f t="shared" si="18"/>
        <v>0</v>
      </c>
      <c r="E36" s="234"/>
      <c r="F36" s="235">
        <f>+'2022 BUDGET'!C36</f>
        <v>0</v>
      </c>
      <c r="G36" s="236">
        <f t="shared" si="19"/>
        <v>0</v>
      </c>
      <c r="H36" s="234"/>
      <c r="I36" s="235">
        <f>+'2022 BUDGET'!D36</f>
        <v>0</v>
      </c>
      <c r="J36" s="236">
        <f t="shared" si="20"/>
        <v>0</v>
      </c>
      <c r="K36" s="237">
        <f t="shared" si="21"/>
        <v>0</v>
      </c>
      <c r="L36" s="235">
        <f t="shared" si="22"/>
        <v>0</v>
      </c>
      <c r="M36" s="236">
        <f t="shared" si="23"/>
        <v>0</v>
      </c>
      <c r="N36" s="237">
        <f t="shared" si="24"/>
        <v>0</v>
      </c>
      <c r="O36" s="235">
        <f t="shared" si="25"/>
        <v>0</v>
      </c>
      <c r="P36" s="238">
        <f t="shared" si="26"/>
        <v>0</v>
      </c>
    </row>
    <row r="37" spans="1:16" ht="12.75">
      <c r="A37" s="233">
        <f>+'2022 BUDGET'!A37</f>
        <v>0</v>
      </c>
      <c r="B37" s="234"/>
      <c r="C37" s="235">
        <f>+'2022 BUDGET'!B37</f>
        <v>0</v>
      </c>
      <c r="D37" s="236">
        <f t="shared" si="18"/>
        <v>0</v>
      </c>
      <c r="E37" s="234"/>
      <c r="F37" s="235">
        <f>+'2022 BUDGET'!C37</f>
        <v>0</v>
      </c>
      <c r="G37" s="236">
        <f t="shared" si="19"/>
        <v>0</v>
      </c>
      <c r="H37" s="234"/>
      <c r="I37" s="235">
        <f>+'2022 BUDGET'!D37</f>
        <v>0</v>
      </c>
      <c r="J37" s="236">
        <f t="shared" si="20"/>
        <v>0</v>
      </c>
      <c r="K37" s="237">
        <f t="shared" si="21"/>
        <v>0</v>
      </c>
      <c r="L37" s="235">
        <f t="shared" si="22"/>
        <v>0</v>
      </c>
      <c r="M37" s="236">
        <f t="shared" si="23"/>
        <v>0</v>
      </c>
      <c r="N37" s="237">
        <f t="shared" si="24"/>
        <v>0</v>
      </c>
      <c r="O37" s="235">
        <f t="shared" si="25"/>
        <v>0</v>
      </c>
      <c r="P37" s="238">
        <f t="shared" si="26"/>
        <v>0</v>
      </c>
    </row>
    <row r="38" spans="1:16" ht="12.75">
      <c r="A38" s="233">
        <f>+'2022 BUDGET'!A38</f>
        <v>0</v>
      </c>
      <c r="B38" s="234"/>
      <c r="C38" s="235">
        <f>+'2022 BUDGET'!B38</f>
        <v>0</v>
      </c>
      <c r="D38" s="236">
        <f t="shared" si="18"/>
        <v>0</v>
      </c>
      <c r="E38" s="234"/>
      <c r="F38" s="235">
        <f>+'2022 BUDGET'!C38</f>
        <v>0</v>
      </c>
      <c r="G38" s="236">
        <f t="shared" si="19"/>
        <v>0</v>
      </c>
      <c r="H38" s="234"/>
      <c r="I38" s="235">
        <f>+'2022 BUDGET'!D38</f>
        <v>0</v>
      </c>
      <c r="J38" s="236">
        <f t="shared" si="20"/>
        <v>0</v>
      </c>
      <c r="K38" s="237">
        <f t="shared" si="21"/>
        <v>0</v>
      </c>
      <c r="L38" s="235">
        <f t="shared" si="22"/>
        <v>0</v>
      </c>
      <c r="M38" s="236">
        <f t="shared" si="23"/>
        <v>0</v>
      </c>
      <c r="N38" s="237">
        <f t="shared" si="24"/>
        <v>0</v>
      </c>
      <c r="O38" s="235">
        <f t="shared" si="25"/>
        <v>0</v>
      </c>
      <c r="P38" s="238">
        <f t="shared" si="26"/>
        <v>0</v>
      </c>
    </row>
    <row r="39" spans="1:16" ht="12.75">
      <c r="A39" s="233">
        <f>+'2022 BUDGET'!A39</f>
        <v>0</v>
      </c>
      <c r="B39" s="234"/>
      <c r="C39" s="235">
        <f>+'2022 BUDGET'!B39</f>
        <v>0</v>
      </c>
      <c r="D39" s="236">
        <f t="shared" si="18"/>
        <v>0</v>
      </c>
      <c r="E39" s="234"/>
      <c r="F39" s="235">
        <f>+'2022 BUDGET'!C39</f>
        <v>0</v>
      </c>
      <c r="G39" s="236">
        <f t="shared" si="19"/>
        <v>0</v>
      </c>
      <c r="H39" s="234"/>
      <c r="I39" s="235">
        <f>+'2022 BUDGET'!D39</f>
        <v>0</v>
      </c>
      <c r="J39" s="236">
        <f t="shared" si="20"/>
        <v>0</v>
      </c>
      <c r="K39" s="237">
        <f t="shared" si="21"/>
        <v>0</v>
      </c>
      <c r="L39" s="235">
        <f t="shared" si="22"/>
        <v>0</v>
      </c>
      <c r="M39" s="236">
        <f t="shared" si="23"/>
        <v>0</v>
      </c>
      <c r="N39" s="237">
        <f t="shared" si="24"/>
        <v>0</v>
      </c>
      <c r="O39" s="235">
        <f t="shared" si="25"/>
        <v>0</v>
      </c>
      <c r="P39" s="238">
        <f t="shared" si="26"/>
        <v>0</v>
      </c>
    </row>
    <row r="40" spans="1:16" ht="12.75">
      <c r="A40" s="233">
        <f>+'2022 BUDGET'!A40</f>
        <v>0</v>
      </c>
      <c r="B40" s="234"/>
      <c r="C40" s="235">
        <f>+'2022 BUDGET'!B40</f>
        <v>0</v>
      </c>
      <c r="D40" s="236">
        <f t="shared" si="18"/>
        <v>0</v>
      </c>
      <c r="E40" s="234"/>
      <c r="F40" s="235">
        <f>+'2022 BUDGET'!C40</f>
        <v>0</v>
      </c>
      <c r="G40" s="236">
        <f t="shared" si="19"/>
        <v>0</v>
      </c>
      <c r="H40" s="234"/>
      <c r="I40" s="235">
        <f>+'2022 BUDGET'!D40</f>
        <v>0</v>
      </c>
      <c r="J40" s="236">
        <f t="shared" si="20"/>
        <v>0</v>
      </c>
      <c r="K40" s="237">
        <f t="shared" si="21"/>
        <v>0</v>
      </c>
      <c r="L40" s="235">
        <f t="shared" si="22"/>
        <v>0</v>
      </c>
      <c r="M40" s="236">
        <f t="shared" si="23"/>
        <v>0</v>
      </c>
      <c r="N40" s="237">
        <f t="shared" si="24"/>
        <v>0</v>
      </c>
      <c r="O40" s="235">
        <f t="shared" si="25"/>
        <v>0</v>
      </c>
      <c r="P40" s="238">
        <f t="shared" si="26"/>
        <v>0</v>
      </c>
    </row>
    <row r="41" spans="1:16" ht="12.75">
      <c r="A41" s="233">
        <f>+'2022 BUDGET'!A41</f>
        <v>0</v>
      </c>
      <c r="B41" s="234"/>
      <c r="C41" s="235">
        <f>+'2022 BUDGET'!B41</f>
        <v>0</v>
      </c>
      <c r="D41" s="236">
        <f>+B41-C41</f>
        <v>0</v>
      </c>
      <c r="E41" s="234"/>
      <c r="F41" s="235">
        <f>+'2022 BUDGET'!C41</f>
        <v>0</v>
      </c>
      <c r="G41" s="236">
        <f>+E41-F41</f>
        <v>0</v>
      </c>
      <c r="H41" s="234"/>
      <c r="I41" s="235">
        <f>+'2022 BUDGET'!D41</f>
        <v>0</v>
      </c>
      <c r="J41" s="236">
        <f>+H41-I41</f>
        <v>0</v>
      </c>
      <c r="K41" s="237">
        <f>+B41+E41+H41</f>
        <v>0</v>
      </c>
      <c r="L41" s="235">
        <f>+C41+F41+I41</f>
        <v>0</v>
      </c>
      <c r="M41" s="236">
        <f>D41+G41+J41</f>
        <v>0</v>
      </c>
      <c r="N41" s="237">
        <f>+K41</f>
        <v>0</v>
      </c>
      <c r="O41" s="235">
        <f>+L41</f>
        <v>0</v>
      </c>
      <c r="P41" s="238">
        <f>+M41</f>
        <v>0</v>
      </c>
    </row>
    <row r="42" spans="1:16" ht="12.75" customHeight="1">
      <c r="A42" s="239" t="s">
        <v>180</v>
      </c>
      <c r="B42" s="240">
        <f>SUM(B9:B41)</f>
        <v>1204.76</v>
      </c>
      <c r="C42" s="240">
        <f aca="true" t="shared" si="29" ref="C42:M42">SUM(C9:C41)</f>
        <v>650</v>
      </c>
      <c r="D42" s="240">
        <f t="shared" si="29"/>
        <v>554.76</v>
      </c>
      <c r="E42" s="240">
        <f t="shared" si="29"/>
        <v>-139.39000000000004</v>
      </c>
      <c r="F42" s="240">
        <f t="shared" si="29"/>
        <v>351</v>
      </c>
      <c r="G42" s="240">
        <f t="shared" si="29"/>
        <v>-490.39</v>
      </c>
      <c r="H42" s="240">
        <f t="shared" si="29"/>
        <v>-693.1899999999998</v>
      </c>
      <c r="I42" s="240">
        <f t="shared" si="29"/>
        <v>362.5</v>
      </c>
      <c r="J42" s="240">
        <f t="shared" si="29"/>
        <v>-1055.6899999999998</v>
      </c>
      <c r="K42" s="240">
        <f t="shared" si="29"/>
        <v>372.18000000000075</v>
      </c>
      <c r="L42" s="240">
        <f t="shared" si="29"/>
        <v>1363.5</v>
      </c>
      <c r="M42" s="240">
        <f t="shared" si="29"/>
        <v>-991.3199999999997</v>
      </c>
      <c r="N42" s="240">
        <f>SUM(N9:N41)</f>
        <v>372.18000000000075</v>
      </c>
      <c r="O42" s="240">
        <f>SUM(O9:O41)</f>
        <v>1363.5</v>
      </c>
      <c r="P42" s="240">
        <f>SUM(P9:P41)</f>
        <v>-991.3199999999997</v>
      </c>
    </row>
    <row r="43" spans="1:16" ht="12.75" customHeight="1">
      <c r="A43" s="241"/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</row>
    <row r="44" spans="1:16" ht="12.75">
      <c r="A44" s="243"/>
      <c r="B44" s="244"/>
      <c r="C44" s="245"/>
      <c r="D44" s="246"/>
      <c r="E44" s="247"/>
      <c r="F44" s="248"/>
      <c r="G44" s="249"/>
      <c r="H44" s="247"/>
      <c r="I44" s="248"/>
      <c r="J44" s="249"/>
      <c r="K44" s="250"/>
      <c r="L44" s="248"/>
      <c r="M44" s="249"/>
      <c r="N44" s="250"/>
      <c r="O44" s="248"/>
      <c r="P44" s="251"/>
    </row>
    <row r="45" spans="1:16" ht="12.75">
      <c r="A45" s="252" t="str">
        <f>'2022 BUDGET'!A45</f>
        <v>Staff expenses</v>
      </c>
      <c r="B45" s="244"/>
      <c r="C45" s="245"/>
      <c r="D45" s="246"/>
      <c r="E45" s="247"/>
      <c r="F45" s="248"/>
      <c r="G45" s="249"/>
      <c r="H45" s="247"/>
      <c r="I45" s="248"/>
      <c r="J45" s="249"/>
      <c r="K45" s="250"/>
      <c r="L45" s="248"/>
      <c r="M45" s="249"/>
      <c r="N45" s="250"/>
      <c r="O45" s="248"/>
      <c r="P45" s="251"/>
    </row>
    <row r="46" spans="1:16" ht="12.75">
      <c r="A46" s="253"/>
      <c r="B46" s="227" t="str">
        <f>+B8</f>
        <v>ACTUALS</v>
      </c>
      <c r="C46" s="228" t="str">
        <f>+C8</f>
        <v>BUDGET</v>
      </c>
      <c r="D46" s="229" t="str">
        <f>+D8</f>
        <v>DIFF.</v>
      </c>
      <c r="E46" s="234" t="str">
        <f>E8</f>
        <v>ACTUALS</v>
      </c>
      <c r="F46" s="254" t="str">
        <f aca="true" t="shared" si="30" ref="F46:P46">+F8</f>
        <v>BUDGET</v>
      </c>
      <c r="G46" s="255" t="str">
        <f t="shared" si="30"/>
        <v>DIFF.</v>
      </c>
      <c r="H46" s="256" t="str">
        <f t="shared" si="30"/>
        <v>ACTUALS</v>
      </c>
      <c r="I46" s="254" t="str">
        <f t="shared" si="30"/>
        <v>BUDGET</v>
      </c>
      <c r="J46" s="255" t="str">
        <f t="shared" si="30"/>
        <v>DIFF.</v>
      </c>
      <c r="K46" s="257" t="str">
        <f t="shared" si="30"/>
        <v>ACTUALS</v>
      </c>
      <c r="L46" s="254" t="str">
        <f t="shared" si="30"/>
        <v>BUDGET</v>
      </c>
      <c r="M46" s="255" t="str">
        <f t="shared" si="30"/>
        <v>DIFF.</v>
      </c>
      <c r="N46" s="257" t="str">
        <f t="shared" si="30"/>
        <v>ACTUALS</v>
      </c>
      <c r="O46" s="254" t="str">
        <f t="shared" si="30"/>
        <v>BUDGET</v>
      </c>
      <c r="P46" s="258" t="str">
        <f t="shared" si="30"/>
        <v>DIFF.</v>
      </c>
    </row>
    <row r="47" spans="1:16" ht="12.75">
      <c r="A47" s="259" t="str">
        <f>+'2022 BUDGET'!A47</f>
        <v>Salaries</v>
      </c>
      <c r="B47" s="234">
        <v>440.55</v>
      </c>
      <c r="C47" s="235">
        <f>+'2022 BUDGET'!B47</f>
        <v>3165.63</v>
      </c>
      <c r="D47" s="236">
        <f>+B47-C47</f>
        <v>-2725.08</v>
      </c>
      <c r="E47" s="234">
        <v>450.24</v>
      </c>
      <c r="F47" s="235">
        <f>+'2022 BUDGET'!C47</f>
        <v>3165.63</v>
      </c>
      <c r="G47" s="236">
        <f>+E47-F47</f>
        <v>-2715.3900000000003</v>
      </c>
      <c r="H47" s="234">
        <v>675.36</v>
      </c>
      <c r="I47" s="235">
        <f>+'2022 BUDGET'!D47</f>
        <v>4748.44</v>
      </c>
      <c r="J47" s="236">
        <f>+H47-I47</f>
        <v>-4073.0799999999995</v>
      </c>
      <c r="K47" s="237">
        <f>+B47+E47+H47</f>
        <v>1566.15</v>
      </c>
      <c r="L47" s="235">
        <f>+C47+F47+I47</f>
        <v>11079.7</v>
      </c>
      <c r="M47" s="236">
        <f>D47+G47+J47</f>
        <v>-9513.55</v>
      </c>
      <c r="N47" s="237">
        <f aca="true" t="shared" si="31" ref="N47:P50">+K47</f>
        <v>1566.15</v>
      </c>
      <c r="O47" s="235">
        <f t="shared" si="31"/>
        <v>11079.7</v>
      </c>
      <c r="P47" s="238">
        <f t="shared" si="31"/>
        <v>-9513.55</v>
      </c>
    </row>
    <row r="48" spans="1:16" ht="12.75">
      <c r="A48" s="259" t="str">
        <f>+'2022 BUDGET'!A48</f>
        <v>Employees Benefits</v>
      </c>
      <c r="B48" s="234">
        <v>101.04</v>
      </c>
      <c r="C48" s="235">
        <f>+'2022 BUDGET'!B48</f>
        <v>585.55</v>
      </c>
      <c r="D48" s="236">
        <f aca="true" t="shared" si="32" ref="D48:D55">+B48-C48</f>
        <v>-484.50999999999993</v>
      </c>
      <c r="E48" s="234">
        <v>101</v>
      </c>
      <c r="F48" s="235">
        <f>+'2022 BUDGET'!C48</f>
        <v>585.54</v>
      </c>
      <c r="G48" s="236">
        <f aca="true" t="shared" si="33" ref="G48:G55">+E48-F48</f>
        <v>-484.53999999999996</v>
      </c>
      <c r="H48" s="234">
        <v>576.03</v>
      </c>
      <c r="I48" s="235">
        <f>+'2022 BUDGET'!D48</f>
        <v>585.55</v>
      </c>
      <c r="J48" s="236">
        <f aca="true" t="shared" si="34" ref="J48:J55">+H48-I48</f>
        <v>-9.519999999999982</v>
      </c>
      <c r="K48" s="237">
        <f aca="true" t="shared" si="35" ref="K48:K55">+B48+E48+H48</f>
        <v>778.0699999999999</v>
      </c>
      <c r="L48" s="235">
        <f aca="true" t="shared" si="36" ref="L48:L55">+C48+F48+I48</f>
        <v>1756.6399999999999</v>
      </c>
      <c r="M48" s="236">
        <f aca="true" t="shared" si="37" ref="M48:M55">D48+G48+J48</f>
        <v>-978.5699999999999</v>
      </c>
      <c r="N48" s="237">
        <f t="shared" si="31"/>
        <v>778.0699999999999</v>
      </c>
      <c r="O48" s="235">
        <f t="shared" si="31"/>
        <v>1756.6399999999999</v>
      </c>
      <c r="P48" s="238">
        <f t="shared" si="31"/>
        <v>-978.5699999999999</v>
      </c>
    </row>
    <row r="49" spans="1:16" ht="12.75">
      <c r="A49" s="259" t="str">
        <f>+'2022 BUDGET'!A49</f>
        <v>Pension Contribution</v>
      </c>
      <c r="B49" s="234"/>
      <c r="C49" s="235">
        <f>+'2022 BUDGET'!B49</f>
        <v>0</v>
      </c>
      <c r="D49" s="236">
        <f t="shared" si="32"/>
        <v>0</v>
      </c>
      <c r="E49" s="234"/>
      <c r="F49" s="235">
        <f>+'2022 BUDGET'!C49</f>
        <v>0</v>
      </c>
      <c r="G49" s="236">
        <f t="shared" si="33"/>
        <v>0</v>
      </c>
      <c r="H49" s="234"/>
      <c r="I49" s="235">
        <f>+'2022 BUDGET'!D49</f>
        <v>0</v>
      </c>
      <c r="J49" s="236">
        <f t="shared" si="34"/>
        <v>0</v>
      </c>
      <c r="K49" s="237">
        <f t="shared" si="35"/>
        <v>0</v>
      </c>
      <c r="L49" s="235">
        <f t="shared" si="36"/>
        <v>0</v>
      </c>
      <c r="M49" s="236">
        <f t="shared" si="37"/>
        <v>0</v>
      </c>
      <c r="N49" s="237">
        <f t="shared" si="31"/>
        <v>0</v>
      </c>
      <c r="O49" s="235">
        <f t="shared" si="31"/>
        <v>0</v>
      </c>
      <c r="P49" s="238">
        <f t="shared" si="31"/>
        <v>0</v>
      </c>
    </row>
    <row r="50" spans="1:16" ht="12.75">
      <c r="A50" s="259" t="str">
        <f>+'2022 BUDGET'!A50</f>
        <v>Payroll taxes</v>
      </c>
      <c r="B50" s="234">
        <v>36.96</v>
      </c>
      <c r="C50" s="235">
        <f>+'2022 BUDGET'!B50</f>
        <v>277.5</v>
      </c>
      <c r="D50" s="236">
        <f t="shared" si="32"/>
        <v>-240.54</v>
      </c>
      <c r="E50" s="234">
        <v>34.12</v>
      </c>
      <c r="F50" s="235">
        <f>+'2022 BUDGET'!C50</f>
        <v>277.5</v>
      </c>
      <c r="G50" s="236">
        <f t="shared" si="33"/>
        <v>-243.38</v>
      </c>
      <c r="H50" s="234">
        <v>48.17</v>
      </c>
      <c r="I50" s="235">
        <f>+'2022 BUDGET'!D50</f>
        <v>416.25</v>
      </c>
      <c r="J50" s="236">
        <f t="shared" si="34"/>
        <v>-368.08</v>
      </c>
      <c r="K50" s="237">
        <f t="shared" si="35"/>
        <v>119.25</v>
      </c>
      <c r="L50" s="235">
        <f t="shared" si="36"/>
        <v>971.25</v>
      </c>
      <c r="M50" s="236">
        <f t="shared" si="37"/>
        <v>-852</v>
      </c>
      <c r="N50" s="237">
        <f t="shared" si="31"/>
        <v>119.25</v>
      </c>
      <c r="O50" s="235">
        <f t="shared" si="31"/>
        <v>971.25</v>
      </c>
      <c r="P50" s="238">
        <f t="shared" si="31"/>
        <v>-852</v>
      </c>
    </row>
    <row r="51" spans="1:16" ht="12.75">
      <c r="A51" s="259" t="str">
        <f>+'2022 BUDGET'!A51</f>
        <v>Formation for employees</v>
      </c>
      <c r="B51" s="234"/>
      <c r="C51" s="235">
        <f>+'2022 BUDGET'!B51</f>
        <v>0</v>
      </c>
      <c r="D51" s="236">
        <f t="shared" si="32"/>
        <v>0</v>
      </c>
      <c r="E51" s="234"/>
      <c r="F51" s="235">
        <f>+'2022 BUDGET'!C51</f>
        <v>0</v>
      </c>
      <c r="G51" s="236">
        <f t="shared" si="33"/>
        <v>0</v>
      </c>
      <c r="H51" s="234"/>
      <c r="I51" s="235">
        <f>+'2022 BUDGET'!D51</f>
        <v>0</v>
      </c>
      <c r="J51" s="236">
        <f t="shared" si="34"/>
        <v>0</v>
      </c>
      <c r="K51" s="237">
        <f t="shared" si="35"/>
        <v>0</v>
      </c>
      <c r="L51" s="235">
        <f t="shared" si="36"/>
        <v>0</v>
      </c>
      <c r="M51" s="236">
        <f t="shared" si="37"/>
        <v>0</v>
      </c>
      <c r="N51" s="237">
        <f aca="true" t="shared" si="38" ref="N51:P55">+K51</f>
        <v>0</v>
      </c>
      <c r="O51" s="235">
        <f t="shared" si="38"/>
        <v>0</v>
      </c>
      <c r="P51" s="238">
        <f t="shared" si="38"/>
        <v>0</v>
      </c>
    </row>
    <row r="52" spans="1:16" ht="12.75">
      <c r="A52" s="259" t="str">
        <f>+'2022 BUDGET'!A52</f>
        <v>SFP mission orientation programs</v>
      </c>
      <c r="B52" s="234"/>
      <c r="C52" s="235">
        <f>+'2022 BUDGET'!B52</f>
        <v>0</v>
      </c>
      <c r="D52" s="236">
        <f t="shared" si="32"/>
        <v>0</v>
      </c>
      <c r="E52" s="234"/>
      <c r="F52" s="235">
        <f>+'2022 BUDGET'!C52</f>
        <v>0</v>
      </c>
      <c r="G52" s="236">
        <f t="shared" si="33"/>
        <v>0</v>
      </c>
      <c r="H52" s="234"/>
      <c r="I52" s="235">
        <f>+'2022 BUDGET'!D52</f>
        <v>0</v>
      </c>
      <c r="J52" s="236">
        <f t="shared" si="34"/>
        <v>0</v>
      </c>
      <c r="K52" s="237">
        <f t="shared" si="35"/>
        <v>0</v>
      </c>
      <c r="L52" s="235">
        <f t="shared" si="36"/>
        <v>0</v>
      </c>
      <c r="M52" s="236">
        <f t="shared" si="37"/>
        <v>0</v>
      </c>
      <c r="N52" s="237">
        <f t="shared" si="38"/>
        <v>0</v>
      </c>
      <c r="O52" s="235">
        <f t="shared" si="38"/>
        <v>0</v>
      </c>
      <c r="P52" s="238">
        <f t="shared" si="38"/>
        <v>0</v>
      </c>
    </row>
    <row r="53" spans="1:16" ht="12.75">
      <c r="A53" s="259" t="str">
        <f>+'2022 BUDGET'!A53</f>
        <v>Consultants</v>
      </c>
      <c r="B53" s="234"/>
      <c r="C53" s="235">
        <f>+'2022 BUDGET'!B53</f>
        <v>300</v>
      </c>
      <c r="D53" s="236">
        <f t="shared" si="32"/>
        <v>-300</v>
      </c>
      <c r="E53" s="234">
        <v>40</v>
      </c>
      <c r="F53" s="235">
        <f>+'2022 BUDGET'!C53</f>
        <v>300</v>
      </c>
      <c r="G53" s="236">
        <f t="shared" si="33"/>
        <v>-260</v>
      </c>
      <c r="H53" s="234">
        <v>40</v>
      </c>
      <c r="I53" s="235">
        <f>+'2022 BUDGET'!D53</f>
        <v>300</v>
      </c>
      <c r="J53" s="236">
        <f t="shared" si="34"/>
        <v>-260</v>
      </c>
      <c r="K53" s="237">
        <f t="shared" si="35"/>
        <v>80</v>
      </c>
      <c r="L53" s="235">
        <f t="shared" si="36"/>
        <v>900</v>
      </c>
      <c r="M53" s="236">
        <f t="shared" si="37"/>
        <v>-820</v>
      </c>
      <c r="N53" s="237">
        <f t="shared" si="38"/>
        <v>80</v>
      </c>
      <c r="O53" s="235">
        <f t="shared" si="38"/>
        <v>900</v>
      </c>
      <c r="P53" s="238">
        <f t="shared" si="38"/>
        <v>-820</v>
      </c>
    </row>
    <row r="54" spans="1:16" ht="12.75">
      <c r="A54" s="259">
        <f>+'2022 BUDGET'!A54</f>
        <v>0</v>
      </c>
      <c r="B54" s="234"/>
      <c r="C54" s="235">
        <f>+'2022 BUDGET'!B54</f>
        <v>0</v>
      </c>
      <c r="D54" s="236">
        <f t="shared" si="32"/>
        <v>0</v>
      </c>
      <c r="E54" s="234"/>
      <c r="F54" s="235">
        <f>+'2022 BUDGET'!C54</f>
        <v>0</v>
      </c>
      <c r="G54" s="236">
        <f t="shared" si="33"/>
        <v>0</v>
      </c>
      <c r="H54" s="234"/>
      <c r="I54" s="235">
        <f>+'2022 BUDGET'!D54</f>
        <v>0</v>
      </c>
      <c r="J54" s="236">
        <f t="shared" si="34"/>
        <v>0</v>
      </c>
      <c r="K54" s="237">
        <f t="shared" si="35"/>
        <v>0</v>
      </c>
      <c r="L54" s="235">
        <f t="shared" si="36"/>
        <v>0</v>
      </c>
      <c r="M54" s="236">
        <f t="shared" si="37"/>
        <v>0</v>
      </c>
      <c r="N54" s="237">
        <f t="shared" si="38"/>
        <v>0</v>
      </c>
      <c r="O54" s="235">
        <f t="shared" si="38"/>
        <v>0</v>
      </c>
      <c r="P54" s="238">
        <f t="shared" si="38"/>
        <v>0</v>
      </c>
    </row>
    <row r="55" spans="1:16" ht="12.75">
      <c r="A55" s="259">
        <f>+'2022 BUDGET'!A55</f>
        <v>0</v>
      </c>
      <c r="B55" s="234"/>
      <c r="C55" s="235">
        <f>+'2022 BUDGET'!B55</f>
        <v>0</v>
      </c>
      <c r="D55" s="236">
        <f t="shared" si="32"/>
        <v>0</v>
      </c>
      <c r="E55" s="234"/>
      <c r="F55" s="235">
        <f>+'2022 BUDGET'!C55</f>
        <v>0</v>
      </c>
      <c r="G55" s="236">
        <f t="shared" si="33"/>
        <v>0</v>
      </c>
      <c r="H55" s="234"/>
      <c r="I55" s="235">
        <f>+'2022 BUDGET'!D55</f>
        <v>0</v>
      </c>
      <c r="J55" s="236">
        <f t="shared" si="34"/>
        <v>0</v>
      </c>
      <c r="K55" s="237">
        <f t="shared" si="35"/>
        <v>0</v>
      </c>
      <c r="L55" s="235">
        <f t="shared" si="36"/>
        <v>0</v>
      </c>
      <c r="M55" s="236">
        <f t="shared" si="37"/>
        <v>0</v>
      </c>
      <c r="N55" s="237">
        <f t="shared" si="38"/>
        <v>0</v>
      </c>
      <c r="O55" s="235">
        <f t="shared" si="38"/>
        <v>0</v>
      </c>
      <c r="P55" s="238">
        <f t="shared" si="38"/>
        <v>0</v>
      </c>
    </row>
    <row r="56" spans="1:16" s="262" customFormat="1" ht="12.75">
      <c r="A56" s="239" t="s">
        <v>181</v>
      </c>
      <c r="B56" s="260">
        <f aca="true" t="shared" si="39" ref="B56:P56">SUM(B47:B55)</f>
        <v>578.5500000000001</v>
      </c>
      <c r="C56" s="261">
        <f t="shared" si="39"/>
        <v>4328.68</v>
      </c>
      <c r="D56" s="261">
        <f t="shared" si="39"/>
        <v>-3750.1299999999997</v>
      </c>
      <c r="E56" s="260">
        <f t="shared" si="39"/>
        <v>625.36</v>
      </c>
      <c r="F56" s="261">
        <f t="shared" si="39"/>
        <v>4328.67</v>
      </c>
      <c r="G56" s="261">
        <f t="shared" si="39"/>
        <v>-3703.3100000000004</v>
      </c>
      <c r="H56" s="260">
        <f t="shared" si="39"/>
        <v>1339.56</v>
      </c>
      <c r="I56" s="261">
        <f t="shared" si="39"/>
        <v>6050.24</v>
      </c>
      <c r="J56" s="261">
        <f t="shared" si="39"/>
        <v>-4710.679999999999</v>
      </c>
      <c r="K56" s="260">
        <f t="shared" si="39"/>
        <v>2543.4700000000003</v>
      </c>
      <c r="L56" s="261">
        <f t="shared" si="39"/>
        <v>14707.59</v>
      </c>
      <c r="M56" s="261">
        <f t="shared" si="39"/>
        <v>-12164.119999999999</v>
      </c>
      <c r="N56" s="260">
        <f t="shared" si="39"/>
        <v>2543.4700000000003</v>
      </c>
      <c r="O56" s="261">
        <f t="shared" si="39"/>
        <v>14707.59</v>
      </c>
      <c r="P56" s="261">
        <f t="shared" si="39"/>
        <v>-12164.119999999999</v>
      </c>
    </row>
    <row r="57" spans="1:16" s="267" customFormat="1" ht="12.75">
      <c r="A57" s="263"/>
      <c r="B57" s="264"/>
      <c r="C57" s="265"/>
      <c r="D57" s="265"/>
      <c r="E57" s="266"/>
      <c r="F57" s="265"/>
      <c r="G57" s="265"/>
      <c r="H57" s="266"/>
      <c r="I57" s="265"/>
      <c r="J57" s="265"/>
      <c r="K57" s="265"/>
      <c r="L57" s="265"/>
      <c r="M57" s="265"/>
      <c r="N57" s="265"/>
      <c r="O57" s="265"/>
      <c r="P57" s="265"/>
    </row>
    <row r="58" spans="1:16" s="267" customFormat="1" ht="12.75">
      <c r="A58" s="268" t="s">
        <v>120</v>
      </c>
      <c r="B58" s="269">
        <f aca="true" t="shared" si="40" ref="B58:P58">B42+B56</f>
        <v>1783.31</v>
      </c>
      <c r="C58" s="269">
        <f t="shared" si="40"/>
        <v>4978.68</v>
      </c>
      <c r="D58" s="269">
        <f t="shared" si="40"/>
        <v>-3195.37</v>
      </c>
      <c r="E58" s="269">
        <f t="shared" si="40"/>
        <v>485.96999999999997</v>
      </c>
      <c r="F58" s="269">
        <f t="shared" si="40"/>
        <v>4679.67</v>
      </c>
      <c r="G58" s="269">
        <f t="shared" si="40"/>
        <v>-4193.700000000001</v>
      </c>
      <c r="H58" s="269">
        <f t="shared" si="40"/>
        <v>646.3700000000001</v>
      </c>
      <c r="I58" s="269">
        <f t="shared" si="40"/>
        <v>6412.74</v>
      </c>
      <c r="J58" s="269">
        <f t="shared" si="40"/>
        <v>-5766.369999999999</v>
      </c>
      <c r="K58" s="269">
        <f t="shared" si="40"/>
        <v>2915.650000000001</v>
      </c>
      <c r="L58" s="269">
        <f t="shared" si="40"/>
        <v>16071.09</v>
      </c>
      <c r="M58" s="269">
        <f t="shared" si="40"/>
        <v>-13155.439999999999</v>
      </c>
      <c r="N58" s="269">
        <f t="shared" si="40"/>
        <v>2915.650000000001</v>
      </c>
      <c r="O58" s="269">
        <f t="shared" si="40"/>
        <v>16071.09</v>
      </c>
      <c r="P58" s="269">
        <f t="shared" si="40"/>
        <v>-13155.439999999999</v>
      </c>
    </row>
    <row r="59" spans="1:16" ht="12.75">
      <c r="A59" s="270"/>
      <c r="B59" s="244"/>
      <c r="C59" s="248"/>
      <c r="D59" s="249"/>
      <c r="E59" s="247"/>
      <c r="F59" s="248"/>
      <c r="G59" s="249"/>
      <c r="H59" s="247"/>
      <c r="I59" s="248"/>
      <c r="J59" s="249"/>
      <c r="K59" s="250"/>
      <c r="L59" s="248"/>
      <c r="M59" s="249"/>
      <c r="N59" s="250"/>
      <c r="O59" s="248"/>
      <c r="P59" s="251"/>
    </row>
    <row r="60" spans="1:16" ht="12.75">
      <c r="A60" s="271" t="str">
        <f>'2022 BUDGET'!A64</f>
        <v>MINISTRY INCOME</v>
      </c>
      <c r="B60" s="272"/>
      <c r="C60" s="248"/>
      <c r="D60" s="249"/>
      <c r="E60" s="247"/>
      <c r="F60" s="248"/>
      <c r="G60" s="249"/>
      <c r="H60" s="247"/>
      <c r="I60" s="248"/>
      <c r="J60" s="249"/>
      <c r="K60" s="250"/>
      <c r="L60" s="248"/>
      <c r="M60" s="249"/>
      <c r="N60" s="250"/>
      <c r="O60" s="248"/>
      <c r="P60" s="251"/>
    </row>
    <row r="61" spans="1:16" ht="12.75">
      <c r="A61" s="273"/>
      <c r="B61" s="274" t="str">
        <f aca="true" t="shared" si="41" ref="B61:P61">+B8</f>
        <v>ACTUALS</v>
      </c>
      <c r="C61" s="254" t="str">
        <f t="shared" si="41"/>
        <v>BUDGET</v>
      </c>
      <c r="D61" s="255" t="str">
        <f t="shared" si="41"/>
        <v>DIFF.</v>
      </c>
      <c r="E61" s="256" t="str">
        <f t="shared" si="41"/>
        <v>ACTUALS</v>
      </c>
      <c r="F61" s="254" t="str">
        <f t="shared" si="41"/>
        <v>BUDGET</v>
      </c>
      <c r="G61" s="255" t="str">
        <f t="shared" si="41"/>
        <v>DIFF.</v>
      </c>
      <c r="H61" s="256" t="str">
        <f t="shared" si="41"/>
        <v>ACTUALS</v>
      </c>
      <c r="I61" s="254" t="str">
        <f t="shared" si="41"/>
        <v>BUDGET</v>
      </c>
      <c r="J61" s="255" t="str">
        <f t="shared" si="41"/>
        <v>DIFF.</v>
      </c>
      <c r="K61" s="257" t="str">
        <f t="shared" si="41"/>
        <v>ACTUALS</v>
      </c>
      <c r="L61" s="254" t="str">
        <f t="shared" si="41"/>
        <v>BUDGET</v>
      </c>
      <c r="M61" s="255" t="str">
        <f t="shared" si="41"/>
        <v>DIFF.</v>
      </c>
      <c r="N61" s="257" t="str">
        <f t="shared" si="41"/>
        <v>ACTUALS</v>
      </c>
      <c r="O61" s="254" t="str">
        <f t="shared" si="41"/>
        <v>BUDGET</v>
      </c>
      <c r="P61" s="258" t="str">
        <f t="shared" si="41"/>
        <v>DIFF.</v>
      </c>
    </row>
    <row r="62" spans="1:16" ht="12.75">
      <c r="A62" s="275" t="str">
        <f>'2022 BUDGET'!A67</f>
        <v>Previous Year balance 12/31/20xx</v>
      </c>
      <c r="B62" s="276"/>
      <c r="C62" s="277">
        <f>+'2022 BUDGET'!B67</f>
        <v>0</v>
      </c>
      <c r="D62" s="278">
        <f>+B62-C62</f>
        <v>0</v>
      </c>
      <c r="E62" s="279"/>
      <c r="F62" s="277">
        <f>+'2022 BUDGET'!C67</f>
        <v>0</v>
      </c>
      <c r="G62" s="278">
        <f aca="true" t="shared" si="42" ref="G62:G68">+E62-F62</f>
        <v>0</v>
      </c>
      <c r="H62" s="279"/>
      <c r="I62" s="277">
        <f>+'2022 BUDGET'!D67</f>
        <v>0</v>
      </c>
      <c r="J62" s="278">
        <f>+H62-I62</f>
        <v>0</v>
      </c>
      <c r="K62" s="280">
        <f>+B62+E62+H62</f>
        <v>0</v>
      </c>
      <c r="L62" s="277">
        <f>+C62+F62+I62</f>
        <v>0</v>
      </c>
      <c r="M62" s="278">
        <f>D62+G62+J62</f>
        <v>0</v>
      </c>
      <c r="N62" s="280">
        <f>+K62</f>
        <v>0</v>
      </c>
      <c r="O62" s="277">
        <f>+L62</f>
        <v>0</v>
      </c>
      <c r="P62" s="265">
        <f>+M62</f>
        <v>0</v>
      </c>
    </row>
    <row r="63" spans="1:16" ht="12.75">
      <c r="A63" s="275"/>
      <c r="B63" s="276"/>
      <c r="C63" s="277"/>
      <c r="D63" s="278"/>
      <c r="E63" s="279"/>
      <c r="F63" s="277"/>
      <c r="G63" s="278"/>
      <c r="H63" s="279"/>
      <c r="I63" s="277"/>
      <c r="J63" s="278"/>
      <c r="K63" s="280"/>
      <c r="L63" s="277"/>
      <c r="M63" s="278"/>
      <c r="N63" s="280"/>
      <c r="O63" s="277"/>
      <c r="P63" s="265"/>
    </row>
    <row r="64" spans="1:16" ht="12.75">
      <c r="A64" s="282" t="str">
        <f>'2022 BUDGET'!A69</f>
        <v>PEDDLER FUNDS</v>
      </c>
      <c r="B64" s="276"/>
      <c r="C64" s="235">
        <f>+'2022 BUDGET'!B69</f>
        <v>0</v>
      </c>
      <c r="D64" s="236">
        <f>+B64-C64</f>
        <v>0</v>
      </c>
      <c r="E64" s="276"/>
      <c r="F64" s="235">
        <f>+'2022 BUDGET'!C69</f>
        <v>0</v>
      </c>
      <c r="G64" s="236">
        <f>+E64-F64</f>
        <v>0</v>
      </c>
      <c r="H64" s="276"/>
      <c r="I64" s="235">
        <f>+'2022 BUDGET'!D69</f>
        <v>0</v>
      </c>
      <c r="J64" s="236">
        <f>+H64-I64</f>
        <v>0</v>
      </c>
      <c r="K64" s="237">
        <f aca="true" t="shared" si="43" ref="K64:L66">+B64+E64+H64</f>
        <v>0</v>
      </c>
      <c r="L64" s="235">
        <f t="shared" si="43"/>
        <v>0</v>
      </c>
      <c r="M64" s="236">
        <f>D64+G64+J64</f>
        <v>0</v>
      </c>
      <c r="N64" s="237">
        <f>+K64</f>
        <v>0</v>
      </c>
      <c r="O64" s="235">
        <f>+L64</f>
        <v>0</v>
      </c>
      <c r="P64" s="238">
        <f>+M64</f>
        <v>0</v>
      </c>
    </row>
    <row r="65" spans="1:16" ht="12.75">
      <c r="A65" s="282" t="str">
        <f>'2022 BUDGET'!A70</f>
        <v>FOUNDATION GRANT</v>
      </c>
      <c r="B65" s="276"/>
      <c r="C65" s="235">
        <f>+'2022 BUDGET'!B70</f>
        <v>10000</v>
      </c>
      <c r="D65" s="236">
        <f>+B65-C65</f>
        <v>-10000</v>
      </c>
      <c r="E65" s="276">
        <v>10000</v>
      </c>
      <c r="F65" s="235">
        <f>+'2022 BUDGET'!C70</f>
        <v>0</v>
      </c>
      <c r="G65" s="236">
        <f t="shared" si="42"/>
        <v>10000</v>
      </c>
      <c r="H65" s="276"/>
      <c r="I65" s="235">
        <f>+'2022 BUDGET'!D70</f>
        <v>0</v>
      </c>
      <c r="J65" s="236">
        <f>+H65-I65</f>
        <v>0</v>
      </c>
      <c r="K65" s="237">
        <f t="shared" si="43"/>
        <v>10000</v>
      </c>
      <c r="L65" s="235">
        <f t="shared" si="43"/>
        <v>10000</v>
      </c>
      <c r="M65" s="236">
        <f>D65+G65+J65</f>
        <v>0</v>
      </c>
      <c r="N65" s="237">
        <f aca="true" t="shared" si="44" ref="N65:P66">+K65</f>
        <v>10000</v>
      </c>
      <c r="O65" s="235">
        <f t="shared" si="44"/>
        <v>10000</v>
      </c>
      <c r="P65" s="238">
        <f t="shared" si="44"/>
        <v>0</v>
      </c>
    </row>
    <row r="66" spans="1:16" ht="12.75">
      <c r="A66" s="282" t="str">
        <f>'2022 BUDGET'!A71</f>
        <v>CONGREG. ST.ELIZABETH MINISTRY FUND </v>
      </c>
      <c r="B66" s="276"/>
      <c r="C66" s="235">
        <f>+'2022 BUDGET'!B71</f>
        <v>0</v>
      </c>
      <c r="D66" s="236">
        <f>+B66-C66</f>
        <v>0</v>
      </c>
      <c r="E66" s="276"/>
      <c r="F66" s="235">
        <f>+'2022 BUDGET'!C71</f>
        <v>0</v>
      </c>
      <c r="G66" s="236">
        <f>+E66-F66</f>
        <v>0</v>
      </c>
      <c r="H66" s="276"/>
      <c r="I66" s="235">
        <f>+'2022 BUDGET'!D71</f>
        <v>0</v>
      </c>
      <c r="J66" s="236">
        <f>+H66-I66</f>
        <v>0</v>
      </c>
      <c r="K66" s="237">
        <f t="shared" si="43"/>
        <v>0</v>
      </c>
      <c r="L66" s="235">
        <f t="shared" si="43"/>
        <v>0</v>
      </c>
      <c r="M66" s="236">
        <f>D66+G66+J66</f>
        <v>0</v>
      </c>
      <c r="N66" s="237">
        <f t="shared" si="44"/>
        <v>0</v>
      </c>
      <c r="O66" s="235">
        <f t="shared" si="44"/>
        <v>0</v>
      </c>
      <c r="P66" s="238">
        <f t="shared" si="44"/>
        <v>0</v>
      </c>
    </row>
    <row r="67" spans="1:16" s="285" customFormat="1" ht="12.75">
      <c r="A67" s="283" t="str">
        <f>'2022 BUDGET'!A72</f>
        <v>TOTAL  PEDDLER &amp; FOUNDATION &amp; ST.ELIZABETH MINISTRY FUNDS</v>
      </c>
      <c r="B67" s="284">
        <f>SUM(B64:B66)</f>
        <v>0</v>
      </c>
      <c r="C67" s="284">
        <f aca="true" t="shared" si="45" ref="C67:P67">SUM(C64:C66)</f>
        <v>10000</v>
      </c>
      <c r="D67" s="284">
        <f t="shared" si="45"/>
        <v>-10000</v>
      </c>
      <c r="E67" s="284">
        <f t="shared" si="45"/>
        <v>10000</v>
      </c>
      <c r="F67" s="284">
        <f t="shared" si="45"/>
        <v>0</v>
      </c>
      <c r="G67" s="284">
        <f t="shared" si="45"/>
        <v>10000</v>
      </c>
      <c r="H67" s="284">
        <f t="shared" si="45"/>
        <v>0</v>
      </c>
      <c r="I67" s="284">
        <f t="shared" si="45"/>
        <v>0</v>
      </c>
      <c r="J67" s="284">
        <f t="shared" si="45"/>
        <v>0</v>
      </c>
      <c r="K67" s="284">
        <f t="shared" si="45"/>
        <v>10000</v>
      </c>
      <c r="L67" s="284">
        <f t="shared" si="45"/>
        <v>10000</v>
      </c>
      <c r="M67" s="284">
        <f t="shared" si="45"/>
        <v>0</v>
      </c>
      <c r="N67" s="284">
        <f t="shared" si="45"/>
        <v>10000</v>
      </c>
      <c r="O67" s="284">
        <f t="shared" si="45"/>
        <v>10000</v>
      </c>
      <c r="P67" s="284">
        <f t="shared" si="45"/>
        <v>0</v>
      </c>
    </row>
    <row r="68" spans="1:16" s="285" customFormat="1" ht="12.75">
      <c r="A68" s="282" t="str">
        <f>'2022 BUDGET'!A74</f>
        <v>Rental Income</v>
      </c>
      <c r="B68" s="276"/>
      <c r="C68" s="235">
        <f>+'2022 BUDGET'!B74</f>
        <v>0</v>
      </c>
      <c r="D68" s="236">
        <f>+B68-C68</f>
        <v>0</v>
      </c>
      <c r="E68" s="276"/>
      <c r="F68" s="235">
        <f>+'2022 BUDGET'!C74</f>
        <v>0</v>
      </c>
      <c r="G68" s="236">
        <f t="shared" si="42"/>
        <v>0</v>
      </c>
      <c r="H68" s="276"/>
      <c r="I68" s="235">
        <f>+'2022 BUDGET'!D74</f>
        <v>0</v>
      </c>
      <c r="J68" s="236">
        <f>+H68-I68</f>
        <v>0</v>
      </c>
      <c r="K68" s="237">
        <f>+B68+E68+H68</f>
        <v>0</v>
      </c>
      <c r="L68" s="235">
        <f>+C68+F68+I68</f>
        <v>0</v>
      </c>
      <c r="M68" s="236">
        <f>D68+G68+J68</f>
        <v>0</v>
      </c>
      <c r="N68" s="237">
        <f>+K68</f>
        <v>0</v>
      </c>
      <c r="O68" s="235">
        <f>+L68</f>
        <v>0</v>
      </c>
      <c r="P68" s="238">
        <f>+M68</f>
        <v>0</v>
      </c>
    </row>
    <row r="69" spans="1:16" s="285" customFormat="1" ht="12.75">
      <c r="A69" s="282" t="str">
        <f>'2022 BUDGET'!A75</f>
        <v>Interest</v>
      </c>
      <c r="B69" s="276"/>
      <c r="C69" s="235">
        <f>+'2022 BUDGET'!B75</f>
        <v>0</v>
      </c>
      <c r="D69" s="236">
        <f aca="true" t="shared" si="46" ref="D69:D86">+B69-C69</f>
        <v>0</v>
      </c>
      <c r="E69" s="276"/>
      <c r="F69" s="235">
        <f>+'2022 BUDGET'!C75</f>
        <v>0</v>
      </c>
      <c r="G69" s="236">
        <f aca="true" t="shared" si="47" ref="G69:G86">+E69-F69</f>
        <v>0</v>
      </c>
      <c r="H69" s="276"/>
      <c r="I69" s="235">
        <f>+'2022 BUDGET'!D75</f>
        <v>0</v>
      </c>
      <c r="J69" s="236">
        <f aca="true" t="shared" si="48" ref="J69:J86">+H69-I69</f>
        <v>0</v>
      </c>
      <c r="K69" s="237">
        <f aca="true" t="shared" si="49" ref="K69:K86">+B69+E69+H69</f>
        <v>0</v>
      </c>
      <c r="L69" s="235">
        <f aca="true" t="shared" si="50" ref="L69:L86">+C69+F69+I69</f>
        <v>0</v>
      </c>
      <c r="M69" s="236">
        <f aca="true" t="shared" si="51" ref="M69:M86">D69+G69+J69</f>
        <v>0</v>
      </c>
      <c r="N69" s="237">
        <f aca="true" t="shared" si="52" ref="N69:N86">+K69</f>
        <v>0</v>
      </c>
      <c r="O69" s="235">
        <f aca="true" t="shared" si="53" ref="O69:O86">+L69</f>
        <v>0</v>
      </c>
      <c r="P69" s="238">
        <f aca="true" t="shared" si="54" ref="P69:P86">+M69</f>
        <v>0</v>
      </c>
    </row>
    <row r="70" spans="1:16" s="285" customFormat="1" ht="12.75">
      <c r="A70" s="282" t="str">
        <f>'2022 BUDGET'!A76</f>
        <v>Benefactors</v>
      </c>
      <c r="B70" s="276"/>
      <c r="C70" s="235">
        <f>+'2022 BUDGET'!B76</f>
        <v>0</v>
      </c>
      <c r="D70" s="236">
        <f t="shared" si="46"/>
        <v>0</v>
      </c>
      <c r="E70" s="276"/>
      <c r="F70" s="235">
        <f>+'2022 BUDGET'!C76</f>
        <v>0</v>
      </c>
      <c r="G70" s="236">
        <f t="shared" si="47"/>
        <v>0</v>
      </c>
      <c r="H70" s="276"/>
      <c r="I70" s="235">
        <f>+'2022 BUDGET'!D76</f>
        <v>0</v>
      </c>
      <c r="J70" s="236">
        <f t="shared" si="48"/>
        <v>0</v>
      </c>
      <c r="K70" s="237">
        <f t="shared" si="49"/>
        <v>0</v>
      </c>
      <c r="L70" s="235">
        <f t="shared" si="50"/>
        <v>0</v>
      </c>
      <c r="M70" s="236">
        <f t="shared" si="51"/>
        <v>0</v>
      </c>
      <c r="N70" s="237">
        <f t="shared" si="52"/>
        <v>0</v>
      </c>
      <c r="O70" s="235">
        <f t="shared" si="53"/>
        <v>0</v>
      </c>
      <c r="P70" s="238">
        <f t="shared" si="54"/>
        <v>0</v>
      </c>
    </row>
    <row r="71" spans="1:16" s="285" customFormat="1" ht="12.75">
      <c r="A71" s="282" t="str">
        <f>'2022 BUDGET'!A77</f>
        <v>Governmental Entities </v>
      </c>
      <c r="B71" s="276"/>
      <c r="C71" s="235">
        <f>+'2022 BUDGET'!B77</f>
        <v>0</v>
      </c>
      <c r="D71" s="236">
        <f>+B71-C71</f>
        <v>0</v>
      </c>
      <c r="E71" s="276"/>
      <c r="F71" s="235">
        <f>+'2022 BUDGET'!C77</f>
        <v>0</v>
      </c>
      <c r="G71" s="236">
        <f>+E71-F71</f>
        <v>0</v>
      </c>
      <c r="H71" s="276"/>
      <c r="I71" s="235">
        <f>+'2022 BUDGET'!D77</f>
        <v>0</v>
      </c>
      <c r="J71" s="236">
        <f>+H71-I71</f>
        <v>0</v>
      </c>
      <c r="K71" s="237">
        <f aca="true" t="shared" si="55" ref="K71:L75">+B71+E71+H71</f>
        <v>0</v>
      </c>
      <c r="L71" s="235">
        <f t="shared" si="55"/>
        <v>0</v>
      </c>
      <c r="M71" s="236">
        <f>D71+G71+J71</f>
        <v>0</v>
      </c>
      <c r="N71" s="237">
        <f aca="true" t="shared" si="56" ref="N71:P75">+K71</f>
        <v>0</v>
      </c>
      <c r="O71" s="235">
        <f t="shared" si="56"/>
        <v>0</v>
      </c>
      <c r="P71" s="238">
        <f t="shared" si="56"/>
        <v>0</v>
      </c>
    </row>
    <row r="72" spans="1:16" s="285" customFormat="1" ht="12.75">
      <c r="A72" s="282" t="str">
        <f>'2022 BUDGET'!A78</f>
        <v>Ministry's Events</v>
      </c>
      <c r="B72" s="276"/>
      <c r="C72" s="235">
        <f>+'2022 BUDGET'!B78</f>
        <v>0</v>
      </c>
      <c r="D72" s="236">
        <f>+B72-C72</f>
        <v>0</v>
      </c>
      <c r="E72" s="276"/>
      <c r="F72" s="235">
        <f>+'2022 BUDGET'!C78</f>
        <v>0</v>
      </c>
      <c r="G72" s="236">
        <f>+E72-F72</f>
        <v>0</v>
      </c>
      <c r="H72" s="276"/>
      <c r="I72" s="235">
        <f>+'2022 BUDGET'!D78</f>
        <v>262</v>
      </c>
      <c r="J72" s="236">
        <f>+H72-I72</f>
        <v>-262</v>
      </c>
      <c r="K72" s="237">
        <f t="shared" si="55"/>
        <v>0</v>
      </c>
      <c r="L72" s="235">
        <f t="shared" si="55"/>
        <v>262</v>
      </c>
      <c r="M72" s="236">
        <f>D72+G72+J72</f>
        <v>-262</v>
      </c>
      <c r="N72" s="237">
        <f t="shared" si="56"/>
        <v>0</v>
      </c>
      <c r="O72" s="235">
        <f t="shared" si="56"/>
        <v>262</v>
      </c>
      <c r="P72" s="238">
        <f t="shared" si="56"/>
        <v>-262</v>
      </c>
    </row>
    <row r="73" spans="1:16" s="285" customFormat="1" ht="12.75">
      <c r="A73" s="282" t="str">
        <f>'2022 BUDGET'!A79</f>
        <v>Contributions from people served</v>
      </c>
      <c r="B73" s="276"/>
      <c r="C73" s="235">
        <f>+'2022 BUDGET'!B79</f>
        <v>0</v>
      </c>
      <c r="D73" s="236">
        <f>+B73-C73</f>
        <v>0</v>
      </c>
      <c r="E73" s="276"/>
      <c r="F73" s="235">
        <f>+'2022 BUDGET'!C79</f>
        <v>0</v>
      </c>
      <c r="G73" s="236">
        <f>+E73-F73</f>
        <v>0</v>
      </c>
      <c r="H73" s="276"/>
      <c r="I73" s="235">
        <f>+'2022 BUDGET'!D79</f>
        <v>0</v>
      </c>
      <c r="J73" s="236">
        <f>+H73-I73</f>
        <v>0</v>
      </c>
      <c r="K73" s="237">
        <f t="shared" si="55"/>
        <v>0</v>
      </c>
      <c r="L73" s="235">
        <f t="shared" si="55"/>
        <v>0</v>
      </c>
      <c r="M73" s="236">
        <f>D73+G73+J73</f>
        <v>0</v>
      </c>
      <c r="N73" s="237">
        <f t="shared" si="56"/>
        <v>0</v>
      </c>
      <c r="O73" s="235">
        <f t="shared" si="56"/>
        <v>0</v>
      </c>
      <c r="P73" s="238">
        <f t="shared" si="56"/>
        <v>0</v>
      </c>
    </row>
    <row r="74" spans="1:16" s="285" customFormat="1" ht="12.75">
      <c r="A74" s="282" t="str">
        <f>'2022 BUDGET'!A80</f>
        <v>Sale of Ministry's products</v>
      </c>
      <c r="B74" s="276"/>
      <c r="C74" s="235">
        <f>+'2022 BUDGET'!B80</f>
        <v>0</v>
      </c>
      <c r="D74" s="236">
        <f>+B74-C74</f>
        <v>0</v>
      </c>
      <c r="E74" s="276"/>
      <c r="F74" s="235">
        <f>+'2022 BUDGET'!C80</f>
        <v>0</v>
      </c>
      <c r="G74" s="236">
        <f>+E74-F74</f>
        <v>0</v>
      </c>
      <c r="H74" s="276"/>
      <c r="I74" s="235">
        <f>+'2022 BUDGET'!D80</f>
        <v>0</v>
      </c>
      <c r="J74" s="236">
        <f>+H74-I74</f>
        <v>0</v>
      </c>
      <c r="K74" s="237">
        <f t="shared" si="55"/>
        <v>0</v>
      </c>
      <c r="L74" s="235">
        <f t="shared" si="55"/>
        <v>0</v>
      </c>
      <c r="M74" s="236">
        <f>D74+G74+J74</f>
        <v>0</v>
      </c>
      <c r="N74" s="237">
        <f t="shared" si="56"/>
        <v>0</v>
      </c>
      <c r="O74" s="235">
        <f t="shared" si="56"/>
        <v>0</v>
      </c>
      <c r="P74" s="238">
        <f t="shared" si="56"/>
        <v>0</v>
      </c>
    </row>
    <row r="75" spans="1:16" s="285" customFormat="1" ht="12.75">
      <c r="A75" s="282" t="str">
        <f>'2022 BUDGET'!A81</f>
        <v>Outside Grants</v>
      </c>
      <c r="B75" s="276">
        <v>2100</v>
      </c>
      <c r="C75" s="235">
        <f>+'2022 BUDGET'!B81</f>
        <v>0</v>
      </c>
      <c r="D75" s="236">
        <f>+B75-C75</f>
        <v>2100</v>
      </c>
      <c r="E75" s="276"/>
      <c r="F75" s="235">
        <f>+'2022 BUDGET'!C81</f>
        <v>0</v>
      </c>
      <c r="G75" s="236">
        <f>+E75-F75</f>
        <v>0</v>
      </c>
      <c r="H75" s="276"/>
      <c r="I75" s="235">
        <f>+'2022 BUDGET'!D81</f>
        <v>0</v>
      </c>
      <c r="J75" s="236">
        <f>+H75-I75</f>
        <v>0</v>
      </c>
      <c r="K75" s="237">
        <f t="shared" si="55"/>
        <v>2100</v>
      </c>
      <c r="L75" s="235">
        <f t="shared" si="55"/>
        <v>0</v>
      </c>
      <c r="M75" s="236">
        <f>D75+G75+J75</f>
        <v>2100</v>
      </c>
      <c r="N75" s="237">
        <f t="shared" si="56"/>
        <v>2100</v>
      </c>
      <c r="O75" s="235">
        <f t="shared" si="56"/>
        <v>0</v>
      </c>
      <c r="P75" s="238">
        <f t="shared" si="56"/>
        <v>2100</v>
      </c>
    </row>
    <row r="76" spans="1:16" s="285" customFormat="1" ht="12.75">
      <c r="A76" s="282" t="str">
        <f>'2022 BUDGET'!A82</f>
        <v>Contributions Individuals</v>
      </c>
      <c r="B76" s="276">
        <v>870.5</v>
      </c>
      <c r="C76" s="235">
        <f>+'2022 BUDGET'!B82</f>
        <v>150</v>
      </c>
      <c r="D76" s="236">
        <f t="shared" si="46"/>
        <v>720.5</v>
      </c>
      <c r="E76" s="276">
        <v>35</v>
      </c>
      <c r="F76" s="235">
        <f>+'2022 BUDGET'!C82</f>
        <v>150</v>
      </c>
      <c r="G76" s="236">
        <f t="shared" si="47"/>
        <v>-115</v>
      </c>
      <c r="H76" s="276">
        <v>100</v>
      </c>
      <c r="I76" s="235">
        <f>+'2022 BUDGET'!D82</f>
        <v>150</v>
      </c>
      <c r="J76" s="236">
        <f t="shared" si="48"/>
        <v>-50</v>
      </c>
      <c r="K76" s="237">
        <f t="shared" si="49"/>
        <v>1005.5</v>
      </c>
      <c r="L76" s="235">
        <f t="shared" si="50"/>
        <v>450</v>
      </c>
      <c r="M76" s="236">
        <f t="shared" si="51"/>
        <v>555.5</v>
      </c>
      <c r="N76" s="237">
        <f t="shared" si="52"/>
        <v>1005.5</v>
      </c>
      <c r="O76" s="235">
        <f t="shared" si="53"/>
        <v>450</v>
      </c>
      <c r="P76" s="238">
        <f t="shared" si="54"/>
        <v>555.5</v>
      </c>
    </row>
    <row r="77" spans="1:16" s="285" customFormat="1" ht="12.75">
      <c r="A77" s="282" t="str">
        <f>'2022 BUDGET'!A83</f>
        <v>Contributions Businesses</v>
      </c>
      <c r="B77" s="276">
        <v>300</v>
      </c>
      <c r="C77" s="235">
        <f>+'2022 BUDGET'!B83</f>
        <v>0</v>
      </c>
      <c r="D77" s="236">
        <f t="shared" si="46"/>
        <v>300</v>
      </c>
      <c r="E77" s="276">
        <v>225</v>
      </c>
      <c r="F77" s="235">
        <f>+'2022 BUDGET'!C83</f>
        <v>0</v>
      </c>
      <c r="G77" s="236">
        <f t="shared" si="47"/>
        <v>225</v>
      </c>
      <c r="H77" s="276">
        <v>125</v>
      </c>
      <c r="I77" s="235">
        <f>+'2022 BUDGET'!D83</f>
        <v>0</v>
      </c>
      <c r="J77" s="236">
        <f t="shared" si="48"/>
        <v>125</v>
      </c>
      <c r="K77" s="237">
        <f t="shared" si="49"/>
        <v>650</v>
      </c>
      <c r="L77" s="235">
        <f t="shared" si="50"/>
        <v>0</v>
      </c>
      <c r="M77" s="236">
        <f t="shared" si="51"/>
        <v>650</v>
      </c>
      <c r="N77" s="237">
        <f t="shared" si="52"/>
        <v>650</v>
      </c>
      <c r="O77" s="235">
        <f t="shared" si="53"/>
        <v>0</v>
      </c>
      <c r="P77" s="238">
        <f t="shared" si="54"/>
        <v>650</v>
      </c>
    </row>
    <row r="78" spans="1:16" s="285" customFormat="1" ht="12.75">
      <c r="A78" s="282">
        <f>'2022 BUDGET'!A84</f>
        <v>0</v>
      </c>
      <c r="B78" s="276"/>
      <c r="C78" s="235">
        <f>+'2022 BUDGET'!B84</f>
        <v>0</v>
      </c>
      <c r="D78" s="236">
        <f t="shared" si="46"/>
        <v>0</v>
      </c>
      <c r="E78" s="276"/>
      <c r="F78" s="235">
        <f>+'2022 BUDGET'!C84</f>
        <v>0</v>
      </c>
      <c r="G78" s="236">
        <f t="shared" si="47"/>
        <v>0</v>
      </c>
      <c r="H78" s="276"/>
      <c r="I78" s="235">
        <f>+'2022 BUDGET'!D84</f>
        <v>0</v>
      </c>
      <c r="J78" s="236">
        <f t="shared" si="48"/>
        <v>0</v>
      </c>
      <c r="K78" s="237">
        <f t="shared" si="49"/>
        <v>0</v>
      </c>
      <c r="L78" s="235">
        <f t="shared" si="50"/>
        <v>0</v>
      </c>
      <c r="M78" s="236">
        <f t="shared" si="51"/>
        <v>0</v>
      </c>
      <c r="N78" s="237">
        <f t="shared" si="52"/>
        <v>0</v>
      </c>
      <c r="O78" s="235">
        <f t="shared" si="53"/>
        <v>0</v>
      </c>
      <c r="P78" s="238">
        <f t="shared" si="54"/>
        <v>0</v>
      </c>
    </row>
    <row r="79" spans="1:16" s="285" customFormat="1" ht="12.75">
      <c r="A79" s="282">
        <f>'2022 BUDGET'!A85</f>
        <v>0</v>
      </c>
      <c r="B79" s="276"/>
      <c r="C79" s="235">
        <f>+'2022 BUDGET'!B85</f>
        <v>0</v>
      </c>
      <c r="D79" s="236">
        <f t="shared" si="46"/>
        <v>0</v>
      </c>
      <c r="E79" s="276"/>
      <c r="F79" s="235">
        <f>+'2022 BUDGET'!C85</f>
        <v>0</v>
      </c>
      <c r="G79" s="236">
        <f t="shared" si="47"/>
        <v>0</v>
      </c>
      <c r="H79" s="276"/>
      <c r="I79" s="235">
        <f>+'2022 BUDGET'!D85</f>
        <v>0</v>
      </c>
      <c r="J79" s="236">
        <f t="shared" si="48"/>
        <v>0</v>
      </c>
      <c r="K79" s="237">
        <f t="shared" si="49"/>
        <v>0</v>
      </c>
      <c r="L79" s="235">
        <f t="shared" si="50"/>
        <v>0</v>
      </c>
      <c r="M79" s="236">
        <f t="shared" si="51"/>
        <v>0</v>
      </c>
      <c r="N79" s="237">
        <f t="shared" si="52"/>
        <v>0</v>
      </c>
      <c r="O79" s="235">
        <f t="shared" si="53"/>
        <v>0</v>
      </c>
      <c r="P79" s="238">
        <f t="shared" si="54"/>
        <v>0</v>
      </c>
    </row>
    <row r="80" spans="1:16" s="285" customFormat="1" ht="12.75">
      <c r="A80" s="282">
        <f>'2022 BUDGET'!A86</f>
        <v>0</v>
      </c>
      <c r="B80" s="276"/>
      <c r="C80" s="235">
        <f>+'2022 BUDGET'!B86</f>
        <v>0</v>
      </c>
      <c r="D80" s="236">
        <f t="shared" si="46"/>
        <v>0</v>
      </c>
      <c r="E80" s="276"/>
      <c r="F80" s="235">
        <f>+'2022 BUDGET'!C86</f>
        <v>0</v>
      </c>
      <c r="G80" s="236">
        <f t="shared" si="47"/>
        <v>0</v>
      </c>
      <c r="H80" s="276"/>
      <c r="I80" s="235">
        <f>+'2022 BUDGET'!D86</f>
        <v>0</v>
      </c>
      <c r="J80" s="236">
        <f t="shared" si="48"/>
        <v>0</v>
      </c>
      <c r="K80" s="237">
        <f t="shared" si="49"/>
        <v>0</v>
      </c>
      <c r="L80" s="235">
        <f t="shared" si="50"/>
        <v>0</v>
      </c>
      <c r="M80" s="236">
        <f t="shared" si="51"/>
        <v>0</v>
      </c>
      <c r="N80" s="237">
        <f t="shared" si="52"/>
        <v>0</v>
      </c>
      <c r="O80" s="235">
        <f t="shared" si="53"/>
        <v>0</v>
      </c>
      <c r="P80" s="238">
        <f t="shared" si="54"/>
        <v>0</v>
      </c>
    </row>
    <row r="81" spans="1:16" s="285" customFormat="1" ht="12.75">
      <c r="A81" s="282">
        <f>'2022 BUDGET'!A87</f>
        <v>0</v>
      </c>
      <c r="B81" s="276"/>
      <c r="C81" s="235">
        <f>+'2022 BUDGET'!B87</f>
        <v>0</v>
      </c>
      <c r="D81" s="236">
        <f t="shared" si="46"/>
        <v>0</v>
      </c>
      <c r="E81" s="276"/>
      <c r="F81" s="235">
        <f>+'2022 BUDGET'!C87</f>
        <v>0</v>
      </c>
      <c r="G81" s="236">
        <f t="shared" si="47"/>
        <v>0</v>
      </c>
      <c r="H81" s="276"/>
      <c r="I81" s="235">
        <f>+'2022 BUDGET'!D87</f>
        <v>0</v>
      </c>
      <c r="J81" s="236">
        <f t="shared" si="48"/>
        <v>0</v>
      </c>
      <c r="K81" s="237">
        <f t="shared" si="49"/>
        <v>0</v>
      </c>
      <c r="L81" s="235">
        <f t="shared" si="50"/>
        <v>0</v>
      </c>
      <c r="M81" s="236">
        <f t="shared" si="51"/>
        <v>0</v>
      </c>
      <c r="N81" s="237">
        <f t="shared" si="52"/>
        <v>0</v>
      </c>
      <c r="O81" s="235">
        <f t="shared" si="53"/>
        <v>0</v>
      </c>
      <c r="P81" s="238">
        <f t="shared" si="54"/>
        <v>0</v>
      </c>
    </row>
    <row r="82" spans="1:16" s="285" customFormat="1" ht="12.75">
      <c r="A82" s="282">
        <f>'2022 BUDGET'!A88</f>
        <v>0</v>
      </c>
      <c r="B82" s="276"/>
      <c r="C82" s="235">
        <f>+'2022 BUDGET'!B88</f>
        <v>0</v>
      </c>
      <c r="D82" s="236">
        <f t="shared" si="46"/>
        <v>0</v>
      </c>
      <c r="E82" s="276"/>
      <c r="F82" s="235">
        <f>+'2022 BUDGET'!C88</f>
        <v>0</v>
      </c>
      <c r="G82" s="236">
        <f t="shared" si="47"/>
        <v>0</v>
      </c>
      <c r="H82" s="276"/>
      <c r="I82" s="235">
        <f>+'2022 BUDGET'!D88</f>
        <v>0</v>
      </c>
      <c r="J82" s="236">
        <f t="shared" si="48"/>
        <v>0</v>
      </c>
      <c r="K82" s="237">
        <f t="shared" si="49"/>
        <v>0</v>
      </c>
      <c r="L82" s="235">
        <f t="shared" si="50"/>
        <v>0</v>
      </c>
      <c r="M82" s="236">
        <f t="shared" si="51"/>
        <v>0</v>
      </c>
      <c r="N82" s="237">
        <f t="shared" si="52"/>
        <v>0</v>
      </c>
      <c r="O82" s="235">
        <f t="shared" si="53"/>
        <v>0</v>
      </c>
      <c r="P82" s="238">
        <f t="shared" si="54"/>
        <v>0</v>
      </c>
    </row>
    <row r="83" spans="1:16" s="285" customFormat="1" ht="12.75">
      <c r="A83" s="282">
        <f>'2022 BUDGET'!A89</f>
        <v>0</v>
      </c>
      <c r="B83" s="276"/>
      <c r="C83" s="235">
        <f>+'2022 BUDGET'!B89</f>
        <v>0</v>
      </c>
      <c r="D83" s="236">
        <f t="shared" si="46"/>
        <v>0</v>
      </c>
      <c r="E83" s="276"/>
      <c r="F83" s="235">
        <f>+'2022 BUDGET'!C89</f>
        <v>0</v>
      </c>
      <c r="G83" s="236">
        <f t="shared" si="47"/>
        <v>0</v>
      </c>
      <c r="H83" s="276"/>
      <c r="I83" s="235">
        <f>+'2022 BUDGET'!D89</f>
        <v>0</v>
      </c>
      <c r="J83" s="236">
        <f t="shared" si="48"/>
        <v>0</v>
      </c>
      <c r="K83" s="237">
        <f t="shared" si="49"/>
        <v>0</v>
      </c>
      <c r="L83" s="235">
        <f t="shared" si="50"/>
        <v>0</v>
      </c>
      <c r="M83" s="236">
        <f t="shared" si="51"/>
        <v>0</v>
      </c>
      <c r="N83" s="237">
        <f t="shared" si="52"/>
        <v>0</v>
      </c>
      <c r="O83" s="235">
        <f t="shared" si="53"/>
        <v>0</v>
      </c>
      <c r="P83" s="238">
        <f t="shared" si="54"/>
        <v>0</v>
      </c>
    </row>
    <row r="84" spans="1:16" s="285" customFormat="1" ht="12.75">
      <c r="A84" s="282">
        <f>'2022 BUDGET'!A90</f>
        <v>0</v>
      </c>
      <c r="B84" s="276"/>
      <c r="C84" s="235">
        <f>+'2022 BUDGET'!B90</f>
        <v>0</v>
      </c>
      <c r="D84" s="236">
        <f t="shared" si="46"/>
        <v>0</v>
      </c>
      <c r="E84" s="276"/>
      <c r="F84" s="235">
        <f>+'2022 BUDGET'!C90</f>
        <v>0</v>
      </c>
      <c r="G84" s="236">
        <f t="shared" si="47"/>
        <v>0</v>
      </c>
      <c r="H84" s="276"/>
      <c r="I84" s="235">
        <f>+'2022 BUDGET'!D90</f>
        <v>0</v>
      </c>
      <c r="J84" s="236">
        <f t="shared" si="48"/>
        <v>0</v>
      </c>
      <c r="K84" s="237">
        <f t="shared" si="49"/>
        <v>0</v>
      </c>
      <c r="L84" s="235">
        <f t="shared" si="50"/>
        <v>0</v>
      </c>
      <c r="M84" s="236">
        <f t="shared" si="51"/>
        <v>0</v>
      </c>
      <c r="N84" s="237">
        <f t="shared" si="52"/>
        <v>0</v>
      </c>
      <c r="O84" s="235">
        <f t="shared" si="53"/>
        <v>0</v>
      </c>
      <c r="P84" s="238">
        <f t="shared" si="54"/>
        <v>0</v>
      </c>
    </row>
    <row r="85" spans="1:16" s="285" customFormat="1" ht="12.75">
      <c r="A85" s="282">
        <f>'2022 BUDGET'!A91</f>
        <v>0</v>
      </c>
      <c r="B85" s="276"/>
      <c r="C85" s="235">
        <f>+'2022 BUDGET'!B91</f>
        <v>0</v>
      </c>
      <c r="D85" s="236">
        <f t="shared" si="46"/>
        <v>0</v>
      </c>
      <c r="E85" s="276"/>
      <c r="F85" s="235">
        <f>+'2022 BUDGET'!C91</f>
        <v>0</v>
      </c>
      <c r="G85" s="236">
        <f t="shared" si="47"/>
        <v>0</v>
      </c>
      <c r="H85" s="276"/>
      <c r="I85" s="235">
        <f>+'2022 BUDGET'!D91</f>
        <v>0</v>
      </c>
      <c r="J85" s="236">
        <f t="shared" si="48"/>
        <v>0</v>
      </c>
      <c r="K85" s="237">
        <f t="shared" si="49"/>
        <v>0</v>
      </c>
      <c r="L85" s="235">
        <f t="shared" si="50"/>
        <v>0</v>
      </c>
      <c r="M85" s="236">
        <f t="shared" si="51"/>
        <v>0</v>
      </c>
      <c r="N85" s="237">
        <f t="shared" si="52"/>
        <v>0</v>
      </c>
      <c r="O85" s="235">
        <f t="shared" si="53"/>
        <v>0</v>
      </c>
      <c r="P85" s="238">
        <f t="shared" si="54"/>
        <v>0</v>
      </c>
    </row>
    <row r="86" spans="1:16" s="285" customFormat="1" ht="12.75">
      <c r="A86" s="282">
        <f>'2022 BUDGET'!A92</f>
        <v>0</v>
      </c>
      <c r="B86" s="276"/>
      <c r="C86" s="235">
        <f>+'2022 BUDGET'!B92</f>
        <v>0</v>
      </c>
      <c r="D86" s="236">
        <f t="shared" si="46"/>
        <v>0</v>
      </c>
      <c r="E86" s="276"/>
      <c r="F86" s="235">
        <f>+'2022 BUDGET'!C92</f>
        <v>0</v>
      </c>
      <c r="G86" s="236">
        <f t="shared" si="47"/>
        <v>0</v>
      </c>
      <c r="H86" s="276"/>
      <c r="I86" s="235">
        <f>+'2022 BUDGET'!D92</f>
        <v>0</v>
      </c>
      <c r="J86" s="236">
        <f t="shared" si="48"/>
        <v>0</v>
      </c>
      <c r="K86" s="237">
        <f t="shared" si="49"/>
        <v>0</v>
      </c>
      <c r="L86" s="235">
        <f t="shared" si="50"/>
        <v>0</v>
      </c>
      <c r="M86" s="236">
        <f t="shared" si="51"/>
        <v>0</v>
      </c>
      <c r="N86" s="237">
        <f t="shared" si="52"/>
        <v>0</v>
      </c>
      <c r="O86" s="235">
        <f t="shared" si="53"/>
        <v>0</v>
      </c>
      <c r="P86" s="238">
        <f t="shared" si="54"/>
        <v>0</v>
      </c>
    </row>
    <row r="87" spans="1:16" s="285" customFormat="1" ht="12.75">
      <c r="A87" s="286" t="str">
        <f>'2022 BUDGET'!A93</f>
        <v>TOTAL OTHER INCOME</v>
      </c>
      <c r="B87" s="284">
        <f aca="true" t="shared" si="57" ref="B87:P87">SUM(B68:B86)</f>
        <v>3270.5</v>
      </c>
      <c r="C87" s="284">
        <f t="shared" si="57"/>
        <v>150</v>
      </c>
      <c r="D87" s="284">
        <f t="shared" si="57"/>
        <v>3120.5</v>
      </c>
      <c r="E87" s="284">
        <f t="shared" si="57"/>
        <v>260</v>
      </c>
      <c r="F87" s="284">
        <f t="shared" si="57"/>
        <v>150</v>
      </c>
      <c r="G87" s="284">
        <f t="shared" si="57"/>
        <v>110</v>
      </c>
      <c r="H87" s="284">
        <f t="shared" si="57"/>
        <v>225</v>
      </c>
      <c r="I87" s="284">
        <f t="shared" si="57"/>
        <v>412</v>
      </c>
      <c r="J87" s="284">
        <f t="shared" si="57"/>
        <v>-187</v>
      </c>
      <c r="K87" s="284">
        <f t="shared" si="57"/>
        <v>3755.5</v>
      </c>
      <c r="L87" s="284">
        <f t="shared" si="57"/>
        <v>712</v>
      </c>
      <c r="M87" s="284">
        <f t="shared" si="57"/>
        <v>3043.5</v>
      </c>
      <c r="N87" s="284">
        <f t="shared" si="57"/>
        <v>3755.5</v>
      </c>
      <c r="O87" s="284">
        <f t="shared" si="57"/>
        <v>712</v>
      </c>
      <c r="P87" s="284">
        <f t="shared" si="57"/>
        <v>3043.5</v>
      </c>
    </row>
    <row r="88" spans="1:16" s="285" customFormat="1" ht="12.75">
      <c r="A88" s="281">
        <f>'2022 BUDGET'!A94</f>
        <v>0</v>
      </c>
      <c r="B88" s="287"/>
      <c r="C88" s="248"/>
      <c r="D88" s="249"/>
      <c r="E88" s="287"/>
      <c r="F88" s="248"/>
      <c r="G88" s="249"/>
      <c r="H88" s="287"/>
      <c r="I88" s="248"/>
      <c r="J88" s="249"/>
      <c r="K88" s="250"/>
      <c r="L88" s="248"/>
      <c r="M88" s="249"/>
      <c r="N88" s="250"/>
      <c r="O88" s="248"/>
      <c r="P88" s="251"/>
    </row>
    <row r="89" spans="1:16" s="285" customFormat="1" ht="12.75">
      <c r="A89" s="286" t="str">
        <f>'2022 BUDGET'!A95</f>
        <v>TOTAL INCOME</v>
      </c>
      <c r="B89" s="269">
        <f aca="true" t="shared" si="58" ref="B89:P89">B87+B67+B62</f>
        <v>3270.5</v>
      </c>
      <c r="C89" s="269">
        <f t="shared" si="58"/>
        <v>10150</v>
      </c>
      <c r="D89" s="269">
        <f t="shared" si="58"/>
        <v>-6879.5</v>
      </c>
      <c r="E89" s="269">
        <f t="shared" si="58"/>
        <v>10260</v>
      </c>
      <c r="F89" s="269">
        <f t="shared" si="58"/>
        <v>150</v>
      </c>
      <c r="G89" s="269">
        <f t="shared" si="58"/>
        <v>10110</v>
      </c>
      <c r="H89" s="269">
        <f t="shared" si="58"/>
        <v>225</v>
      </c>
      <c r="I89" s="269">
        <f t="shared" si="58"/>
        <v>412</v>
      </c>
      <c r="J89" s="269">
        <f t="shared" si="58"/>
        <v>-187</v>
      </c>
      <c r="K89" s="269">
        <f t="shared" si="58"/>
        <v>13755.5</v>
      </c>
      <c r="L89" s="269">
        <f t="shared" si="58"/>
        <v>10712</v>
      </c>
      <c r="M89" s="269">
        <f t="shared" si="58"/>
        <v>3043.5</v>
      </c>
      <c r="N89" s="269">
        <f t="shared" si="58"/>
        <v>13755.5</v>
      </c>
      <c r="O89" s="269">
        <f t="shared" si="58"/>
        <v>10712</v>
      </c>
      <c r="P89" s="269">
        <f t="shared" si="58"/>
        <v>3043.5</v>
      </c>
    </row>
    <row r="90" spans="1:16" s="285" customFormat="1" ht="13.5" thickBot="1">
      <c r="A90" s="282">
        <f>'2022 BUDGET'!A96</f>
        <v>0</v>
      </c>
      <c r="B90" s="288"/>
      <c r="C90" s="235"/>
      <c r="D90" s="236"/>
      <c r="E90" s="288"/>
      <c r="F90" s="235"/>
      <c r="G90" s="236"/>
      <c r="H90" s="288"/>
      <c r="I90" s="235"/>
      <c r="J90" s="236"/>
      <c r="K90" s="237"/>
      <c r="L90" s="235"/>
      <c r="M90" s="236"/>
      <c r="N90" s="237"/>
      <c r="O90" s="235"/>
      <c r="P90" s="238"/>
    </row>
    <row r="91" spans="1:16" ht="14.25" thickBot="1" thickTop="1">
      <c r="A91" s="289" t="s">
        <v>43</v>
      </c>
      <c r="B91" s="290">
        <f aca="true" t="shared" si="59" ref="B91:P91">B89-B58</f>
        <v>1487.19</v>
      </c>
      <c r="C91" s="290">
        <f t="shared" si="59"/>
        <v>5171.32</v>
      </c>
      <c r="D91" s="290">
        <f t="shared" si="59"/>
        <v>-3684.13</v>
      </c>
      <c r="E91" s="290">
        <f t="shared" si="59"/>
        <v>9774.03</v>
      </c>
      <c r="F91" s="290">
        <f t="shared" si="59"/>
        <v>-4529.67</v>
      </c>
      <c r="G91" s="290">
        <f t="shared" si="59"/>
        <v>14303.7</v>
      </c>
      <c r="H91" s="290">
        <f t="shared" si="59"/>
        <v>-421.3700000000001</v>
      </c>
      <c r="I91" s="290">
        <f t="shared" si="59"/>
        <v>-6000.74</v>
      </c>
      <c r="J91" s="290">
        <f t="shared" si="59"/>
        <v>5579.369999999999</v>
      </c>
      <c r="K91" s="290">
        <f t="shared" si="59"/>
        <v>10839.849999999999</v>
      </c>
      <c r="L91" s="290">
        <f t="shared" si="59"/>
        <v>-5359.09</v>
      </c>
      <c r="M91" s="290">
        <f t="shared" si="59"/>
        <v>16198.939999999999</v>
      </c>
      <c r="N91" s="290">
        <f t="shared" si="59"/>
        <v>10839.849999999999</v>
      </c>
      <c r="O91" s="290">
        <f t="shared" si="59"/>
        <v>-5359.09</v>
      </c>
      <c r="P91" s="290">
        <f t="shared" si="59"/>
        <v>16198.939999999999</v>
      </c>
    </row>
    <row r="92" spans="2:16" s="291" customFormat="1" ht="13.5" thickTop="1">
      <c r="B92" s="244"/>
      <c r="C92" s="245"/>
      <c r="D92" s="246"/>
      <c r="E92" s="244"/>
      <c r="F92" s="245"/>
      <c r="G92" s="246"/>
      <c r="H92" s="244"/>
      <c r="I92" s="245"/>
      <c r="J92" s="246"/>
      <c r="K92" s="250"/>
      <c r="L92" s="248"/>
      <c r="M92" s="249"/>
      <c r="N92" s="250"/>
      <c r="O92" s="248"/>
      <c r="P92" s="251"/>
    </row>
    <row r="93" spans="1:16" s="291" customFormat="1" ht="12.75">
      <c r="A93" s="292" t="s">
        <v>133</v>
      </c>
      <c r="B93" s="244"/>
      <c r="C93" s="245"/>
      <c r="D93" s="246"/>
      <c r="E93" s="244"/>
      <c r="F93" s="245"/>
      <c r="G93" s="246"/>
      <c r="H93" s="244"/>
      <c r="I93" s="245"/>
      <c r="J93" s="246"/>
      <c r="K93" s="250"/>
      <c r="L93" s="248"/>
      <c r="M93" s="249"/>
      <c r="N93" s="250"/>
      <c r="O93" s="248"/>
      <c r="P93" s="251"/>
    </row>
    <row r="94" spans="1:16" ht="12.75">
      <c r="A94" s="219"/>
      <c r="B94" s="293" t="str">
        <f aca="true" t="shared" si="60" ref="B94:P94">+B8</f>
        <v>ACTUALS</v>
      </c>
      <c r="C94" s="294" t="str">
        <f t="shared" si="60"/>
        <v>BUDGET</v>
      </c>
      <c r="D94" s="295" t="str">
        <f t="shared" si="60"/>
        <v>DIFF.</v>
      </c>
      <c r="E94" s="293" t="str">
        <f t="shared" si="60"/>
        <v>ACTUALS</v>
      </c>
      <c r="F94" s="294" t="str">
        <f t="shared" si="60"/>
        <v>BUDGET</v>
      </c>
      <c r="G94" s="295" t="str">
        <f t="shared" si="60"/>
        <v>DIFF.</v>
      </c>
      <c r="H94" s="293" t="str">
        <f t="shared" si="60"/>
        <v>ACTUALS</v>
      </c>
      <c r="I94" s="294" t="str">
        <f t="shared" si="60"/>
        <v>BUDGET</v>
      </c>
      <c r="J94" s="295" t="str">
        <f t="shared" si="60"/>
        <v>DIFF.</v>
      </c>
      <c r="K94" s="296" t="str">
        <f t="shared" si="60"/>
        <v>ACTUALS</v>
      </c>
      <c r="L94" s="294" t="str">
        <f t="shared" si="60"/>
        <v>BUDGET</v>
      </c>
      <c r="M94" s="295" t="str">
        <f t="shared" si="60"/>
        <v>DIFF.</v>
      </c>
      <c r="N94" s="296" t="str">
        <f t="shared" si="60"/>
        <v>ACTUALS</v>
      </c>
      <c r="O94" s="294" t="str">
        <f t="shared" si="60"/>
        <v>BUDGET</v>
      </c>
      <c r="P94" s="297" t="str">
        <f t="shared" si="60"/>
        <v>DIFF.</v>
      </c>
    </row>
    <row r="95" spans="1:16" ht="19.5" customHeight="1">
      <c r="A95" s="259" t="s">
        <v>166</v>
      </c>
      <c r="B95" s="298">
        <f>B42</f>
        <v>1204.76</v>
      </c>
      <c r="C95" s="298">
        <f>C42</f>
        <v>650</v>
      </c>
      <c r="D95" s="299">
        <f>+B95-C95</f>
        <v>554.76</v>
      </c>
      <c r="E95" s="298">
        <f>E42</f>
        <v>-139.39000000000004</v>
      </c>
      <c r="F95" s="298">
        <f>F42</f>
        <v>351</v>
      </c>
      <c r="G95" s="299">
        <f>+E95-F95</f>
        <v>-490.39000000000004</v>
      </c>
      <c r="H95" s="298">
        <f>H42</f>
        <v>-693.1899999999998</v>
      </c>
      <c r="I95" s="298">
        <f>I42</f>
        <v>362.5</v>
      </c>
      <c r="J95" s="299">
        <f>+H95-I95</f>
        <v>-1055.6899999999998</v>
      </c>
      <c r="K95" s="298">
        <f>+B95+E95+H95</f>
        <v>372.18000000000006</v>
      </c>
      <c r="L95" s="298">
        <f>+C95+F95+I95</f>
        <v>1363.5</v>
      </c>
      <c r="M95" s="299">
        <f>D95+G95+J95</f>
        <v>-991.3199999999999</v>
      </c>
      <c r="N95" s="298">
        <f aca="true" t="shared" si="61" ref="N95:P96">+K95</f>
        <v>372.18000000000006</v>
      </c>
      <c r="O95" s="298">
        <f t="shared" si="61"/>
        <v>1363.5</v>
      </c>
      <c r="P95" s="300">
        <f t="shared" si="61"/>
        <v>-991.3199999999999</v>
      </c>
    </row>
    <row r="96" spans="1:16" ht="19.5" customHeight="1">
      <c r="A96" s="259" t="s">
        <v>182</v>
      </c>
      <c r="B96" s="301">
        <f>B56</f>
        <v>578.5500000000001</v>
      </c>
      <c r="C96" s="301">
        <f>C56</f>
        <v>4328.68</v>
      </c>
      <c r="D96" s="236">
        <f>+B96-C96</f>
        <v>-3750.13</v>
      </c>
      <c r="E96" s="301">
        <f>SUM(E56)</f>
        <v>625.36</v>
      </c>
      <c r="F96" s="301">
        <f>SUM(F56)</f>
        <v>4328.67</v>
      </c>
      <c r="G96" s="236">
        <f>+E96-F96</f>
        <v>-3703.31</v>
      </c>
      <c r="H96" s="301">
        <f>SUM(H56)</f>
        <v>1339.56</v>
      </c>
      <c r="I96" s="301">
        <f>SUM(I56)</f>
        <v>6050.24</v>
      </c>
      <c r="J96" s="236">
        <f>+H96-I96</f>
        <v>-4710.68</v>
      </c>
      <c r="K96" s="301">
        <f>+B96+E96+H96</f>
        <v>2543.4700000000003</v>
      </c>
      <c r="L96" s="301">
        <f>+C96+F96+I96</f>
        <v>14707.59</v>
      </c>
      <c r="M96" s="236">
        <f>D96+G96+J96</f>
        <v>-12164.12</v>
      </c>
      <c r="N96" s="301">
        <f t="shared" si="61"/>
        <v>2543.4700000000003</v>
      </c>
      <c r="O96" s="301">
        <f t="shared" si="61"/>
        <v>14707.59</v>
      </c>
      <c r="P96" s="238">
        <f t="shared" si="61"/>
        <v>-12164.12</v>
      </c>
    </row>
    <row r="97" spans="1:16" ht="19.5" customHeight="1">
      <c r="A97" s="302" t="s">
        <v>183</v>
      </c>
      <c r="B97" s="301">
        <f>B95+B96</f>
        <v>1783.31</v>
      </c>
      <c r="C97" s="301">
        <f aca="true" t="shared" si="62" ref="C97:P97">C95+C96</f>
        <v>4978.68</v>
      </c>
      <c r="D97" s="301">
        <f t="shared" si="62"/>
        <v>-3195.37</v>
      </c>
      <c r="E97" s="301">
        <f t="shared" si="62"/>
        <v>485.96999999999997</v>
      </c>
      <c r="F97" s="301">
        <f t="shared" si="62"/>
        <v>4679.67</v>
      </c>
      <c r="G97" s="301">
        <f t="shared" si="62"/>
        <v>-4193.7</v>
      </c>
      <c r="H97" s="301">
        <f t="shared" si="62"/>
        <v>646.3700000000001</v>
      </c>
      <c r="I97" s="301">
        <f t="shared" si="62"/>
        <v>6412.74</v>
      </c>
      <c r="J97" s="301">
        <f t="shared" si="62"/>
        <v>-5766.37</v>
      </c>
      <c r="K97" s="301">
        <f t="shared" si="62"/>
        <v>2915.6500000000005</v>
      </c>
      <c r="L97" s="301">
        <f t="shared" si="62"/>
        <v>16071.09</v>
      </c>
      <c r="M97" s="301">
        <f t="shared" si="62"/>
        <v>-13155.44</v>
      </c>
      <c r="N97" s="301">
        <f t="shared" si="62"/>
        <v>2915.6500000000005</v>
      </c>
      <c r="O97" s="301">
        <f t="shared" si="62"/>
        <v>16071.09</v>
      </c>
      <c r="P97" s="238">
        <f t="shared" si="62"/>
        <v>-13155.44</v>
      </c>
    </row>
    <row r="98" spans="1:16" ht="19.5" customHeight="1">
      <c r="A98" s="303" t="s">
        <v>218</v>
      </c>
      <c r="B98" s="238">
        <f aca="true" t="shared" si="63" ref="B98:P98">B67</f>
        <v>0</v>
      </c>
      <c r="C98" s="237">
        <f t="shared" si="63"/>
        <v>10000</v>
      </c>
      <c r="D98" s="237">
        <f t="shared" si="63"/>
        <v>-10000</v>
      </c>
      <c r="E98" s="237">
        <f t="shared" si="63"/>
        <v>10000</v>
      </c>
      <c r="F98" s="237">
        <f t="shared" si="63"/>
        <v>0</v>
      </c>
      <c r="G98" s="237">
        <f t="shared" si="63"/>
        <v>10000</v>
      </c>
      <c r="H98" s="237">
        <f t="shared" si="63"/>
        <v>0</v>
      </c>
      <c r="I98" s="237">
        <f t="shared" si="63"/>
        <v>0</v>
      </c>
      <c r="J98" s="301">
        <f t="shared" si="63"/>
        <v>0</v>
      </c>
      <c r="K98" s="238">
        <f t="shared" si="63"/>
        <v>10000</v>
      </c>
      <c r="L98" s="237">
        <f t="shared" si="63"/>
        <v>10000</v>
      </c>
      <c r="M98" s="237">
        <f t="shared" si="63"/>
        <v>0</v>
      </c>
      <c r="N98" s="237">
        <f t="shared" si="63"/>
        <v>10000</v>
      </c>
      <c r="O98" s="237">
        <f t="shared" si="63"/>
        <v>10000</v>
      </c>
      <c r="P98" s="237">
        <f t="shared" si="63"/>
        <v>0</v>
      </c>
    </row>
    <row r="99" spans="1:16" ht="19.5" customHeight="1">
      <c r="A99" s="304" t="s">
        <v>204</v>
      </c>
      <c r="B99" s="237">
        <f>B87</f>
        <v>3270.5</v>
      </c>
      <c r="C99" s="237">
        <f aca="true" t="shared" si="64" ref="C99:P99">C87</f>
        <v>150</v>
      </c>
      <c r="D99" s="237">
        <f t="shared" si="64"/>
        <v>3120.5</v>
      </c>
      <c r="E99" s="237">
        <f t="shared" si="64"/>
        <v>260</v>
      </c>
      <c r="F99" s="237">
        <f t="shared" si="64"/>
        <v>150</v>
      </c>
      <c r="G99" s="237">
        <f t="shared" si="64"/>
        <v>110</v>
      </c>
      <c r="H99" s="237">
        <f t="shared" si="64"/>
        <v>225</v>
      </c>
      <c r="I99" s="237">
        <f t="shared" si="64"/>
        <v>412</v>
      </c>
      <c r="J99" s="237">
        <f t="shared" si="64"/>
        <v>-187</v>
      </c>
      <c r="K99" s="237">
        <f t="shared" si="64"/>
        <v>3755.5</v>
      </c>
      <c r="L99" s="237">
        <f t="shared" si="64"/>
        <v>712</v>
      </c>
      <c r="M99" s="237">
        <f t="shared" si="64"/>
        <v>3043.5</v>
      </c>
      <c r="N99" s="237">
        <f t="shared" si="64"/>
        <v>3755.5</v>
      </c>
      <c r="O99" s="237">
        <f t="shared" si="64"/>
        <v>712</v>
      </c>
      <c r="P99" s="237">
        <f t="shared" si="64"/>
        <v>3043.5</v>
      </c>
    </row>
    <row r="100" spans="1:16" ht="19.5" customHeight="1" thickBot="1">
      <c r="A100" s="305" t="s">
        <v>132</v>
      </c>
      <c r="B100" s="237">
        <f aca="true" t="shared" si="65" ref="B100:P100">B99+B98+B62</f>
        <v>3270.5</v>
      </c>
      <c r="C100" s="237">
        <f t="shared" si="65"/>
        <v>10150</v>
      </c>
      <c r="D100" s="237">
        <f t="shared" si="65"/>
        <v>-6879.5</v>
      </c>
      <c r="E100" s="237">
        <f t="shared" si="65"/>
        <v>10260</v>
      </c>
      <c r="F100" s="237">
        <f t="shared" si="65"/>
        <v>150</v>
      </c>
      <c r="G100" s="237">
        <f t="shared" si="65"/>
        <v>10110</v>
      </c>
      <c r="H100" s="237">
        <f t="shared" si="65"/>
        <v>225</v>
      </c>
      <c r="I100" s="237">
        <f t="shared" si="65"/>
        <v>412</v>
      </c>
      <c r="J100" s="237">
        <f t="shared" si="65"/>
        <v>-187</v>
      </c>
      <c r="K100" s="237">
        <f t="shared" si="65"/>
        <v>13755.5</v>
      </c>
      <c r="L100" s="237">
        <f t="shared" si="65"/>
        <v>10712</v>
      </c>
      <c r="M100" s="237">
        <f t="shared" si="65"/>
        <v>3043.5</v>
      </c>
      <c r="N100" s="237">
        <f t="shared" si="65"/>
        <v>13755.5</v>
      </c>
      <c r="O100" s="237">
        <f t="shared" si="65"/>
        <v>10712</v>
      </c>
      <c r="P100" s="237">
        <f t="shared" si="65"/>
        <v>3043.5</v>
      </c>
    </row>
    <row r="101" spans="1:16" ht="14.25" customHeight="1" thickBot="1">
      <c r="A101" s="306" t="s">
        <v>46</v>
      </c>
      <c r="B101" s="307">
        <f>B100-B97</f>
        <v>1487.19</v>
      </c>
      <c r="C101" s="307">
        <f>C100-C97</f>
        <v>5171.32</v>
      </c>
      <c r="D101" s="307">
        <f aca="true" t="shared" si="66" ref="D101:P101">D100-D97</f>
        <v>-3684.13</v>
      </c>
      <c r="E101" s="307">
        <f t="shared" si="66"/>
        <v>9774.03</v>
      </c>
      <c r="F101" s="307">
        <f t="shared" si="66"/>
        <v>-4529.67</v>
      </c>
      <c r="G101" s="307">
        <f t="shared" si="66"/>
        <v>14303.7</v>
      </c>
      <c r="H101" s="307">
        <f t="shared" si="66"/>
        <v>-421.3700000000001</v>
      </c>
      <c r="I101" s="307">
        <f t="shared" si="66"/>
        <v>-6000.74</v>
      </c>
      <c r="J101" s="307">
        <f t="shared" si="66"/>
        <v>5579.37</v>
      </c>
      <c r="K101" s="307">
        <f t="shared" si="66"/>
        <v>10839.849999999999</v>
      </c>
      <c r="L101" s="307">
        <f t="shared" si="66"/>
        <v>-5359.09</v>
      </c>
      <c r="M101" s="307">
        <f t="shared" si="66"/>
        <v>16198.94</v>
      </c>
      <c r="N101" s="307">
        <f t="shared" si="66"/>
        <v>10839.849999999999</v>
      </c>
      <c r="O101" s="307">
        <f t="shared" si="66"/>
        <v>-5359.09</v>
      </c>
      <c r="P101" s="307">
        <f t="shared" si="66"/>
        <v>16198.94</v>
      </c>
    </row>
    <row r="102" ht="12.75">
      <c r="A102" s="308"/>
    </row>
    <row r="103" ht="12.75">
      <c r="A103" s="308"/>
    </row>
    <row r="104" spans="1:16" ht="12.75">
      <c r="A104" s="309" t="s">
        <v>195</v>
      </c>
      <c r="B104" s="310" t="s">
        <v>119</v>
      </c>
      <c r="C104" s="310" t="s">
        <v>196</v>
      </c>
      <c r="D104" s="311" t="s">
        <v>197</v>
      </c>
      <c r="E104" s="310" t="s">
        <v>119</v>
      </c>
      <c r="F104" s="310" t="s">
        <v>196</v>
      </c>
      <c r="G104" s="311" t="s">
        <v>197</v>
      </c>
      <c r="H104" s="310" t="s">
        <v>119</v>
      </c>
      <c r="I104" s="310" t="s">
        <v>196</v>
      </c>
      <c r="J104" s="311" t="s">
        <v>197</v>
      </c>
      <c r="K104" s="310" t="s">
        <v>119</v>
      </c>
      <c r="L104" s="310" t="s">
        <v>196</v>
      </c>
      <c r="M104" s="311" t="s">
        <v>197</v>
      </c>
      <c r="N104" s="310" t="s">
        <v>119</v>
      </c>
      <c r="O104" s="310" t="s">
        <v>196</v>
      </c>
      <c r="P104" s="312" t="s">
        <v>197</v>
      </c>
    </row>
    <row r="105" spans="1:16" ht="12.75">
      <c r="A105" s="313" t="s">
        <v>198</v>
      </c>
      <c r="B105" s="314"/>
      <c r="C105" s="314"/>
      <c r="D105" s="314"/>
      <c r="E105" s="315">
        <f>+B112</f>
        <v>1487.19</v>
      </c>
      <c r="F105" s="315">
        <f>+E105-G105</f>
        <v>1487.19</v>
      </c>
      <c r="G105" s="315">
        <f>+D112</f>
        <v>0</v>
      </c>
      <c r="H105" s="315">
        <f>+E112</f>
        <v>11261.220000000001</v>
      </c>
      <c r="I105" s="315">
        <f>+F112</f>
        <v>11261.220000000001</v>
      </c>
      <c r="J105" s="315">
        <f>+G112</f>
        <v>0</v>
      </c>
      <c r="K105" s="315">
        <f>+B105</f>
        <v>0</v>
      </c>
      <c r="L105" s="315">
        <f>+C105</f>
        <v>0</v>
      </c>
      <c r="M105" s="315">
        <f>+D105</f>
        <v>0</v>
      </c>
      <c r="N105" s="315">
        <f>B105</f>
        <v>0</v>
      </c>
      <c r="O105" s="315">
        <f>C105</f>
        <v>0</v>
      </c>
      <c r="P105" s="315">
        <f>D105</f>
        <v>0</v>
      </c>
    </row>
    <row r="106" spans="1:16" ht="12.75">
      <c r="A106" s="313" t="s">
        <v>199</v>
      </c>
      <c r="B106" s="315">
        <f>B89</f>
        <v>3270.5</v>
      </c>
      <c r="C106" s="315">
        <f>+B106-D106</f>
        <v>3270.5</v>
      </c>
      <c r="D106" s="316"/>
      <c r="E106" s="315">
        <f>E89</f>
        <v>10260</v>
      </c>
      <c r="F106" s="315">
        <f>+E106-G106</f>
        <v>10260</v>
      </c>
      <c r="G106" s="316"/>
      <c r="H106" s="315">
        <f>H89</f>
        <v>225</v>
      </c>
      <c r="I106" s="317">
        <f>H106-J106</f>
        <v>225</v>
      </c>
      <c r="J106" s="316"/>
      <c r="K106" s="315">
        <f>K89</f>
        <v>13755.5</v>
      </c>
      <c r="L106" s="315">
        <f>+K106-M106</f>
        <v>13755.5</v>
      </c>
      <c r="M106" s="318">
        <f>+D106+G106+J106</f>
        <v>0</v>
      </c>
      <c r="N106" s="315">
        <f aca="true" t="shared" si="67" ref="N106:P110">+K106</f>
        <v>13755.5</v>
      </c>
      <c r="O106" s="315">
        <f t="shared" si="67"/>
        <v>13755.5</v>
      </c>
      <c r="P106" s="319">
        <f t="shared" si="67"/>
        <v>0</v>
      </c>
    </row>
    <row r="107" spans="1:16" ht="13.5" thickBot="1">
      <c r="A107" s="313" t="s">
        <v>200</v>
      </c>
      <c r="B107" s="320"/>
      <c r="C107" s="321"/>
      <c r="D107" s="322"/>
      <c r="E107" s="320"/>
      <c r="F107" s="321"/>
      <c r="G107" s="322"/>
      <c r="H107" s="320"/>
      <c r="I107" s="321"/>
      <c r="J107" s="322"/>
      <c r="K107" s="323"/>
      <c r="L107" s="323">
        <f>+C107+F107+I107</f>
        <v>0</v>
      </c>
      <c r="M107" s="324">
        <f>+D107+G107+J107</f>
        <v>0</v>
      </c>
      <c r="N107" s="323">
        <f t="shared" si="67"/>
        <v>0</v>
      </c>
      <c r="O107" s="323">
        <f t="shared" si="67"/>
        <v>0</v>
      </c>
      <c r="P107" s="325">
        <f t="shared" si="67"/>
        <v>0</v>
      </c>
    </row>
    <row r="108" spans="1:16" ht="13.5" thickBot="1">
      <c r="A108" s="326" t="s">
        <v>201</v>
      </c>
      <c r="B108" s="327">
        <f aca="true" t="shared" si="68" ref="B108:M108">SUM(B105:B107)</f>
        <v>3270.5</v>
      </c>
      <c r="C108" s="328">
        <f t="shared" si="68"/>
        <v>3270.5</v>
      </c>
      <c r="D108" s="328">
        <f t="shared" si="68"/>
        <v>0</v>
      </c>
      <c r="E108" s="328">
        <f t="shared" si="68"/>
        <v>11747.19</v>
      </c>
      <c r="F108" s="328">
        <f t="shared" si="68"/>
        <v>11747.19</v>
      </c>
      <c r="G108" s="328">
        <f t="shared" si="68"/>
        <v>0</v>
      </c>
      <c r="H108" s="328">
        <f t="shared" si="68"/>
        <v>11486.220000000001</v>
      </c>
      <c r="I108" s="328">
        <f t="shared" si="68"/>
        <v>11486.220000000001</v>
      </c>
      <c r="J108" s="328">
        <f t="shared" si="68"/>
        <v>0</v>
      </c>
      <c r="K108" s="328">
        <f t="shared" si="68"/>
        <v>13755.5</v>
      </c>
      <c r="L108" s="328">
        <f t="shared" si="68"/>
        <v>13755.5</v>
      </c>
      <c r="M108" s="328">
        <f t="shared" si="68"/>
        <v>0</v>
      </c>
      <c r="N108" s="328">
        <f t="shared" si="67"/>
        <v>13755.5</v>
      </c>
      <c r="O108" s="328">
        <f t="shared" si="67"/>
        <v>13755.5</v>
      </c>
      <c r="P108" s="329">
        <f t="shared" si="67"/>
        <v>0</v>
      </c>
    </row>
    <row r="109" spans="1:16" ht="12.75">
      <c r="A109" s="330" t="s">
        <v>202</v>
      </c>
      <c r="B109" s="331">
        <f>+B58</f>
        <v>1783.31</v>
      </c>
      <c r="C109" s="331">
        <f>+B109-D109</f>
        <v>1783.31</v>
      </c>
      <c r="D109" s="332"/>
      <c r="E109" s="331">
        <f>+E58</f>
        <v>485.96999999999997</v>
      </c>
      <c r="F109" s="331">
        <f>+E109-G109</f>
        <v>485.96999999999997</v>
      </c>
      <c r="G109" s="332"/>
      <c r="H109" s="331">
        <f>H58</f>
        <v>646.3700000000001</v>
      </c>
      <c r="I109" s="331">
        <f>H109-J109</f>
        <v>646.3700000000001</v>
      </c>
      <c r="J109" s="332"/>
      <c r="K109" s="331">
        <f>+K58</f>
        <v>2915.650000000001</v>
      </c>
      <c r="L109" s="331">
        <f>+K109-M109</f>
        <v>2915.650000000001</v>
      </c>
      <c r="M109" s="333">
        <f>+D109+G109+J109</f>
        <v>0</v>
      </c>
      <c r="N109" s="331">
        <f t="shared" si="67"/>
        <v>2915.650000000001</v>
      </c>
      <c r="O109" s="331">
        <f t="shared" si="67"/>
        <v>2915.650000000001</v>
      </c>
      <c r="P109" s="334">
        <f t="shared" si="67"/>
        <v>0</v>
      </c>
    </row>
    <row r="110" spans="1:16" ht="12.75">
      <c r="A110" s="335" t="s">
        <v>200</v>
      </c>
      <c r="B110" s="317"/>
      <c r="C110" s="315">
        <f>+D107</f>
        <v>0</v>
      </c>
      <c r="D110" s="318">
        <f>+C107</f>
        <v>0</v>
      </c>
      <c r="E110" s="317"/>
      <c r="F110" s="315">
        <f>+G107</f>
        <v>0</v>
      </c>
      <c r="G110" s="318">
        <f>+F107</f>
        <v>0</v>
      </c>
      <c r="H110" s="315"/>
      <c r="I110" s="315">
        <f>+J107</f>
        <v>0</v>
      </c>
      <c r="J110" s="318">
        <f>+I107</f>
        <v>0</v>
      </c>
      <c r="K110" s="315"/>
      <c r="L110" s="315">
        <f>+M107</f>
        <v>0</v>
      </c>
      <c r="M110" s="318">
        <f>+L107</f>
        <v>0</v>
      </c>
      <c r="N110" s="315">
        <f t="shared" si="67"/>
        <v>0</v>
      </c>
      <c r="O110" s="315">
        <f t="shared" si="67"/>
        <v>0</v>
      </c>
      <c r="P110" s="319">
        <f t="shared" si="67"/>
        <v>0</v>
      </c>
    </row>
    <row r="111" spans="1:16" ht="13.5" thickBot="1">
      <c r="A111" s="335"/>
      <c r="B111" s="320"/>
      <c r="C111" s="320"/>
      <c r="D111" s="336"/>
      <c r="E111" s="320"/>
      <c r="F111" s="320"/>
      <c r="G111" s="336"/>
      <c r="H111" s="320"/>
      <c r="I111" s="320"/>
      <c r="J111" s="336"/>
      <c r="K111" s="320"/>
      <c r="L111" s="320"/>
      <c r="M111" s="336"/>
      <c r="N111" s="320"/>
      <c r="O111" s="320"/>
      <c r="P111" s="337"/>
    </row>
    <row r="112" spans="1:16" ht="13.5" thickBot="1">
      <c r="A112" s="338" t="s">
        <v>203</v>
      </c>
      <c r="B112" s="327">
        <f>SUM(B108-B109-B110)</f>
        <v>1487.19</v>
      </c>
      <c r="C112" s="328">
        <f aca="true" t="shared" si="69" ref="C112:P112">SUM(C108-C109-C110)</f>
        <v>1487.19</v>
      </c>
      <c r="D112" s="328">
        <f t="shared" si="69"/>
        <v>0</v>
      </c>
      <c r="E112" s="328">
        <f t="shared" si="69"/>
        <v>11261.220000000001</v>
      </c>
      <c r="F112" s="328">
        <f t="shared" si="69"/>
        <v>11261.220000000001</v>
      </c>
      <c r="G112" s="328">
        <f t="shared" si="69"/>
        <v>0</v>
      </c>
      <c r="H112" s="328">
        <f t="shared" si="69"/>
        <v>10839.85</v>
      </c>
      <c r="I112" s="328">
        <f t="shared" si="69"/>
        <v>10839.85</v>
      </c>
      <c r="J112" s="328">
        <f t="shared" si="69"/>
        <v>0</v>
      </c>
      <c r="K112" s="328">
        <f t="shared" si="69"/>
        <v>10839.849999999999</v>
      </c>
      <c r="L112" s="328">
        <f t="shared" si="69"/>
        <v>10839.849999999999</v>
      </c>
      <c r="M112" s="328">
        <f t="shared" si="69"/>
        <v>0</v>
      </c>
      <c r="N112" s="328">
        <f t="shared" si="69"/>
        <v>10839.849999999999</v>
      </c>
      <c r="O112" s="328">
        <f t="shared" si="69"/>
        <v>10839.849999999999</v>
      </c>
      <c r="P112" s="329">
        <f t="shared" si="69"/>
        <v>0</v>
      </c>
    </row>
    <row r="113" ht="12.75">
      <c r="A113" s="213">
        <f>+B4</f>
        <v>0</v>
      </c>
    </row>
    <row r="114" ht="12.75">
      <c r="A114" s="308" t="s">
        <v>130</v>
      </c>
    </row>
    <row r="115" spans="1:16" ht="12.75">
      <c r="A115" s="339"/>
      <c r="B115" s="341"/>
      <c r="C115" s="341"/>
      <c r="D115" s="341"/>
      <c r="E115" s="341"/>
      <c r="F115" s="341"/>
      <c r="G115" s="341"/>
      <c r="H115" s="341"/>
      <c r="I115" s="341"/>
      <c r="J115" s="341"/>
      <c r="K115" s="341"/>
      <c r="L115" s="341"/>
      <c r="M115" s="341"/>
      <c r="N115" s="341"/>
      <c r="O115" s="341"/>
      <c r="P115" s="341"/>
    </row>
    <row r="116" spans="1:16" ht="12.75">
      <c r="A116" s="339"/>
      <c r="B116" s="341"/>
      <c r="C116" s="341"/>
      <c r="D116" s="341"/>
      <c r="E116" s="341"/>
      <c r="F116" s="341"/>
      <c r="G116" s="341"/>
      <c r="H116" s="341"/>
      <c r="I116" s="341"/>
      <c r="J116" s="341"/>
      <c r="K116" s="341"/>
      <c r="L116" s="341"/>
      <c r="M116" s="341"/>
      <c r="N116" s="341"/>
      <c r="O116" s="341"/>
      <c r="P116" s="341"/>
    </row>
  </sheetData>
  <sheetProtection password="C72A" sheet="1"/>
  <printOptions/>
  <pageMargins left="0.118110236220472" right="0.118110236220472" top="0.196850393700787" bottom="0.354330708661417" header="0.511811023622047" footer="0.196850393700787"/>
  <pageSetup fitToHeight="2" fitToWidth="2" horizontalDpi="600" verticalDpi="600" orientation="landscape" scale="65" r:id="rId1"/>
  <headerFooter alignWithMargins="0">
    <oddFooter>&amp;CPagina &amp;P&amp;R&amp;A</oddFooter>
  </headerFooter>
  <rowBreaks count="1" manualBreakCount="1">
    <brk id="5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16"/>
  <sheetViews>
    <sheetView view="pageBreakPreview" zoomScale="90" zoomScaleSheetLayoutView="90" zoomScalePageLayoutView="0" workbookViewId="0" topLeftCell="A17">
      <selection activeCell="E34" sqref="E34"/>
    </sheetView>
  </sheetViews>
  <sheetFormatPr defaultColWidth="9.140625" defaultRowHeight="12.75"/>
  <cols>
    <col min="1" max="1" width="56.57421875" style="213" customWidth="1"/>
    <col min="2" max="2" width="10.421875" style="214" customWidth="1"/>
    <col min="3" max="3" width="9.8515625" style="214" bestFit="1" customWidth="1"/>
    <col min="4" max="4" width="9.7109375" style="214" bestFit="1" customWidth="1"/>
    <col min="5" max="5" width="10.57421875" style="214" bestFit="1" customWidth="1"/>
    <col min="6" max="6" width="9.8515625" style="214" bestFit="1" customWidth="1"/>
    <col min="7" max="7" width="9.7109375" style="214" bestFit="1" customWidth="1"/>
    <col min="8" max="8" width="10.57421875" style="214" bestFit="1" customWidth="1"/>
    <col min="9" max="9" width="9.8515625" style="214" bestFit="1" customWidth="1"/>
    <col min="10" max="10" width="9.7109375" style="214" bestFit="1" customWidth="1"/>
    <col min="11" max="11" width="10.57421875" style="214" bestFit="1" customWidth="1"/>
    <col min="12" max="12" width="10.421875" style="214" bestFit="1" customWidth="1"/>
    <col min="13" max="13" width="11.140625" style="214" bestFit="1" customWidth="1"/>
    <col min="14" max="14" width="10.57421875" style="214" bestFit="1" customWidth="1"/>
    <col min="15" max="15" width="10.421875" style="214" bestFit="1" customWidth="1"/>
    <col min="16" max="16" width="11.140625" style="214" bestFit="1" customWidth="1"/>
    <col min="17" max="16384" width="9.140625" style="213" customWidth="1"/>
  </cols>
  <sheetData>
    <row r="1" spans="1:16" ht="12.75">
      <c r="A1" s="213" t="str">
        <f>+'2022 BUDGET'!A1</f>
        <v>FRANCISCAN SISTERS OF THE POOR</v>
      </c>
      <c r="P1" s="215">
        <f>+'2022 BUDGET'!N1</f>
        <v>2022</v>
      </c>
    </row>
    <row r="2" ht="12.75">
      <c r="A2" s="216" t="str">
        <f>+'2022 BUDGET'!A2</f>
        <v>NAME OF THE MINISTRY -  HAIRCUTS FROM THE HEART</v>
      </c>
    </row>
    <row r="4" ht="12.75">
      <c r="A4" s="217" t="str">
        <f>'2022 BUDGET'!A4</f>
        <v>MINISTRY EXPENSES</v>
      </c>
    </row>
    <row r="5" ht="12.75">
      <c r="B5" s="340"/>
    </row>
    <row r="6" ht="13.5" thickBot="1">
      <c r="A6" s="218"/>
    </row>
    <row r="7" spans="1:16" ht="13.5" thickTop="1">
      <c r="A7" s="219" t="str">
        <f>'2022 BUDGET'!A7</f>
        <v>General expenses</v>
      </c>
      <c r="B7" s="220" t="s">
        <v>127</v>
      </c>
      <c r="C7" s="221"/>
      <c r="D7" s="222"/>
      <c r="E7" s="223" t="s">
        <v>103</v>
      </c>
      <c r="F7" s="221"/>
      <c r="G7" s="222"/>
      <c r="H7" s="220" t="s">
        <v>128</v>
      </c>
      <c r="I7" s="221"/>
      <c r="J7" s="222"/>
      <c r="K7" s="224" t="s">
        <v>129</v>
      </c>
      <c r="L7" s="221"/>
      <c r="M7" s="225"/>
      <c r="N7" s="224" t="s">
        <v>115</v>
      </c>
      <c r="O7" s="221"/>
      <c r="P7" s="226"/>
    </row>
    <row r="8" spans="1:16" ht="12.75">
      <c r="A8" s="218"/>
      <c r="B8" s="227" t="s">
        <v>126</v>
      </c>
      <c r="C8" s="228" t="s">
        <v>49</v>
      </c>
      <c r="D8" s="229" t="s">
        <v>50</v>
      </c>
      <c r="E8" s="230" t="s">
        <v>126</v>
      </c>
      <c r="F8" s="228" t="s">
        <v>49</v>
      </c>
      <c r="G8" s="229" t="s">
        <v>50</v>
      </c>
      <c r="H8" s="230" t="s">
        <v>126</v>
      </c>
      <c r="I8" s="228" t="s">
        <v>49</v>
      </c>
      <c r="J8" s="229" t="s">
        <v>50</v>
      </c>
      <c r="K8" s="231" t="s">
        <v>126</v>
      </c>
      <c r="L8" s="228" t="s">
        <v>49</v>
      </c>
      <c r="M8" s="229" t="s">
        <v>50</v>
      </c>
      <c r="N8" s="231" t="s">
        <v>126</v>
      </c>
      <c r="O8" s="228" t="s">
        <v>49</v>
      </c>
      <c r="P8" s="232" t="s">
        <v>50</v>
      </c>
    </row>
    <row r="9" spans="1:16" ht="12.75">
      <c r="A9" s="233" t="str">
        <f>+'2022 BUDGET'!A9</f>
        <v>Rent</v>
      </c>
      <c r="B9" s="234"/>
      <c r="C9" s="235">
        <f>+'2022 BUDGET'!E9</f>
        <v>0</v>
      </c>
      <c r="D9" s="236">
        <f>+B9-C9</f>
        <v>0</v>
      </c>
      <c r="E9" s="234"/>
      <c r="F9" s="235">
        <f>+'2022 BUDGET'!F9</f>
        <v>0</v>
      </c>
      <c r="G9" s="236">
        <f>+E9-F9</f>
        <v>0</v>
      </c>
      <c r="H9" s="234"/>
      <c r="I9" s="235">
        <f>+'2022 BUDGET'!G9</f>
        <v>0</v>
      </c>
      <c r="J9" s="236">
        <f>+H9-I9</f>
        <v>0</v>
      </c>
      <c r="K9" s="237">
        <f>+B9+E9+H9</f>
        <v>0</v>
      </c>
      <c r="L9" s="235">
        <f>+C9+F9+I9</f>
        <v>0</v>
      </c>
      <c r="M9" s="236">
        <f>D9+G9+J9</f>
        <v>0</v>
      </c>
      <c r="N9" s="237">
        <f>+K9+'TRIM 1'!N9</f>
        <v>0</v>
      </c>
      <c r="O9" s="235">
        <f>+L9+'TRIM 1'!O9</f>
        <v>0</v>
      </c>
      <c r="P9" s="236">
        <f>+M9+'TRIM 1'!P9</f>
        <v>0</v>
      </c>
    </row>
    <row r="10" spans="1:16" ht="12.75">
      <c r="A10" s="233" t="str">
        <f>+'2022 BUDGET'!A10</f>
        <v>Bank expenses</v>
      </c>
      <c r="B10" s="234"/>
      <c r="C10" s="235">
        <f>+'2022 BUDGET'!E10</f>
        <v>0</v>
      </c>
      <c r="D10" s="236">
        <f aca="true" t="shared" si="0" ref="D10:D40">+B10-C10</f>
        <v>0</v>
      </c>
      <c r="E10" s="234"/>
      <c r="F10" s="235">
        <f>+'2022 BUDGET'!F10</f>
        <v>0</v>
      </c>
      <c r="G10" s="236">
        <f aca="true" t="shared" si="1" ref="G10:G40">+E10-F10</f>
        <v>0</v>
      </c>
      <c r="H10" s="234"/>
      <c r="I10" s="235">
        <f>+'2022 BUDGET'!G10</f>
        <v>0</v>
      </c>
      <c r="J10" s="236">
        <f aca="true" t="shared" si="2" ref="J10:J40">+H10-I10</f>
        <v>0</v>
      </c>
      <c r="K10" s="237">
        <f aca="true" t="shared" si="3" ref="K10:L25">+B10+E10+H10</f>
        <v>0</v>
      </c>
      <c r="L10" s="235">
        <f t="shared" si="3"/>
        <v>0</v>
      </c>
      <c r="M10" s="236">
        <f aca="true" t="shared" si="4" ref="M10:M40">D10+G10+J10</f>
        <v>0</v>
      </c>
      <c r="N10" s="237">
        <f>+K10+'TRIM 1'!N10</f>
        <v>0</v>
      </c>
      <c r="O10" s="235">
        <f>+L10+'TRIM 1'!O10</f>
        <v>0</v>
      </c>
      <c r="P10" s="236">
        <f>+M10+'TRIM 1'!P10</f>
        <v>0</v>
      </c>
    </row>
    <row r="11" spans="1:16" ht="12.75">
      <c r="A11" s="233" t="str">
        <f>+'2022 BUDGET'!A11</f>
        <v>Utility</v>
      </c>
      <c r="B11" s="234"/>
      <c r="C11" s="235">
        <f>+'2022 BUDGET'!E11</f>
        <v>41</v>
      </c>
      <c r="D11" s="236">
        <f t="shared" si="0"/>
        <v>-41</v>
      </c>
      <c r="E11" s="234"/>
      <c r="F11" s="235">
        <f>+'2022 BUDGET'!F11</f>
        <v>42</v>
      </c>
      <c r="G11" s="236">
        <f t="shared" si="1"/>
        <v>-42</v>
      </c>
      <c r="H11" s="234"/>
      <c r="I11" s="235">
        <f>+'2022 BUDGET'!G11</f>
        <v>41</v>
      </c>
      <c r="J11" s="236">
        <f t="shared" si="2"/>
        <v>-41</v>
      </c>
      <c r="K11" s="237">
        <f t="shared" si="3"/>
        <v>0</v>
      </c>
      <c r="L11" s="235">
        <f t="shared" si="3"/>
        <v>124</v>
      </c>
      <c r="M11" s="236">
        <f t="shared" si="4"/>
        <v>-124</v>
      </c>
      <c r="N11" s="237">
        <f>+K11+'TRIM 1'!N11</f>
        <v>121.91</v>
      </c>
      <c r="O11" s="235">
        <f>+L11+'TRIM 1'!O11</f>
        <v>249</v>
      </c>
      <c r="P11" s="236">
        <f>+M11+'TRIM 1'!P11</f>
        <v>-127.09</v>
      </c>
    </row>
    <row r="12" spans="1:16" ht="12.75">
      <c r="A12" s="233" t="str">
        <f>+'2022 BUDGET'!A12</f>
        <v>Telephone</v>
      </c>
      <c r="B12" s="234"/>
      <c r="C12" s="235">
        <f>+'2022 BUDGET'!E12</f>
        <v>0</v>
      </c>
      <c r="D12" s="236">
        <f t="shared" si="0"/>
        <v>0</v>
      </c>
      <c r="E12" s="234"/>
      <c r="F12" s="235">
        <f>+'2022 BUDGET'!F12</f>
        <v>0</v>
      </c>
      <c r="G12" s="236">
        <f t="shared" si="1"/>
        <v>0</v>
      </c>
      <c r="H12" s="234"/>
      <c r="I12" s="235">
        <f>+'2022 BUDGET'!G12</f>
        <v>0</v>
      </c>
      <c r="J12" s="236">
        <f t="shared" si="2"/>
        <v>0</v>
      </c>
      <c r="K12" s="237">
        <f t="shared" si="3"/>
        <v>0</v>
      </c>
      <c r="L12" s="235">
        <f t="shared" si="3"/>
        <v>0</v>
      </c>
      <c r="M12" s="236">
        <f t="shared" si="4"/>
        <v>0</v>
      </c>
      <c r="N12" s="237">
        <f>+K12+'TRIM 1'!N12</f>
        <v>0</v>
      </c>
      <c r="O12" s="235">
        <f>+L12+'TRIM 1'!O12</f>
        <v>0</v>
      </c>
      <c r="P12" s="236">
        <f>+M12+'TRIM 1'!P12</f>
        <v>0</v>
      </c>
    </row>
    <row r="13" spans="1:16" ht="12.75">
      <c r="A13" s="233" t="str">
        <f>+'2022 BUDGET'!A13</f>
        <v>Subscription</v>
      </c>
      <c r="B13" s="234"/>
      <c r="C13" s="235">
        <f>+'2022 BUDGET'!E13</f>
        <v>0</v>
      </c>
      <c r="D13" s="236">
        <f t="shared" si="0"/>
        <v>0</v>
      </c>
      <c r="E13" s="234"/>
      <c r="F13" s="235">
        <f>+'2022 BUDGET'!F13</f>
        <v>0</v>
      </c>
      <c r="G13" s="236">
        <f t="shared" si="1"/>
        <v>0</v>
      </c>
      <c r="H13" s="234"/>
      <c r="I13" s="235">
        <f>+'2022 BUDGET'!G13</f>
        <v>0</v>
      </c>
      <c r="J13" s="236">
        <f t="shared" si="2"/>
        <v>0</v>
      </c>
      <c r="K13" s="237">
        <f t="shared" si="3"/>
        <v>0</v>
      </c>
      <c r="L13" s="235">
        <f t="shared" si="3"/>
        <v>0</v>
      </c>
      <c r="M13" s="236">
        <f t="shared" si="4"/>
        <v>0</v>
      </c>
      <c r="N13" s="237">
        <f>+K13+'TRIM 1'!N13</f>
        <v>1350</v>
      </c>
      <c r="O13" s="235">
        <f>+L13+'TRIM 1'!O13</f>
        <v>0</v>
      </c>
      <c r="P13" s="236">
        <f>+M13+'TRIM 1'!P13</f>
        <v>1350</v>
      </c>
    </row>
    <row r="14" spans="1:16" ht="12.75">
      <c r="A14" s="233" t="str">
        <f>+'2022 BUDGET'!A14</f>
        <v>Appliances</v>
      </c>
      <c r="B14" s="234"/>
      <c r="C14" s="235">
        <f>+'2022 BUDGET'!E14</f>
        <v>0</v>
      </c>
      <c r="D14" s="236">
        <f t="shared" si="0"/>
        <v>0</v>
      </c>
      <c r="E14" s="234"/>
      <c r="F14" s="235">
        <f>+'2022 BUDGET'!F14</f>
        <v>0</v>
      </c>
      <c r="G14" s="236">
        <f t="shared" si="1"/>
        <v>0</v>
      </c>
      <c r="H14" s="234"/>
      <c r="I14" s="235">
        <f>+'2022 BUDGET'!G14</f>
        <v>0</v>
      </c>
      <c r="J14" s="236">
        <f t="shared" si="2"/>
        <v>0</v>
      </c>
      <c r="K14" s="237">
        <f t="shared" si="3"/>
        <v>0</v>
      </c>
      <c r="L14" s="235">
        <f t="shared" si="3"/>
        <v>0</v>
      </c>
      <c r="M14" s="236">
        <f t="shared" si="4"/>
        <v>0</v>
      </c>
      <c r="N14" s="237">
        <f>+K14+'TRIM 1'!N14</f>
        <v>0</v>
      </c>
      <c r="O14" s="235">
        <f>+L14+'TRIM 1'!O14</f>
        <v>0</v>
      </c>
      <c r="P14" s="236">
        <f>+M14+'TRIM 1'!P14</f>
        <v>0</v>
      </c>
    </row>
    <row r="15" spans="1:16" ht="12.75">
      <c r="A15" s="233" t="str">
        <f>+'2022 BUDGET'!A15</f>
        <v>Furnishings</v>
      </c>
      <c r="B15" s="234"/>
      <c r="C15" s="235">
        <f>+'2022 BUDGET'!E15</f>
        <v>0</v>
      </c>
      <c r="D15" s="236">
        <f t="shared" si="0"/>
        <v>0</v>
      </c>
      <c r="E15" s="234"/>
      <c r="F15" s="235">
        <f>+'2022 BUDGET'!F15</f>
        <v>0</v>
      </c>
      <c r="G15" s="236">
        <f t="shared" si="1"/>
        <v>0</v>
      </c>
      <c r="H15" s="234"/>
      <c r="I15" s="235">
        <f>+'2022 BUDGET'!G15</f>
        <v>0</v>
      </c>
      <c r="J15" s="236">
        <f t="shared" si="2"/>
        <v>0</v>
      </c>
      <c r="K15" s="237">
        <f t="shared" si="3"/>
        <v>0</v>
      </c>
      <c r="L15" s="235">
        <f t="shared" si="3"/>
        <v>0</v>
      </c>
      <c r="M15" s="236">
        <f t="shared" si="4"/>
        <v>0</v>
      </c>
      <c r="N15" s="237">
        <f>+K15+'TRIM 1'!N15</f>
        <v>0</v>
      </c>
      <c r="O15" s="235">
        <f>+L15+'TRIM 1'!O15</f>
        <v>0</v>
      </c>
      <c r="P15" s="236">
        <f>+M15+'TRIM 1'!P15</f>
        <v>0</v>
      </c>
    </row>
    <row r="16" spans="1:16" ht="12.75">
      <c r="A16" s="233" t="str">
        <f>+'2022 BUDGET'!A16</f>
        <v>Food</v>
      </c>
      <c r="B16" s="234"/>
      <c r="C16" s="235">
        <f>+'2022 BUDGET'!E16</f>
        <v>0</v>
      </c>
      <c r="D16" s="236">
        <f t="shared" si="0"/>
        <v>0</v>
      </c>
      <c r="E16" s="234"/>
      <c r="F16" s="235">
        <f>+'2022 BUDGET'!F16</f>
        <v>0</v>
      </c>
      <c r="G16" s="236">
        <f t="shared" si="1"/>
        <v>0</v>
      </c>
      <c r="H16" s="234"/>
      <c r="I16" s="235">
        <f>+'2022 BUDGET'!G16</f>
        <v>12.5</v>
      </c>
      <c r="J16" s="236">
        <f t="shared" si="2"/>
        <v>-12.5</v>
      </c>
      <c r="K16" s="237">
        <f t="shared" si="3"/>
        <v>0</v>
      </c>
      <c r="L16" s="235">
        <f t="shared" si="3"/>
        <v>12.5</v>
      </c>
      <c r="M16" s="236">
        <f t="shared" si="4"/>
        <v>-12.5</v>
      </c>
      <c r="N16" s="237">
        <f>+K16+'TRIM 1'!N16</f>
        <v>0</v>
      </c>
      <c r="O16" s="235">
        <f>+L16+'TRIM 1'!O16</f>
        <v>25</v>
      </c>
      <c r="P16" s="236">
        <f>+M16+'TRIM 1'!P16</f>
        <v>-25</v>
      </c>
    </row>
    <row r="17" spans="1:16" ht="12.75">
      <c r="A17" s="233" t="str">
        <f>+'2022 BUDGET'!A17</f>
        <v>Transportation/Travel</v>
      </c>
      <c r="B17" s="234"/>
      <c r="C17" s="235">
        <f>+'2022 BUDGET'!E17</f>
        <v>25</v>
      </c>
      <c r="D17" s="236">
        <f t="shared" si="0"/>
        <v>-25</v>
      </c>
      <c r="E17" s="234">
        <v>12.29</v>
      </c>
      <c r="F17" s="235">
        <f>+'2022 BUDGET'!F17</f>
        <v>25</v>
      </c>
      <c r="G17" s="236">
        <f t="shared" si="1"/>
        <v>-12.71</v>
      </c>
      <c r="H17" s="234"/>
      <c r="I17" s="235">
        <f>+'2022 BUDGET'!G17</f>
        <v>25</v>
      </c>
      <c r="J17" s="236">
        <f t="shared" si="2"/>
        <v>-25</v>
      </c>
      <c r="K17" s="237">
        <f t="shared" si="3"/>
        <v>12.29</v>
      </c>
      <c r="L17" s="235">
        <f t="shared" si="3"/>
        <v>75</v>
      </c>
      <c r="M17" s="236">
        <f t="shared" si="4"/>
        <v>-62.71</v>
      </c>
      <c r="N17" s="237">
        <f>+K17+'TRIM 1'!N17</f>
        <v>58.660000000000004</v>
      </c>
      <c r="O17" s="235">
        <f>+L17+'TRIM 1'!O17</f>
        <v>150</v>
      </c>
      <c r="P17" s="236">
        <f>+M17+'TRIM 1'!P17</f>
        <v>-91.34</v>
      </c>
    </row>
    <row r="18" spans="1:16" ht="12.75">
      <c r="A18" s="233" t="str">
        <f>+'2022 BUDGET'!A18</f>
        <v>Car Expenses</v>
      </c>
      <c r="B18" s="234"/>
      <c r="C18" s="235">
        <f>+'2022 BUDGET'!E18</f>
        <v>29</v>
      </c>
      <c r="D18" s="236">
        <f t="shared" si="0"/>
        <v>-29</v>
      </c>
      <c r="E18" s="234"/>
      <c r="F18" s="235">
        <f>+'2022 BUDGET'!F18</f>
        <v>29</v>
      </c>
      <c r="G18" s="236">
        <f t="shared" si="1"/>
        <v>-29</v>
      </c>
      <c r="H18" s="234"/>
      <c r="I18" s="235">
        <f>+'2022 BUDGET'!G18</f>
        <v>29</v>
      </c>
      <c r="J18" s="236">
        <f t="shared" si="2"/>
        <v>-29</v>
      </c>
      <c r="K18" s="237">
        <f t="shared" si="3"/>
        <v>0</v>
      </c>
      <c r="L18" s="235">
        <f t="shared" si="3"/>
        <v>87</v>
      </c>
      <c r="M18" s="236">
        <f t="shared" si="4"/>
        <v>-87</v>
      </c>
      <c r="N18" s="237">
        <f>+K18+'TRIM 1'!N18</f>
        <v>56.91</v>
      </c>
      <c r="O18" s="235">
        <f>+L18+'TRIM 1'!O18</f>
        <v>174</v>
      </c>
      <c r="P18" s="236">
        <f>+M18+'TRIM 1'!P18</f>
        <v>-117.09</v>
      </c>
    </row>
    <row r="19" spans="1:16" ht="12.75">
      <c r="A19" s="233" t="str">
        <f>+'2022 BUDGET'!A19</f>
        <v>Legal</v>
      </c>
      <c r="B19" s="234"/>
      <c r="C19" s="235">
        <f>+'2022 BUDGET'!E19</f>
        <v>0</v>
      </c>
      <c r="D19" s="236">
        <f t="shared" si="0"/>
        <v>0</v>
      </c>
      <c r="E19" s="234"/>
      <c r="F19" s="235">
        <f>+'2022 BUDGET'!F19</f>
        <v>0</v>
      </c>
      <c r="G19" s="236">
        <f t="shared" si="1"/>
        <v>0</v>
      </c>
      <c r="H19" s="234"/>
      <c r="I19" s="235">
        <f>+'2022 BUDGET'!G19</f>
        <v>0</v>
      </c>
      <c r="J19" s="236">
        <f t="shared" si="2"/>
        <v>0</v>
      </c>
      <c r="K19" s="237">
        <f t="shared" si="3"/>
        <v>0</v>
      </c>
      <c r="L19" s="235">
        <f t="shared" si="3"/>
        <v>0</v>
      </c>
      <c r="M19" s="236">
        <f t="shared" si="4"/>
        <v>0</v>
      </c>
      <c r="N19" s="237">
        <f>+K19+'TRIM 1'!N19</f>
        <v>0</v>
      </c>
      <c r="O19" s="235">
        <f>+L19+'TRIM 1'!O19</f>
        <v>0</v>
      </c>
      <c r="P19" s="236">
        <f>+M19+'TRIM 1'!P19</f>
        <v>0</v>
      </c>
    </row>
    <row r="20" spans="1:16" ht="12.75">
      <c r="A20" s="233" t="str">
        <f>+'2022 BUDGET'!A20</f>
        <v>Maintenance </v>
      </c>
      <c r="B20" s="234"/>
      <c r="C20" s="235">
        <f>+'2022 BUDGET'!E20</f>
        <v>20</v>
      </c>
      <c r="D20" s="236">
        <f t="shared" si="0"/>
        <v>-20</v>
      </c>
      <c r="E20" s="234"/>
      <c r="F20" s="235">
        <f>+'2022 BUDGET'!F20</f>
        <v>21</v>
      </c>
      <c r="G20" s="236">
        <f t="shared" si="1"/>
        <v>-21</v>
      </c>
      <c r="H20" s="234"/>
      <c r="I20" s="235">
        <f>+'2022 BUDGET'!G20</f>
        <v>20</v>
      </c>
      <c r="J20" s="236">
        <f t="shared" si="2"/>
        <v>-20</v>
      </c>
      <c r="K20" s="237">
        <f t="shared" si="3"/>
        <v>0</v>
      </c>
      <c r="L20" s="235">
        <f t="shared" si="3"/>
        <v>61</v>
      </c>
      <c r="M20" s="236">
        <f t="shared" si="4"/>
        <v>-61</v>
      </c>
      <c r="N20" s="237">
        <f>+K20+'TRIM 1'!N20</f>
        <v>0</v>
      </c>
      <c r="O20" s="235">
        <f>+L20+'TRIM 1'!O20</f>
        <v>123</v>
      </c>
      <c r="P20" s="236">
        <f>+M20+'TRIM 1'!P20</f>
        <v>-123</v>
      </c>
    </row>
    <row r="21" spans="1:16" ht="12.75">
      <c r="A21" s="233" t="str">
        <f>+'2022 BUDGET'!A21</f>
        <v>Minor Equipment</v>
      </c>
      <c r="B21" s="234"/>
      <c r="C21" s="235">
        <f>+'2022 BUDGET'!E21</f>
        <v>0</v>
      </c>
      <c r="D21" s="236">
        <f t="shared" si="0"/>
        <v>0</v>
      </c>
      <c r="E21" s="234"/>
      <c r="F21" s="235">
        <f>+'2022 BUDGET'!F21</f>
        <v>0</v>
      </c>
      <c r="G21" s="236">
        <f t="shared" si="1"/>
        <v>0</v>
      </c>
      <c r="H21" s="234"/>
      <c r="I21" s="235">
        <f>+'2022 BUDGET'!G21</f>
        <v>0</v>
      </c>
      <c r="J21" s="236">
        <f t="shared" si="2"/>
        <v>0</v>
      </c>
      <c r="K21" s="237">
        <f t="shared" si="3"/>
        <v>0</v>
      </c>
      <c r="L21" s="235">
        <f t="shared" si="3"/>
        <v>0</v>
      </c>
      <c r="M21" s="236">
        <f t="shared" si="4"/>
        <v>0</v>
      </c>
      <c r="N21" s="237">
        <f>+K21+'TRIM 1'!N21</f>
        <v>0</v>
      </c>
      <c r="O21" s="235">
        <f>+L21+'TRIM 1'!O21</f>
        <v>0</v>
      </c>
      <c r="P21" s="236">
        <f>+M21+'TRIM 1'!P21</f>
        <v>0</v>
      </c>
    </row>
    <row r="22" spans="1:16" ht="12.75">
      <c r="A22" s="233" t="str">
        <f>+'2022 BUDGET'!A22</f>
        <v>Properties  Taxes</v>
      </c>
      <c r="B22" s="234"/>
      <c r="C22" s="235">
        <f>+'2022 BUDGET'!E22</f>
        <v>0</v>
      </c>
      <c r="D22" s="236">
        <f t="shared" si="0"/>
        <v>0</v>
      </c>
      <c r="E22" s="234"/>
      <c r="F22" s="235">
        <f>+'2022 BUDGET'!F22</f>
        <v>0</v>
      </c>
      <c r="G22" s="236">
        <f t="shared" si="1"/>
        <v>0</v>
      </c>
      <c r="H22" s="234"/>
      <c r="I22" s="235">
        <f>+'2022 BUDGET'!G22</f>
        <v>0</v>
      </c>
      <c r="J22" s="236">
        <f t="shared" si="2"/>
        <v>0</v>
      </c>
      <c r="K22" s="237">
        <f t="shared" si="3"/>
        <v>0</v>
      </c>
      <c r="L22" s="235">
        <f t="shared" si="3"/>
        <v>0</v>
      </c>
      <c r="M22" s="236">
        <f t="shared" si="4"/>
        <v>0</v>
      </c>
      <c r="N22" s="237">
        <f>+K22+'TRIM 1'!N22</f>
        <v>0</v>
      </c>
      <c r="O22" s="235">
        <f>+L22+'TRIM 1'!O22</f>
        <v>0</v>
      </c>
      <c r="P22" s="236">
        <f>+M22+'TRIM 1'!P22</f>
        <v>0</v>
      </c>
    </row>
    <row r="23" spans="1:16" ht="12.75">
      <c r="A23" s="233" t="str">
        <f>+'2022 BUDGET'!A23</f>
        <v>Supplies </v>
      </c>
      <c r="B23" s="234"/>
      <c r="C23" s="235">
        <f>+'2022 BUDGET'!E23</f>
        <v>84</v>
      </c>
      <c r="D23" s="236">
        <f t="shared" si="0"/>
        <v>-84</v>
      </c>
      <c r="E23" s="234">
        <v>18.68</v>
      </c>
      <c r="F23" s="235">
        <f>+'2022 BUDGET'!F23</f>
        <v>83</v>
      </c>
      <c r="G23" s="236">
        <f t="shared" si="1"/>
        <v>-64.32</v>
      </c>
      <c r="H23" s="234">
        <v>49.08</v>
      </c>
      <c r="I23" s="235">
        <f>+'2022 BUDGET'!G23</f>
        <v>84</v>
      </c>
      <c r="J23" s="236">
        <f t="shared" si="2"/>
        <v>-34.92</v>
      </c>
      <c r="K23" s="237">
        <f t="shared" si="3"/>
        <v>67.75999999999999</v>
      </c>
      <c r="L23" s="235">
        <f t="shared" si="3"/>
        <v>251</v>
      </c>
      <c r="M23" s="236">
        <f t="shared" si="4"/>
        <v>-183.24</v>
      </c>
      <c r="N23" s="237">
        <f>+K23+'TRIM 1'!N23</f>
        <v>67.75999999999999</v>
      </c>
      <c r="O23" s="235">
        <f>+L23+'TRIM 1'!O23</f>
        <v>501</v>
      </c>
      <c r="P23" s="236">
        <f>+M23+'TRIM 1'!P23</f>
        <v>-433.24</v>
      </c>
    </row>
    <row r="24" spans="1:16" ht="12.75">
      <c r="A24" s="233" t="str">
        <f>+'2022 BUDGET'!A24</f>
        <v>Insurance</v>
      </c>
      <c r="B24" s="234"/>
      <c r="C24" s="235">
        <f>+'2022 BUDGET'!E24</f>
        <v>300</v>
      </c>
      <c r="D24" s="236">
        <f t="shared" si="0"/>
        <v>-300</v>
      </c>
      <c r="E24" s="234"/>
      <c r="F24" s="235">
        <f>+'2022 BUDGET'!F24</f>
        <v>0</v>
      </c>
      <c r="G24" s="236">
        <f t="shared" si="1"/>
        <v>0</v>
      </c>
      <c r="H24" s="234">
        <v>585.7</v>
      </c>
      <c r="I24" s="235">
        <f>+'2022 BUDGET'!G24</f>
        <v>0</v>
      </c>
      <c r="J24" s="236">
        <f t="shared" si="2"/>
        <v>585.7</v>
      </c>
      <c r="K24" s="237">
        <f t="shared" si="3"/>
        <v>585.7</v>
      </c>
      <c r="L24" s="235">
        <f t="shared" si="3"/>
        <v>300</v>
      </c>
      <c r="M24" s="236">
        <f t="shared" si="4"/>
        <v>285.70000000000005</v>
      </c>
      <c r="N24" s="237">
        <f>+K24+'TRIM 1'!N24</f>
        <v>605.95</v>
      </c>
      <c r="O24" s="235">
        <f>+L24+'TRIM 1'!O24</f>
        <v>600</v>
      </c>
      <c r="P24" s="236">
        <f>+M24+'TRIM 1'!P24</f>
        <v>5.9500000000000455</v>
      </c>
    </row>
    <row r="25" spans="1:16" ht="12.75">
      <c r="A25" s="233" t="str">
        <f>+'2022 BUDGET'!A25</f>
        <v>Fund raiser &amp; Advertising &amp; Events</v>
      </c>
      <c r="B25" s="234"/>
      <c r="C25" s="235">
        <f>+'2022 BUDGET'!E25</f>
        <v>0</v>
      </c>
      <c r="D25" s="236">
        <f t="shared" si="0"/>
        <v>0</v>
      </c>
      <c r="E25" s="234">
        <v>33.53</v>
      </c>
      <c r="F25" s="235">
        <f>+'2022 BUDGET'!F25</f>
        <v>0</v>
      </c>
      <c r="G25" s="236">
        <f t="shared" si="1"/>
        <v>33.53</v>
      </c>
      <c r="H25" s="234"/>
      <c r="I25" s="235">
        <f>+'2022 BUDGET'!G25</f>
        <v>0</v>
      </c>
      <c r="J25" s="236">
        <f t="shared" si="2"/>
        <v>0</v>
      </c>
      <c r="K25" s="237">
        <f t="shared" si="3"/>
        <v>33.53</v>
      </c>
      <c r="L25" s="235">
        <f t="shared" si="3"/>
        <v>0</v>
      </c>
      <c r="M25" s="236">
        <f t="shared" si="4"/>
        <v>33.53</v>
      </c>
      <c r="N25" s="237">
        <f>+K25+'TRIM 1'!N25</f>
        <v>33.53</v>
      </c>
      <c r="O25" s="235">
        <f>+L25+'TRIM 1'!O25</f>
        <v>0</v>
      </c>
      <c r="P25" s="236">
        <f>+M25+'TRIM 1'!P25</f>
        <v>33.53</v>
      </c>
    </row>
    <row r="26" spans="1:16" ht="12.75">
      <c r="A26" s="233" t="str">
        <f>+'2022 BUDGET'!A26</f>
        <v>Postage &amp; freight</v>
      </c>
      <c r="B26" s="234"/>
      <c r="C26" s="235">
        <f>+'2022 BUDGET'!E26</f>
        <v>0</v>
      </c>
      <c r="D26" s="236">
        <f>+B26-C26</f>
        <v>0</v>
      </c>
      <c r="E26" s="234"/>
      <c r="F26" s="235">
        <f>+'2022 BUDGET'!F26</f>
        <v>0</v>
      </c>
      <c r="G26" s="236">
        <f t="shared" si="1"/>
        <v>0</v>
      </c>
      <c r="H26" s="234"/>
      <c r="I26" s="235">
        <f>+'2022 BUDGET'!G26</f>
        <v>0</v>
      </c>
      <c r="J26" s="236">
        <f t="shared" si="2"/>
        <v>0</v>
      </c>
      <c r="K26" s="237">
        <f aca="true" t="shared" si="5" ref="K26:L40">+B26+E26+H26</f>
        <v>0</v>
      </c>
      <c r="L26" s="235">
        <f t="shared" si="5"/>
        <v>0</v>
      </c>
      <c r="M26" s="236">
        <f t="shared" si="4"/>
        <v>0</v>
      </c>
      <c r="N26" s="237">
        <f>+K26+'TRIM 1'!N26</f>
        <v>0</v>
      </c>
      <c r="O26" s="235">
        <f>+L26+'TRIM 1'!O26</f>
        <v>0</v>
      </c>
      <c r="P26" s="236">
        <f>+M26+'TRIM 1'!P26</f>
        <v>0</v>
      </c>
    </row>
    <row r="27" spans="1:16" ht="12.75">
      <c r="A27" s="233" t="str">
        <f>+'2022 BUDGET'!A27</f>
        <v>Meeting &amp; seminars</v>
      </c>
      <c r="B27" s="234"/>
      <c r="C27" s="235">
        <f>+'2022 BUDGET'!E27</f>
        <v>9</v>
      </c>
      <c r="D27" s="236">
        <f>+B27-C27</f>
        <v>-9</v>
      </c>
      <c r="E27" s="234"/>
      <c r="F27" s="235">
        <f>+'2022 BUDGET'!F27</f>
        <v>8</v>
      </c>
      <c r="G27" s="236">
        <f>+E27-F27</f>
        <v>-8</v>
      </c>
      <c r="H27" s="234"/>
      <c r="I27" s="235">
        <f>+'2022 BUDGET'!G27</f>
        <v>9</v>
      </c>
      <c r="J27" s="236">
        <f t="shared" si="2"/>
        <v>-9</v>
      </c>
      <c r="K27" s="237">
        <f t="shared" si="5"/>
        <v>0</v>
      </c>
      <c r="L27" s="235">
        <f t="shared" si="5"/>
        <v>26</v>
      </c>
      <c r="M27" s="236">
        <f t="shared" si="4"/>
        <v>-26</v>
      </c>
      <c r="N27" s="237">
        <f>+K27+'TRIM 1'!N27</f>
        <v>0</v>
      </c>
      <c r="O27" s="235">
        <f>+L27+'TRIM 1'!O27</f>
        <v>51</v>
      </c>
      <c r="P27" s="236">
        <f>+M27+'TRIM 1'!P27</f>
        <v>-51</v>
      </c>
    </row>
    <row r="28" spans="1:16" ht="12.75">
      <c r="A28" s="233" t="str">
        <f>+'2022 BUDGET'!A28</f>
        <v>Contributions to people served</v>
      </c>
      <c r="B28" s="234"/>
      <c r="C28" s="235">
        <f>+'2022 BUDGET'!E28</f>
        <v>0</v>
      </c>
      <c r="D28" s="236">
        <f t="shared" si="0"/>
        <v>0</v>
      </c>
      <c r="E28" s="234"/>
      <c r="F28" s="235">
        <f>+'2022 BUDGET'!F28</f>
        <v>0</v>
      </c>
      <c r="G28" s="236">
        <f t="shared" si="1"/>
        <v>0</v>
      </c>
      <c r="H28" s="234"/>
      <c r="I28" s="235">
        <f>+'2022 BUDGET'!G28</f>
        <v>0</v>
      </c>
      <c r="J28" s="236">
        <f t="shared" si="2"/>
        <v>0</v>
      </c>
      <c r="K28" s="237">
        <f t="shared" si="5"/>
        <v>0</v>
      </c>
      <c r="L28" s="235">
        <f t="shared" si="5"/>
        <v>0</v>
      </c>
      <c r="M28" s="236">
        <f t="shared" si="4"/>
        <v>0</v>
      </c>
      <c r="N28" s="237">
        <f>+K28+'TRIM 1'!N28</f>
        <v>0</v>
      </c>
      <c r="O28" s="235">
        <f>+L28+'TRIM 1'!O28</f>
        <v>0</v>
      </c>
      <c r="P28" s="236">
        <f>+M28+'TRIM 1'!P28</f>
        <v>0</v>
      </c>
    </row>
    <row r="29" spans="1:16" ht="12.75">
      <c r="A29" s="233" t="str">
        <f>+'2022 BUDGET'!A29</f>
        <v>Depreciation</v>
      </c>
      <c r="B29" s="234">
        <v>420.82</v>
      </c>
      <c r="C29" s="235">
        <f>+'2022 BUDGET'!E29</f>
        <v>42</v>
      </c>
      <c r="D29" s="236">
        <f t="shared" si="0"/>
        <v>378.82</v>
      </c>
      <c r="E29" s="234">
        <v>420.82</v>
      </c>
      <c r="F29" s="235">
        <f>+'2022 BUDGET'!F29</f>
        <v>43</v>
      </c>
      <c r="G29" s="236">
        <f t="shared" si="1"/>
        <v>377.82</v>
      </c>
      <c r="H29" s="234">
        <v>420.82</v>
      </c>
      <c r="I29" s="235">
        <f>+'2022 BUDGET'!G29</f>
        <v>42</v>
      </c>
      <c r="J29" s="236">
        <f t="shared" si="2"/>
        <v>378.82</v>
      </c>
      <c r="K29" s="237">
        <f t="shared" si="5"/>
        <v>1262.46</v>
      </c>
      <c r="L29" s="235">
        <f t="shared" si="5"/>
        <v>127</v>
      </c>
      <c r="M29" s="236">
        <f t="shared" si="4"/>
        <v>1135.46</v>
      </c>
      <c r="N29" s="237">
        <f>+K29+'TRIM 1'!N29</f>
        <v>2524.92</v>
      </c>
      <c r="O29" s="235">
        <f>+L29+'TRIM 1'!O29</f>
        <v>255</v>
      </c>
      <c r="P29" s="236">
        <f>+M29+'TRIM 1'!P29</f>
        <v>2269.92</v>
      </c>
    </row>
    <row r="30" spans="1:16" ht="12.75">
      <c r="A30" s="233" t="str">
        <f>+'2022 BUDGET'!A30</f>
        <v>Computer Costs</v>
      </c>
      <c r="B30" s="234"/>
      <c r="C30" s="235">
        <f>+'2022 BUDGET'!E30</f>
        <v>84</v>
      </c>
      <c r="D30" s="236">
        <f t="shared" si="0"/>
        <v>-84</v>
      </c>
      <c r="E30" s="234">
        <v>1082</v>
      </c>
      <c r="F30" s="235">
        <f>+'2022 BUDGET'!F30</f>
        <v>83</v>
      </c>
      <c r="G30" s="236">
        <f t="shared" si="1"/>
        <v>999</v>
      </c>
      <c r="H30" s="234">
        <v>60</v>
      </c>
      <c r="I30" s="235">
        <f>+'2022 BUDGET'!G30</f>
        <v>84</v>
      </c>
      <c r="J30" s="236">
        <f t="shared" si="2"/>
        <v>-24</v>
      </c>
      <c r="K30" s="237">
        <f t="shared" si="5"/>
        <v>1142</v>
      </c>
      <c r="L30" s="235">
        <f t="shared" si="5"/>
        <v>251</v>
      </c>
      <c r="M30" s="236">
        <f t="shared" si="4"/>
        <v>891</v>
      </c>
      <c r="N30" s="237">
        <f>+K30+'TRIM 1'!N30</f>
        <v>1142</v>
      </c>
      <c r="O30" s="235">
        <f>+L30+'TRIM 1'!O30</f>
        <v>501</v>
      </c>
      <c r="P30" s="236">
        <f>+M30+'TRIM 1'!P30</f>
        <v>641</v>
      </c>
    </row>
    <row r="31" spans="1:16" ht="12.75">
      <c r="A31" s="233" t="str">
        <f>+'2022 BUDGET'!A31</f>
        <v>Brochure &amp; Printing</v>
      </c>
      <c r="B31" s="234"/>
      <c r="C31" s="235">
        <f>+'2022 BUDGET'!E31</f>
        <v>17</v>
      </c>
      <c r="D31" s="236">
        <f t="shared" si="0"/>
        <v>-17</v>
      </c>
      <c r="E31" s="234"/>
      <c r="F31" s="235">
        <f>+'2022 BUDGET'!F31</f>
        <v>16</v>
      </c>
      <c r="G31" s="236">
        <f t="shared" si="1"/>
        <v>-16</v>
      </c>
      <c r="H31" s="234"/>
      <c r="I31" s="235">
        <f>+'2022 BUDGET'!G31</f>
        <v>17</v>
      </c>
      <c r="J31" s="236">
        <f t="shared" si="2"/>
        <v>-17</v>
      </c>
      <c r="K31" s="237">
        <f t="shared" si="5"/>
        <v>0</v>
      </c>
      <c r="L31" s="235">
        <f t="shared" si="5"/>
        <v>50</v>
      </c>
      <c r="M31" s="236">
        <f t="shared" si="4"/>
        <v>-50</v>
      </c>
      <c r="N31" s="237">
        <f>+K31+'TRIM 1'!N31</f>
        <v>0</v>
      </c>
      <c r="O31" s="235">
        <f>+L31+'TRIM 1'!O31</f>
        <v>99</v>
      </c>
      <c r="P31" s="236">
        <f>+M31+'TRIM 1'!P31</f>
        <v>-99</v>
      </c>
    </row>
    <row r="32" spans="1:16" ht="12.75">
      <c r="A32" s="233" t="str">
        <f>+'2022 BUDGET'!A32</f>
        <v>Due To/From Other Ministries</v>
      </c>
      <c r="B32" s="234">
        <v>-619.31</v>
      </c>
      <c r="C32" s="235">
        <f>+'2022 BUDGET'!E32</f>
        <v>0</v>
      </c>
      <c r="D32" s="236">
        <f t="shared" si="0"/>
        <v>-619.31</v>
      </c>
      <c r="E32" s="234">
        <v>-1204.35</v>
      </c>
      <c r="F32" s="235">
        <f>+'2022 BUDGET'!F32</f>
        <v>0</v>
      </c>
      <c r="G32" s="236">
        <f t="shared" si="1"/>
        <v>-1204.35</v>
      </c>
      <c r="H32" s="234">
        <f>75.56-713.25</f>
        <v>-637.69</v>
      </c>
      <c r="I32" s="235">
        <f>+'2022 BUDGET'!G32</f>
        <v>0</v>
      </c>
      <c r="J32" s="236">
        <f t="shared" si="2"/>
        <v>-637.69</v>
      </c>
      <c r="K32" s="237">
        <f t="shared" si="5"/>
        <v>-2461.35</v>
      </c>
      <c r="L32" s="235">
        <f t="shared" si="5"/>
        <v>0</v>
      </c>
      <c r="M32" s="236">
        <f t="shared" si="4"/>
        <v>-2461.35</v>
      </c>
      <c r="N32" s="237">
        <f>+K32+'TRIM 1'!N32</f>
        <v>-4947.07</v>
      </c>
      <c r="O32" s="235">
        <f>+L32+'TRIM 1'!O32</f>
        <v>0</v>
      </c>
      <c r="P32" s="236">
        <f>+M32+'TRIM 1'!P32</f>
        <v>-4947.07</v>
      </c>
    </row>
    <row r="33" spans="1:16" ht="12.75">
      <c r="A33" s="233" t="str">
        <f>+'2022 BUDGET'!A33</f>
        <v>Bureau of Workers Compensation</v>
      </c>
      <c r="B33" s="234"/>
      <c r="C33" s="235">
        <f>+'2022 BUDGET'!E33</f>
        <v>0</v>
      </c>
      <c r="D33" s="236">
        <f t="shared" si="0"/>
        <v>0</v>
      </c>
      <c r="E33" s="234"/>
      <c r="F33" s="235">
        <f>+'2022 BUDGET'!F33</f>
        <v>0</v>
      </c>
      <c r="G33" s="236">
        <f t="shared" si="1"/>
        <v>0</v>
      </c>
      <c r="H33" s="234"/>
      <c r="I33" s="235">
        <f>+'2022 BUDGET'!G33</f>
        <v>0</v>
      </c>
      <c r="J33" s="236">
        <f t="shared" si="2"/>
        <v>0</v>
      </c>
      <c r="K33" s="237">
        <f t="shared" si="5"/>
        <v>0</v>
      </c>
      <c r="L33" s="235">
        <f t="shared" si="5"/>
        <v>0</v>
      </c>
      <c r="M33" s="236">
        <f t="shared" si="4"/>
        <v>0</v>
      </c>
      <c r="N33" s="237">
        <f>+K33+'TRIM 1'!N33</f>
        <v>0</v>
      </c>
      <c r="O33" s="235">
        <f>+L33+'TRIM 1'!O33</f>
        <v>0</v>
      </c>
      <c r="P33" s="236">
        <f>+M33+'TRIM 1'!P33</f>
        <v>0</v>
      </c>
    </row>
    <row r="34" spans="1:16" ht="12.75">
      <c r="A34" s="233">
        <f>+'2022 BUDGET'!A34</f>
        <v>0</v>
      </c>
      <c r="B34" s="234"/>
      <c r="C34" s="235">
        <f>+'2022 BUDGET'!E34</f>
        <v>0</v>
      </c>
      <c r="D34" s="236">
        <f t="shared" si="0"/>
        <v>0</v>
      </c>
      <c r="E34" s="234">
        <v>151.5</v>
      </c>
      <c r="F34" s="235">
        <f>+'2022 BUDGET'!F34</f>
        <v>0</v>
      </c>
      <c r="G34" s="236">
        <f t="shared" si="1"/>
        <v>151.5</v>
      </c>
      <c r="H34" s="234">
        <v>20</v>
      </c>
      <c r="I34" s="235">
        <f>+'2022 BUDGET'!G34</f>
        <v>0</v>
      </c>
      <c r="J34" s="236">
        <f t="shared" si="2"/>
        <v>20</v>
      </c>
      <c r="K34" s="237">
        <f t="shared" si="5"/>
        <v>171.5</v>
      </c>
      <c r="L34" s="235">
        <f t="shared" si="5"/>
        <v>0</v>
      </c>
      <c r="M34" s="236">
        <f t="shared" si="4"/>
        <v>171.5</v>
      </c>
      <c r="N34" s="237">
        <f>+K34+'TRIM 1'!N34</f>
        <v>171.5</v>
      </c>
      <c r="O34" s="235">
        <f>+L34+'TRIM 1'!O34</f>
        <v>0</v>
      </c>
      <c r="P34" s="236">
        <f>+M34+'TRIM 1'!P34</f>
        <v>171.5</v>
      </c>
    </row>
    <row r="35" spans="1:16" ht="12.75">
      <c r="A35" s="233">
        <f>+'2022 BUDGET'!A35</f>
        <v>0</v>
      </c>
      <c r="B35" s="234"/>
      <c r="C35" s="235">
        <f>+'2022 BUDGET'!E35</f>
        <v>0</v>
      </c>
      <c r="D35" s="236">
        <f t="shared" si="0"/>
        <v>0</v>
      </c>
      <c r="E35" s="234"/>
      <c r="F35" s="235">
        <f>+'2022 BUDGET'!F35</f>
        <v>0</v>
      </c>
      <c r="G35" s="236">
        <f t="shared" si="1"/>
        <v>0</v>
      </c>
      <c r="H35" s="234"/>
      <c r="I35" s="235">
        <f>+'2022 BUDGET'!G35</f>
        <v>0</v>
      </c>
      <c r="J35" s="236">
        <f t="shared" si="2"/>
        <v>0</v>
      </c>
      <c r="K35" s="237">
        <f t="shared" si="5"/>
        <v>0</v>
      </c>
      <c r="L35" s="235">
        <f t="shared" si="5"/>
        <v>0</v>
      </c>
      <c r="M35" s="236">
        <f t="shared" si="4"/>
        <v>0</v>
      </c>
      <c r="N35" s="237">
        <f>+K35+'TRIM 1'!N35</f>
        <v>0</v>
      </c>
      <c r="O35" s="235">
        <f>+L35+'TRIM 1'!O35</f>
        <v>0</v>
      </c>
      <c r="P35" s="236">
        <f>+M35+'TRIM 1'!P35</f>
        <v>0</v>
      </c>
    </row>
    <row r="36" spans="1:16" ht="12.75">
      <c r="A36" s="233">
        <f>+'2022 BUDGET'!A36</f>
        <v>0</v>
      </c>
      <c r="B36" s="234"/>
      <c r="C36" s="235">
        <f>+'2022 BUDGET'!E36</f>
        <v>0</v>
      </c>
      <c r="D36" s="236">
        <f t="shared" si="0"/>
        <v>0</v>
      </c>
      <c r="E36" s="234"/>
      <c r="F36" s="235">
        <f>+'2022 BUDGET'!F36</f>
        <v>0</v>
      </c>
      <c r="G36" s="236">
        <f t="shared" si="1"/>
        <v>0</v>
      </c>
      <c r="H36" s="234"/>
      <c r="I36" s="235">
        <f>+'2022 BUDGET'!G36</f>
        <v>0</v>
      </c>
      <c r="J36" s="236">
        <f t="shared" si="2"/>
        <v>0</v>
      </c>
      <c r="K36" s="237">
        <f t="shared" si="5"/>
        <v>0</v>
      </c>
      <c r="L36" s="235">
        <f t="shared" si="5"/>
        <v>0</v>
      </c>
      <c r="M36" s="236">
        <f t="shared" si="4"/>
        <v>0</v>
      </c>
      <c r="N36" s="237">
        <f>+K36+'TRIM 1'!N36</f>
        <v>0</v>
      </c>
      <c r="O36" s="235">
        <f>+L36+'TRIM 1'!O36</f>
        <v>0</v>
      </c>
      <c r="P36" s="236">
        <f>+M36+'TRIM 1'!P36</f>
        <v>0</v>
      </c>
    </row>
    <row r="37" spans="1:16" ht="12.75">
      <c r="A37" s="233">
        <f>+'2022 BUDGET'!A37</f>
        <v>0</v>
      </c>
      <c r="B37" s="234"/>
      <c r="C37" s="235">
        <f>+'2022 BUDGET'!E37</f>
        <v>0</v>
      </c>
      <c r="D37" s="236">
        <f t="shared" si="0"/>
        <v>0</v>
      </c>
      <c r="E37" s="234"/>
      <c r="F37" s="235">
        <f>+'2022 BUDGET'!F37</f>
        <v>0</v>
      </c>
      <c r="G37" s="236">
        <f t="shared" si="1"/>
        <v>0</v>
      </c>
      <c r="H37" s="234"/>
      <c r="I37" s="235">
        <f>+'2022 BUDGET'!G37</f>
        <v>0</v>
      </c>
      <c r="J37" s="236">
        <f t="shared" si="2"/>
        <v>0</v>
      </c>
      <c r="K37" s="237">
        <f t="shared" si="5"/>
        <v>0</v>
      </c>
      <c r="L37" s="235">
        <f t="shared" si="5"/>
        <v>0</v>
      </c>
      <c r="M37" s="236">
        <f t="shared" si="4"/>
        <v>0</v>
      </c>
      <c r="N37" s="237">
        <f>+K37+'TRIM 1'!N37</f>
        <v>0</v>
      </c>
      <c r="O37" s="235">
        <f>+L37+'TRIM 1'!O37</f>
        <v>0</v>
      </c>
      <c r="P37" s="236">
        <f>+M37+'TRIM 1'!P37</f>
        <v>0</v>
      </c>
    </row>
    <row r="38" spans="1:16" ht="12.75">
      <c r="A38" s="233">
        <f>+'2022 BUDGET'!A38</f>
        <v>0</v>
      </c>
      <c r="B38" s="234"/>
      <c r="C38" s="235">
        <f>+'2022 BUDGET'!E38</f>
        <v>0</v>
      </c>
      <c r="D38" s="236">
        <f t="shared" si="0"/>
        <v>0</v>
      </c>
      <c r="E38" s="234"/>
      <c r="F38" s="235">
        <f>+'2022 BUDGET'!F38</f>
        <v>0</v>
      </c>
      <c r="G38" s="236">
        <f t="shared" si="1"/>
        <v>0</v>
      </c>
      <c r="H38" s="234"/>
      <c r="I38" s="235">
        <f>+'2022 BUDGET'!G38</f>
        <v>0</v>
      </c>
      <c r="J38" s="236">
        <f t="shared" si="2"/>
        <v>0</v>
      </c>
      <c r="K38" s="237">
        <f t="shared" si="5"/>
        <v>0</v>
      </c>
      <c r="L38" s="235">
        <f t="shared" si="5"/>
        <v>0</v>
      </c>
      <c r="M38" s="236">
        <f t="shared" si="4"/>
        <v>0</v>
      </c>
      <c r="N38" s="237">
        <f>+K38+'TRIM 1'!N38</f>
        <v>0</v>
      </c>
      <c r="O38" s="235">
        <f>+L38+'TRIM 1'!O38</f>
        <v>0</v>
      </c>
      <c r="P38" s="236">
        <f>+M38+'TRIM 1'!P38</f>
        <v>0</v>
      </c>
    </row>
    <row r="39" spans="1:16" ht="12.75">
      <c r="A39" s="233">
        <f>+'2022 BUDGET'!A39</f>
        <v>0</v>
      </c>
      <c r="B39" s="234"/>
      <c r="C39" s="235">
        <f>+'2022 BUDGET'!E39</f>
        <v>0</v>
      </c>
      <c r="D39" s="236">
        <f t="shared" si="0"/>
        <v>0</v>
      </c>
      <c r="E39" s="234"/>
      <c r="F39" s="235">
        <f>+'2022 BUDGET'!F39</f>
        <v>0</v>
      </c>
      <c r="G39" s="236">
        <f t="shared" si="1"/>
        <v>0</v>
      </c>
      <c r="H39" s="234"/>
      <c r="I39" s="235">
        <f>+'2022 BUDGET'!G39</f>
        <v>0</v>
      </c>
      <c r="J39" s="236">
        <f t="shared" si="2"/>
        <v>0</v>
      </c>
      <c r="K39" s="237">
        <f t="shared" si="5"/>
        <v>0</v>
      </c>
      <c r="L39" s="235">
        <f t="shared" si="5"/>
        <v>0</v>
      </c>
      <c r="M39" s="236">
        <f t="shared" si="4"/>
        <v>0</v>
      </c>
      <c r="N39" s="237">
        <f>+K39+'TRIM 1'!N39</f>
        <v>0</v>
      </c>
      <c r="O39" s="235">
        <f>+L39+'TRIM 1'!O39</f>
        <v>0</v>
      </c>
      <c r="P39" s="236">
        <f>+M39+'TRIM 1'!P39</f>
        <v>0</v>
      </c>
    </row>
    <row r="40" spans="1:16" ht="12.75">
      <c r="A40" s="233">
        <f>+'2022 BUDGET'!A40</f>
        <v>0</v>
      </c>
      <c r="B40" s="234"/>
      <c r="C40" s="235">
        <f>+'2022 BUDGET'!E40</f>
        <v>0</v>
      </c>
      <c r="D40" s="236">
        <f t="shared" si="0"/>
        <v>0</v>
      </c>
      <c r="E40" s="234"/>
      <c r="F40" s="235">
        <f>+'2022 BUDGET'!F40</f>
        <v>0</v>
      </c>
      <c r="G40" s="236">
        <f t="shared" si="1"/>
        <v>0</v>
      </c>
      <c r="H40" s="234"/>
      <c r="I40" s="235">
        <f>+'2022 BUDGET'!G40</f>
        <v>0</v>
      </c>
      <c r="J40" s="236">
        <f t="shared" si="2"/>
        <v>0</v>
      </c>
      <c r="K40" s="237">
        <f t="shared" si="5"/>
        <v>0</v>
      </c>
      <c r="L40" s="235">
        <f t="shared" si="5"/>
        <v>0</v>
      </c>
      <c r="M40" s="236">
        <f t="shared" si="4"/>
        <v>0</v>
      </c>
      <c r="N40" s="237">
        <f>+K40+'TRIM 1'!N40</f>
        <v>0</v>
      </c>
      <c r="O40" s="235">
        <f>+L40+'TRIM 1'!O40</f>
        <v>0</v>
      </c>
      <c r="P40" s="236">
        <f>+M40+'TRIM 1'!P40</f>
        <v>0</v>
      </c>
    </row>
    <row r="41" spans="1:16" ht="12.75">
      <c r="A41" s="233">
        <f>+'2022 BUDGET'!A41</f>
        <v>0</v>
      </c>
      <c r="B41" s="234"/>
      <c r="C41" s="235">
        <f>+'2022 BUDGET'!E41</f>
        <v>0</v>
      </c>
      <c r="D41" s="236">
        <f>+B41-C41</f>
        <v>0</v>
      </c>
      <c r="E41" s="234"/>
      <c r="F41" s="235">
        <f>+'2022 BUDGET'!F41</f>
        <v>0</v>
      </c>
      <c r="G41" s="236">
        <f>+E41-F41</f>
        <v>0</v>
      </c>
      <c r="H41" s="234"/>
      <c r="I41" s="235">
        <f>+'2022 BUDGET'!G41</f>
        <v>0</v>
      </c>
      <c r="J41" s="236">
        <f>+H41-I41</f>
        <v>0</v>
      </c>
      <c r="K41" s="237">
        <f>+B41+E41+H41</f>
        <v>0</v>
      </c>
      <c r="L41" s="235">
        <f>+C41+F41+I41</f>
        <v>0</v>
      </c>
      <c r="M41" s="236">
        <f>D41+G41+J41</f>
        <v>0</v>
      </c>
      <c r="N41" s="237">
        <f>+K41+'TRIM 1'!N41</f>
        <v>0</v>
      </c>
      <c r="O41" s="235">
        <f>+L41+'TRIM 1'!O41</f>
        <v>0</v>
      </c>
      <c r="P41" s="236">
        <f>+M41+'TRIM 1'!P41</f>
        <v>0</v>
      </c>
    </row>
    <row r="42" spans="1:16" ht="12.75" customHeight="1">
      <c r="A42" s="239" t="s">
        <v>180</v>
      </c>
      <c r="B42" s="240">
        <f>SUM(B9:B41)</f>
        <v>-198.48999999999995</v>
      </c>
      <c r="C42" s="240">
        <f aca="true" t="shared" si="6" ref="C42:M42">SUM(C9:C41)</f>
        <v>651</v>
      </c>
      <c r="D42" s="240">
        <f t="shared" si="6"/>
        <v>-849.49</v>
      </c>
      <c r="E42" s="240">
        <f t="shared" si="6"/>
        <v>514.47</v>
      </c>
      <c r="F42" s="240">
        <f t="shared" si="6"/>
        <v>350</v>
      </c>
      <c r="G42" s="240">
        <f t="shared" si="6"/>
        <v>164.47000000000003</v>
      </c>
      <c r="H42" s="240">
        <f t="shared" si="6"/>
        <v>497.9100000000001</v>
      </c>
      <c r="I42" s="240">
        <f t="shared" si="6"/>
        <v>363.5</v>
      </c>
      <c r="J42" s="240">
        <f t="shared" si="6"/>
        <v>134.40999999999997</v>
      </c>
      <c r="K42" s="240">
        <f t="shared" si="6"/>
        <v>813.8899999999999</v>
      </c>
      <c r="L42" s="240">
        <f t="shared" si="6"/>
        <v>1364.5</v>
      </c>
      <c r="M42" s="240">
        <f t="shared" si="6"/>
        <v>-550.6099999999999</v>
      </c>
      <c r="N42" s="240">
        <f>SUM(N9:N41)</f>
        <v>1186.0700000000015</v>
      </c>
      <c r="O42" s="240">
        <f>SUM(O9:O41)</f>
        <v>2728</v>
      </c>
      <c r="P42" s="240">
        <f>SUM(P9:P41)</f>
        <v>-1541.9299999999994</v>
      </c>
    </row>
    <row r="43" spans="1:16" ht="12.75" customHeight="1">
      <c r="A43" s="241"/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</row>
    <row r="44" spans="1:16" ht="12.75">
      <c r="A44" s="243"/>
      <c r="B44" s="244"/>
      <c r="C44" s="245"/>
      <c r="D44" s="246"/>
      <c r="E44" s="247"/>
      <c r="F44" s="248"/>
      <c r="G44" s="249"/>
      <c r="H44" s="247"/>
      <c r="I44" s="248"/>
      <c r="J44" s="249"/>
      <c r="K44" s="250"/>
      <c r="L44" s="248"/>
      <c r="M44" s="249"/>
      <c r="N44" s="250"/>
      <c r="O44" s="248"/>
      <c r="P44" s="251"/>
    </row>
    <row r="45" spans="1:16" ht="12.75">
      <c r="A45" s="252" t="str">
        <f>'2022 BUDGET'!A45</f>
        <v>Staff expenses</v>
      </c>
      <c r="B45" s="244"/>
      <c r="C45" s="245"/>
      <c r="D45" s="246"/>
      <c r="E45" s="247"/>
      <c r="F45" s="248"/>
      <c r="G45" s="249"/>
      <c r="H45" s="247"/>
      <c r="I45" s="248"/>
      <c r="J45" s="249"/>
      <c r="K45" s="250"/>
      <c r="L45" s="248"/>
      <c r="M45" s="249"/>
      <c r="N45" s="250"/>
      <c r="O45" s="248"/>
      <c r="P45" s="251"/>
    </row>
    <row r="46" spans="1:16" ht="12.75">
      <c r="A46" s="253"/>
      <c r="B46" s="227" t="str">
        <f>+B8</f>
        <v>ACTUALS</v>
      </c>
      <c r="C46" s="228" t="str">
        <f>+C8</f>
        <v>BUDGET</v>
      </c>
      <c r="D46" s="229" t="str">
        <f>+D8</f>
        <v>DIFF.</v>
      </c>
      <c r="E46" s="234" t="str">
        <f>E8</f>
        <v>ACTUALS</v>
      </c>
      <c r="F46" s="254" t="str">
        <f aca="true" t="shared" si="7" ref="F46:P46">+F8</f>
        <v>BUDGET</v>
      </c>
      <c r="G46" s="255" t="str">
        <f t="shared" si="7"/>
        <v>DIFF.</v>
      </c>
      <c r="H46" s="256" t="str">
        <f t="shared" si="7"/>
        <v>ACTUALS</v>
      </c>
      <c r="I46" s="254" t="str">
        <f t="shared" si="7"/>
        <v>BUDGET</v>
      </c>
      <c r="J46" s="255" t="str">
        <f t="shared" si="7"/>
        <v>DIFF.</v>
      </c>
      <c r="K46" s="257" t="str">
        <f t="shared" si="7"/>
        <v>ACTUALS</v>
      </c>
      <c r="L46" s="254" t="str">
        <f t="shared" si="7"/>
        <v>BUDGET</v>
      </c>
      <c r="M46" s="255" t="str">
        <f t="shared" si="7"/>
        <v>DIFF.</v>
      </c>
      <c r="N46" s="257" t="str">
        <f t="shared" si="7"/>
        <v>ACTUALS</v>
      </c>
      <c r="O46" s="254" t="str">
        <f t="shared" si="7"/>
        <v>BUDGET</v>
      </c>
      <c r="P46" s="258" t="str">
        <f t="shared" si="7"/>
        <v>DIFF.</v>
      </c>
    </row>
    <row r="47" spans="1:16" ht="12.75">
      <c r="A47" s="259" t="str">
        <f>+'2022 BUDGET'!A47</f>
        <v>Salaries</v>
      </c>
      <c r="B47" s="234">
        <v>490.24</v>
      </c>
      <c r="C47" s="235">
        <f>+'2022 BUDGET'!E47</f>
        <v>3165.63</v>
      </c>
      <c r="D47" s="236">
        <f>+B47-C47</f>
        <v>-2675.3900000000003</v>
      </c>
      <c r="E47" s="234">
        <v>755.74</v>
      </c>
      <c r="F47" s="235">
        <f>+'2022 BUDGET'!F47</f>
        <v>3165.63</v>
      </c>
      <c r="G47" s="236">
        <f>+E47-F47</f>
        <v>-2409.8900000000003</v>
      </c>
      <c r="H47" s="234">
        <v>450.24</v>
      </c>
      <c r="I47" s="235">
        <f>+'2022 BUDGET'!G47</f>
        <v>3165.63</v>
      </c>
      <c r="J47" s="236">
        <f>+H47-I47</f>
        <v>-2715.3900000000003</v>
      </c>
      <c r="K47" s="237">
        <f>+B47+E47+H47</f>
        <v>1696.22</v>
      </c>
      <c r="L47" s="235">
        <f>+C47+F47+I47</f>
        <v>9496.89</v>
      </c>
      <c r="M47" s="236">
        <f>D47+G47+J47</f>
        <v>-7800.670000000001</v>
      </c>
      <c r="N47" s="235">
        <f>+K47+'TRIM 1'!N47</f>
        <v>3262.37</v>
      </c>
      <c r="O47" s="235">
        <f>+L47+'TRIM 1'!O47</f>
        <v>20576.59</v>
      </c>
      <c r="P47" s="235">
        <f>+M47+'TRIM 1'!P47</f>
        <v>-17314.22</v>
      </c>
    </row>
    <row r="48" spans="1:16" ht="12.75">
      <c r="A48" s="259" t="str">
        <f>+'2022 BUDGET'!A48</f>
        <v>Employees Benefits</v>
      </c>
      <c r="B48" s="234">
        <v>95.93</v>
      </c>
      <c r="C48" s="235">
        <f>+'2022 BUDGET'!E48</f>
        <v>585.54</v>
      </c>
      <c r="D48" s="236">
        <f aca="true" t="shared" si="8" ref="D48:D55">+B48-C48</f>
        <v>-489.60999999999996</v>
      </c>
      <c r="E48" s="234">
        <v>342.77</v>
      </c>
      <c r="F48" s="235">
        <f>+'2022 BUDGET'!F48</f>
        <v>585.55</v>
      </c>
      <c r="G48" s="236">
        <f aca="true" t="shared" si="9" ref="G48:G55">+E48-F48</f>
        <v>-242.77999999999997</v>
      </c>
      <c r="H48" s="234">
        <f>184.23-75.56</f>
        <v>108.66999999999999</v>
      </c>
      <c r="I48" s="235">
        <f>+'2022 BUDGET'!G48</f>
        <v>585.54</v>
      </c>
      <c r="J48" s="236">
        <f aca="true" t="shared" si="10" ref="J48:J55">+H48-I48</f>
        <v>-476.87</v>
      </c>
      <c r="K48" s="237">
        <f aca="true" t="shared" si="11" ref="K48:L55">+B48+E48+H48</f>
        <v>547.37</v>
      </c>
      <c r="L48" s="235">
        <f t="shared" si="11"/>
        <v>1756.6299999999999</v>
      </c>
      <c r="M48" s="236">
        <f aca="true" t="shared" si="12" ref="M48:M55">D48+G48+J48</f>
        <v>-1209.2599999999998</v>
      </c>
      <c r="N48" s="235">
        <f>+K48+'TRIM 1'!N48</f>
        <v>1325.44</v>
      </c>
      <c r="O48" s="235">
        <f>+L48+'TRIM 1'!O48</f>
        <v>3513.2699999999995</v>
      </c>
      <c r="P48" s="235">
        <f>+M48+'TRIM 1'!P48</f>
        <v>-2187.83</v>
      </c>
    </row>
    <row r="49" spans="1:16" ht="12.75">
      <c r="A49" s="259" t="str">
        <f>+'2022 BUDGET'!A49</f>
        <v>Pension Contribution</v>
      </c>
      <c r="B49" s="234"/>
      <c r="C49" s="235">
        <f>+'2022 BUDGET'!E49</f>
        <v>0</v>
      </c>
      <c r="D49" s="236">
        <f t="shared" si="8"/>
        <v>0</v>
      </c>
      <c r="E49" s="234">
        <v>53.63</v>
      </c>
      <c r="F49" s="235">
        <f>+'2022 BUDGET'!F49</f>
        <v>0</v>
      </c>
      <c r="G49" s="236">
        <f t="shared" si="9"/>
        <v>53.63</v>
      </c>
      <c r="H49" s="234">
        <v>-54</v>
      </c>
      <c r="I49" s="235">
        <f>+'2022 BUDGET'!G49</f>
        <v>0</v>
      </c>
      <c r="J49" s="236">
        <f t="shared" si="10"/>
        <v>-54</v>
      </c>
      <c r="K49" s="237">
        <f t="shared" si="11"/>
        <v>-0.36999999999999744</v>
      </c>
      <c r="L49" s="235">
        <f t="shared" si="11"/>
        <v>0</v>
      </c>
      <c r="M49" s="236">
        <f t="shared" si="12"/>
        <v>-0.36999999999999744</v>
      </c>
      <c r="N49" s="235">
        <f>+K49+'TRIM 1'!N49</f>
        <v>-0.36999999999999744</v>
      </c>
      <c r="O49" s="235">
        <f>+L49+'TRIM 1'!O49</f>
        <v>0</v>
      </c>
      <c r="P49" s="235">
        <f>+M49+'TRIM 1'!P49</f>
        <v>-0.36999999999999744</v>
      </c>
    </row>
    <row r="50" spans="1:16" ht="12.75">
      <c r="A50" s="259" t="str">
        <f>+'2022 BUDGET'!A50</f>
        <v>Payroll taxes</v>
      </c>
      <c r="B50" s="234">
        <v>33.14</v>
      </c>
      <c r="C50" s="235">
        <f>+'2022 BUDGET'!E50</f>
        <v>277.5</v>
      </c>
      <c r="D50" s="236">
        <f t="shared" si="8"/>
        <v>-244.36</v>
      </c>
      <c r="E50" s="234"/>
      <c r="F50" s="235">
        <f>+'2022 BUDGET'!F50</f>
        <v>277.5</v>
      </c>
      <c r="G50" s="236">
        <f t="shared" si="9"/>
        <v>-277.5</v>
      </c>
      <c r="H50" s="234">
        <f>54+29.7</f>
        <v>83.7</v>
      </c>
      <c r="I50" s="235">
        <f>+'2022 BUDGET'!G50</f>
        <v>277.5</v>
      </c>
      <c r="J50" s="236">
        <f t="shared" si="10"/>
        <v>-193.8</v>
      </c>
      <c r="K50" s="237">
        <f t="shared" si="11"/>
        <v>116.84</v>
      </c>
      <c r="L50" s="235">
        <f t="shared" si="11"/>
        <v>832.5</v>
      </c>
      <c r="M50" s="236">
        <f t="shared" si="12"/>
        <v>-715.6600000000001</v>
      </c>
      <c r="N50" s="235">
        <f>+K50+'TRIM 1'!N50</f>
        <v>236.09</v>
      </c>
      <c r="O50" s="235">
        <f>+L50+'TRIM 1'!O50</f>
        <v>1803.75</v>
      </c>
      <c r="P50" s="235">
        <f>+M50+'TRIM 1'!P50</f>
        <v>-1567.66</v>
      </c>
    </row>
    <row r="51" spans="1:16" ht="12.75">
      <c r="A51" s="259" t="str">
        <f>+'2022 BUDGET'!A51</f>
        <v>Formation for employees</v>
      </c>
      <c r="B51" s="234"/>
      <c r="C51" s="235">
        <f>+'2022 BUDGET'!E51</f>
        <v>0</v>
      </c>
      <c r="D51" s="236">
        <f t="shared" si="8"/>
        <v>0</v>
      </c>
      <c r="E51" s="234"/>
      <c r="F51" s="235">
        <f>+'2022 BUDGET'!F51</f>
        <v>0</v>
      </c>
      <c r="G51" s="236">
        <f t="shared" si="9"/>
        <v>0</v>
      </c>
      <c r="H51" s="234"/>
      <c r="I51" s="235">
        <f>+'2022 BUDGET'!G51</f>
        <v>0</v>
      </c>
      <c r="J51" s="236">
        <f t="shared" si="10"/>
        <v>0</v>
      </c>
      <c r="K51" s="237">
        <f t="shared" si="11"/>
        <v>0</v>
      </c>
      <c r="L51" s="235">
        <f t="shared" si="11"/>
        <v>0</v>
      </c>
      <c r="M51" s="236">
        <f t="shared" si="12"/>
        <v>0</v>
      </c>
      <c r="N51" s="235">
        <f>+K51+'TRIM 1'!N51</f>
        <v>0</v>
      </c>
      <c r="O51" s="235">
        <f>+L51+'TRIM 1'!O51</f>
        <v>0</v>
      </c>
      <c r="P51" s="235">
        <f>+M51+'TRIM 1'!P51</f>
        <v>0</v>
      </c>
    </row>
    <row r="52" spans="1:16" ht="12.75">
      <c r="A52" s="259" t="str">
        <f>+'2022 BUDGET'!A52</f>
        <v>SFP mission orientation programs</v>
      </c>
      <c r="B52" s="234"/>
      <c r="C52" s="235">
        <f>+'2022 BUDGET'!E52</f>
        <v>0</v>
      </c>
      <c r="D52" s="236">
        <f t="shared" si="8"/>
        <v>0</v>
      </c>
      <c r="E52" s="234"/>
      <c r="F52" s="235">
        <f>+'2022 BUDGET'!F52</f>
        <v>0</v>
      </c>
      <c r="G52" s="236">
        <f t="shared" si="9"/>
        <v>0</v>
      </c>
      <c r="H52" s="234"/>
      <c r="I52" s="235">
        <f>+'2022 BUDGET'!G52</f>
        <v>0</v>
      </c>
      <c r="J52" s="236">
        <f t="shared" si="10"/>
        <v>0</v>
      </c>
      <c r="K52" s="237">
        <f t="shared" si="11"/>
        <v>0</v>
      </c>
      <c r="L52" s="235">
        <f t="shared" si="11"/>
        <v>0</v>
      </c>
      <c r="M52" s="236">
        <f t="shared" si="12"/>
        <v>0</v>
      </c>
      <c r="N52" s="235">
        <f>+K52+'TRIM 1'!N52</f>
        <v>0</v>
      </c>
      <c r="O52" s="235">
        <f>+L52+'TRIM 1'!O52</f>
        <v>0</v>
      </c>
      <c r="P52" s="235">
        <f>+M52+'TRIM 1'!P52</f>
        <v>0</v>
      </c>
    </row>
    <row r="53" spans="1:16" ht="12.75">
      <c r="A53" s="259" t="str">
        <f>+'2022 BUDGET'!A53</f>
        <v>Consultants</v>
      </c>
      <c r="B53" s="234"/>
      <c r="C53" s="235">
        <f>+'2022 BUDGET'!E53</f>
        <v>300</v>
      </c>
      <c r="D53" s="236">
        <f t="shared" si="8"/>
        <v>-300</v>
      </c>
      <c r="E53" s="234">
        <v>74</v>
      </c>
      <c r="F53" s="235">
        <f>+'2022 BUDGET'!F53</f>
        <v>300</v>
      </c>
      <c r="G53" s="236">
        <f t="shared" si="9"/>
        <v>-226</v>
      </c>
      <c r="H53" s="234">
        <v>40</v>
      </c>
      <c r="I53" s="235">
        <f>+'2022 BUDGET'!G53</f>
        <v>300</v>
      </c>
      <c r="J53" s="236">
        <f t="shared" si="10"/>
        <v>-260</v>
      </c>
      <c r="K53" s="237">
        <f t="shared" si="11"/>
        <v>114</v>
      </c>
      <c r="L53" s="235">
        <f t="shared" si="11"/>
        <v>900</v>
      </c>
      <c r="M53" s="236">
        <f t="shared" si="12"/>
        <v>-786</v>
      </c>
      <c r="N53" s="235">
        <f>+K53+'TRIM 1'!N53</f>
        <v>194</v>
      </c>
      <c r="O53" s="235">
        <f>+L53+'TRIM 1'!O53</f>
        <v>1800</v>
      </c>
      <c r="P53" s="235">
        <f>+M53+'TRIM 1'!P53</f>
        <v>-1606</v>
      </c>
    </row>
    <row r="54" spans="1:16" ht="12.75">
      <c r="A54" s="259">
        <f>+'2022 BUDGET'!A54</f>
        <v>0</v>
      </c>
      <c r="B54" s="234"/>
      <c r="C54" s="235">
        <f>+'2022 BUDGET'!E54</f>
        <v>0</v>
      </c>
      <c r="D54" s="236">
        <f t="shared" si="8"/>
        <v>0</v>
      </c>
      <c r="E54" s="234"/>
      <c r="F54" s="235">
        <f>+'2022 BUDGET'!F54</f>
        <v>0</v>
      </c>
      <c r="G54" s="236">
        <f t="shared" si="9"/>
        <v>0</v>
      </c>
      <c r="H54" s="234"/>
      <c r="I54" s="235">
        <f>+'2022 BUDGET'!G54</f>
        <v>0</v>
      </c>
      <c r="J54" s="236">
        <f t="shared" si="10"/>
        <v>0</v>
      </c>
      <c r="K54" s="237">
        <f t="shared" si="11"/>
        <v>0</v>
      </c>
      <c r="L54" s="235">
        <f t="shared" si="11"/>
        <v>0</v>
      </c>
      <c r="M54" s="236">
        <f t="shared" si="12"/>
        <v>0</v>
      </c>
      <c r="N54" s="235">
        <f>+K54+'TRIM 1'!N54</f>
        <v>0</v>
      </c>
      <c r="O54" s="235">
        <f>+L54+'TRIM 1'!O54</f>
        <v>0</v>
      </c>
      <c r="P54" s="235">
        <f>+M54+'TRIM 1'!P54</f>
        <v>0</v>
      </c>
    </row>
    <row r="55" spans="1:16" ht="12.75">
      <c r="A55" s="259">
        <f>+'2022 BUDGET'!A55</f>
        <v>0</v>
      </c>
      <c r="B55" s="234"/>
      <c r="C55" s="235">
        <f>+'2022 BUDGET'!E55</f>
        <v>0</v>
      </c>
      <c r="D55" s="236">
        <f t="shared" si="8"/>
        <v>0</v>
      </c>
      <c r="E55" s="234"/>
      <c r="F55" s="235">
        <f>+'2022 BUDGET'!F55</f>
        <v>0</v>
      </c>
      <c r="G55" s="236">
        <f t="shared" si="9"/>
        <v>0</v>
      </c>
      <c r="H55" s="234"/>
      <c r="I55" s="235">
        <f>+'2022 BUDGET'!G55</f>
        <v>0</v>
      </c>
      <c r="J55" s="236">
        <f t="shared" si="10"/>
        <v>0</v>
      </c>
      <c r="K55" s="237">
        <f t="shared" si="11"/>
        <v>0</v>
      </c>
      <c r="L55" s="235">
        <f t="shared" si="11"/>
        <v>0</v>
      </c>
      <c r="M55" s="236">
        <f t="shared" si="12"/>
        <v>0</v>
      </c>
      <c r="N55" s="235">
        <f>+K55+'TRIM 1'!N55</f>
        <v>0</v>
      </c>
      <c r="O55" s="235">
        <f>+L55+'TRIM 1'!O55</f>
        <v>0</v>
      </c>
      <c r="P55" s="235">
        <f>+M55+'TRIM 1'!P55</f>
        <v>0</v>
      </c>
    </row>
    <row r="56" spans="1:16" s="262" customFormat="1" ht="12.75">
      <c r="A56" s="239" t="s">
        <v>181</v>
      </c>
      <c r="B56" s="260">
        <f aca="true" t="shared" si="13" ref="B56:P56">SUM(B47:B55)</f>
        <v>619.3100000000001</v>
      </c>
      <c r="C56" s="261">
        <f t="shared" si="13"/>
        <v>4328.67</v>
      </c>
      <c r="D56" s="261">
        <f t="shared" si="13"/>
        <v>-3709.3600000000006</v>
      </c>
      <c r="E56" s="260">
        <f t="shared" si="13"/>
        <v>1226.14</v>
      </c>
      <c r="F56" s="261">
        <f t="shared" si="13"/>
        <v>4328.68</v>
      </c>
      <c r="G56" s="261">
        <f t="shared" si="13"/>
        <v>-3102.54</v>
      </c>
      <c r="H56" s="260">
        <f t="shared" si="13"/>
        <v>628.61</v>
      </c>
      <c r="I56" s="261">
        <f t="shared" si="13"/>
        <v>4328.67</v>
      </c>
      <c r="J56" s="261">
        <f t="shared" si="13"/>
        <v>-3700.0600000000004</v>
      </c>
      <c r="K56" s="260">
        <f t="shared" si="13"/>
        <v>2474.0600000000004</v>
      </c>
      <c r="L56" s="261">
        <f t="shared" si="13"/>
        <v>12986.019999999999</v>
      </c>
      <c r="M56" s="261">
        <f t="shared" si="13"/>
        <v>-10511.960000000001</v>
      </c>
      <c r="N56" s="260">
        <f t="shared" si="13"/>
        <v>5017.53</v>
      </c>
      <c r="O56" s="261">
        <f t="shared" si="13"/>
        <v>27693.61</v>
      </c>
      <c r="P56" s="261">
        <f t="shared" si="13"/>
        <v>-22676.08</v>
      </c>
    </row>
    <row r="57" spans="1:16" s="267" customFormat="1" ht="12.75">
      <c r="A57" s="263"/>
      <c r="B57" s="264"/>
      <c r="C57" s="265"/>
      <c r="D57" s="265"/>
      <c r="E57" s="266"/>
      <c r="F57" s="265"/>
      <c r="G57" s="265"/>
      <c r="H57" s="266"/>
      <c r="I57" s="265"/>
      <c r="J57" s="265"/>
      <c r="K57" s="265"/>
      <c r="L57" s="265"/>
      <c r="M57" s="265"/>
      <c r="N57" s="265"/>
      <c r="O57" s="265"/>
      <c r="P57" s="265"/>
    </row>
    <row r="58" spans="1:16" s="267" customFormat="1" ht="12.75">
      <c r="A58" s="268" t="s">
        <v>120</v>
      </c>
      <c r="B58" s="269">
        <f aca="true" t="shared" si="14" ref="B58:P58">B42+B56</f>
        <v>420.8200000000001</v>
      </c>
      <c r="C58" s="269">
        <f t="shared" si="14"/>
        <v>4979.67</v>
      </c>
      <c r="D58" s="269">
        <f t="shared" si="14"/>
        <v>-4558.85</v>
      </c>
      <c r="E58" s="269">
        <f t="shared" si="14"/>
        <v>1740.6100000000001</v>
      </c>
      <c r="F58" s="269">
        <f t="shared" si="14"/>
        <v>4678.68</v>
      </c>
      <c r="G58" s="269">
        <f t="shared" si="14"/>
        <v>-2938.0699999999997</v>
      </c>
      <c r="H58" s="269">
        <f t="shared" si="14"/>
        <v>1126.52</v>
      </c>
      <c r="I58" s="269">
        <f t="shared" si="14"/>
        <v>4692.17</v>
      </c>
      <c r="J58" s="269">
        <f t="shared" si="14"/>
        <v>-3565.6500000000005</v>
      </c>
      <c r="K58" s="269">
        <f t="shared" si="14"/>
        <v>3287.9500000000003</v>
      </c>
      <c r="L58" s="269">
        <f t="shared" si="14"/>
        <v>14350.519999999999</v>
      </c>
      <c r="M58" s="269">
        <f t="shared" si="14"/>
        <v>-11062.570000000002</v>
      </c>
      <c r="N58" s="269">
        <f t="shared" si="14"/>
        <v>6203.600000000001</v>
      </c>
      <c r="O58" s="269">
        <f t="shared" si="14"/>
        <v>30421.61</v>
      </c>
      <c r="P58" s="269">
        <f t="shared" si="14"/>
        <v>-24218.010000000002</v>
      </c>
    </row>
    <row r="59" spans="1:16" ht="12.75">
      <c r="A59" s="270"/>
      <c r="B59" s="244"/>
      <c r="C59" s="248"/>
      <c r="D59" s="249"/>
      <c r="E59" s="247"/>
      <c r="F59" s="248"/>
      <c r="G59" s="249"/>
      <c r="H59" s="247"/>
      <c r="I59" s="248"/>
      <c r="J59" s="249"/>
      <c r="K59" s="250"/>
      <c r="L59" s="248"/>
      <c r="M59" s="249"/>
      <c r="N59" s="250"/>
      <c r="O59" s="248"/>
      <c r="P59" s="251"/>
    </row>
    <row r="60" spans="1:16" ht="12.75">
      <c r="A60" s="271" t="str">
        <f>'2022 BUDGET'!A64</f>
        <v>MINISTRY INCOME</v>
      </c>
      <c r="B60" s="272"/>
      <c r="C60" s="248"/>
      <c r="D60" s="249"/>
      <c r="E60" s="247"/>
      <c r="F60" s="248"/>
      <c r="G60" s="249"/>
      <c r="H60" s="247"/>
      <c r="I60" s="248"/>
      <c r="J60" s="249"/>
      <c r="K60" s="250"/>
      <c r="L60" s="248"/>
      <c r="M60" s="249"/>
      <c r="N60" s="250"/>
      <c r="O60" s="248"/>
      <c r="P60" s="251"/>
    </row>
    <row r="61" spans="1:16" ht="12.75">
      <c r="A61" s="273"/>
      <c r="B61" s="274" t="str">
        <f aca="true" t="shared" si="15" ref="B61:P61">+B8</f>
        <v>ACTUALS</v>
      </c>
      <c r="C61" s="254" t="str">
        <f t="shared" si="15"/>
        <v>BUDGET</v>
      </c>
      <c r="D61" s="255" t="str">
        <f t="shared" si="15"/>
        <v>DIFF.</v>
      </c>
      <c r="E61" s="256" t="str">
        <f t="shared" si="15"/>
        <v>ACTUALS</v>
      </c>
      <c r="F61" s="254" t="str">
        <f t="shared" si="15"/>
        <v>BUDGET</v>
      </c>
      <c r="G61" s="255" t="str">
        <f t="shared" si="15"/>
        <v>DIFF.</v>
      </c>
      <c r="H61" s="256" t="str">
        <f t="shared" si="15"/>
        <v>ACTUALS</v>
      </c>
      <c r="I61" s="254" t="str">
        <f t="shared" si="15"/>
        <v>BUDGET</v>
      </c>
      <c r="J61" s="255" t="str">
        <f t="shared" si="15"/>
        <v>DIFF.</v>
      </c>
      <c r="K61" s="257" t="str">
        <f t="shared" si="15"/>
        <v>ACTUALS</v>
      </c>
      <c r="L61" s="254" t="str">
        <f t="shared" si="15"/>
        <v>BUDGET</v>
      </c>
      <c r="M61" s="255" t="str">
        <f t="shared" si="15"/>
        <v>DIFF.</v>
      </c>
      <c r="N61" s="257" t="str">
        <f t="shared" si="15"/>
        <v>ACTUALS</v>
      </c>
      <c r="O61" s="254" t="str">
        <f t="shared" si="15"/>
        <v>BUDGET</v>
      </c>
      <c r="P61" s="258" t="str">
        <f t="shared" si="15"/>
        <v>DIFF.</v>
      </c>
    </row>
    <row r="62" spans="1:16" ht="12.75">
      <c r="A62" s="275" t="str">
        <f>'2022 BUDGET'!A67</f>
        <v>Previous Year balance 12/31/20xx</v>
      </c>
      <c r="B62" s="276"/>
      <c r="C62" s="277">
        <f>+'2022 BUDGET'!E67</f>
        <v>0</v>
      </c>
      <c r="D62" s="278">
        <f>+B62-C62</f>
        <v>0</v>
      </c>
      <c r="E62" s="279"/>
      <c r="F62" s="277">
        <f>+'2022 BUDGET'!F67</f>
        <v>0</v>
      </c>
      <c r="G62" s="278">
        <f aca="true" t="shared" si="16" ref="G62:G86">+E62-F62</f>
        <v>0</v>
      </c>
      <c r="H62" s="279"/>
      <c r="I62" s="277">
        <f>+'2022 BUDGET'!G67</f>
        <v>0</v>
      </c>
      <c r="J62" s="278">
        <f>+H62-I62</f>
        <v>0</v>
      </c>
      <c r="K62" s="280">
        <f>+B62+E62+H62</f>
        <v>0</v>
      </c>
      <c r="L62" s="277">
        <f>+C62+F62+I62</f>
        <v>0</v>
      </c>
      <c r="M62" s="278">
        <f>D62+G62+J62</f>
        <v>0</v>
      </c>
      <c r="N62" s="415">
        <f>+K62+'TRIM 1'!N62</f>
        <v>0</v>
      </c>
      <c r="O62" s="415">
        <f>+L62+'TRIM 1'!O62</f>
        <v>0</v>
      </c>
      <c r="P62" s="415">
        <f>+M62+'TRIM 1'!P62</f>
        <v>0</v>
      </c>
    </row>
    <row r="63" spans="1:16" ht="12.75">
      <c r="A63" s="275"/>
      <c r="B63" s="276"/>
      <c r="C63" s="277"/>
      <c r="D63" s="278"/>
      <c r="E63" s="279"/>
      <c r="F63" s="277"/>
      <c r="G63" s="278"/>
      <c r="H63" s="279"/>
      <c r="I63" s="277"/>
      <c r="J63" s="278"/>
      <c r="K63" s="280"/>
      <c r="L63" s="277"/>
      <c r="M63" s="278"/>
      <c r="N63" s="415"/>
      <c r="O63" s="415"/>
      <c r="P63" s="415"/>
    </row>
    <row r="64" spans="1:16" ht="12.75">
      <c r="A64" s="282" t="str">
        <f>'2022 BUDGET'!A69</f>
        <v>PEDDLER FUNDS</v>
      </c>
      <c r="B64" s="276"/>
      <c r="C64" s="235">
        <f>+'2022 BUDGET'!E69</f>
        <v>0</v>
      </c>
      <c r="D64" s="236">
        <f>+B64-C64</f>
        <v>0</v>
      </c>
      <c r="E64" s="276"/>
      <c r="F64" s="235">
        <f>+'2022 BUDGET'!F69</f>
        <v>0</v>
      </c>
      <c r="G64" s="236">
        <f>+E64-F64</f>
        <v>0</v>
      </c>
      <c r="H64" s="276"/>
      <c r="I64" s="235">
        <f>+'2022 BUDGET'!G69</f>
        <v>0</v>
      </c>
      <c r="J64" s="236">
        <f>+H64-I64</f>
        <v>0</v>
      </c>
      <c r="K64" s="237">
        <f>+B64+E64+H64</f>
        <v>0</v>
      </c>
      <c r="L64" s="235">
        <f>+C64+F64+I64</f>
        <v>0</v>
      </c>
      <c r="M64" s="236">
        <f>D64+G64+J64</f>
        <v>0</v>
      </c>
      <c r="N64" s="235">
        <f>+K64+'TRIM 1'!N64</f>
        <v>0</v>
      </c>
      <c r="O64" s="235">
        <f>+L64+'TRIM 1'!O64</f>
        <v>0</v>
      </c>
      <c r="P64" s="235">
        <f>+M64+'TRIM 1'!P64</f>
        <v>0</v>
      </c>
    </row>
    <row r="65" spans="1:16" ht="12.75">
      <c r="A65" s="282" t="str">
        <f>'2022 BUDGET'!A70</f>
        <v>FOUNDATION GRANT</v>
      </c>
      <c r="B65" s="276"/>
      <c r="C65" s="235">
        <f>+'2022 BUDGET'!E70</f>
        <v>10000</v>
      </c>
      <c r="D65" s="236">
        <f aca="true" t="shared" si="17" ref="D65:D86">+B65-C65</f>
        <v>-10000</v>
      </c>
      <c r="E65" s="276"/>
      <c r="F65" s="235">
        <f>+'2022 BUDGET'!F70</f>
        <v>0</v>
      </c>
      <c r="G65" s="236">
        <f t="shared" si="16"/>
        <v>0</v>
      </c>
      <c r="H65" s="276"/>
      <c r="I65" s="235">
        <f>+'2022 BUDGET'!G70</f>
        <v>0</v>
      </c>
      <c r="J65" s="236">
        <f aca="true" t="shared" si="18" ref="J65:J86">+H65-I65</f>
        <v>0</v>
      </c>
      <c r="K65" s="237">
        <f aca="true" t="shared" si="19" ref="K65:L78">+B65+E65+H65</f>
        <v>0</v>
      </c>
      <c r="L65" s="235">
        <f t="shared" si="19"/>
        <v>10000</v>
      </c>
      <c r="M65" s="236">
        <f aca="true" t="shared" si="20" ref="M65:M86">D65+G65+J65</f>
        <v>-10000</v>
      </c>
      <c r="N65" s="235">
        <f>+K65+'TRIM 1'!N65</f>
        <v>10000</v>
      </c>
      <c r="O65" s="235">
        <f>+L65+'TRIM 1'!O65</f>
        <v>20000</v>
      </c>
      <c r="P65" s="235">
        <f>+M65+'TRIM 1'!P65</f>
        <v>-10000</v>
      </c>
    </row>
    <row r="66" spans="1:16" ht="12.75">
      <c r="A66" s="282" t="str">
        <f>'2022 BUDGET'!A71</f>
        <v>CONGREG. ST.ELIZABETH MINISTRY FUND </v>
      </c>
      <c r="B66" s="276"/>
      <c r="C66" s="235">
        <f>+'2022 BUDGET'!E71</f>
        <v>0</v>
      </c>
      <c r="D66" s="236">
        <f t="shared" si="17"/>
        <v>0</v>
      </c>
      <c r="E66" s="276"/>
      <c r="F66" s="235">
        <f>+'2022 BUDGET'!F71</f>
        <v>0</v>
      </c>
      <c r="G66" s="236">
        <f t="shared" si="16"/>
        <v>0</v>
      </c>
      <c r="H66" s="276"/>
      <c r="I66" s="235">
        <f>+'2022 BUDGET'!G71</f>
        <v>0</v>
      </c>
      <c r="J66" s="236">
        <f t="shared" si="18"/>
        <v>0</v>
      </c>
      <c r="K66" s="237">
        <f t="shared" si="19"/>
        <v>0</v>
      </c>
      <c r="L66" s="235">
        <f t="shared" si="19"/>
        <v>0</v>
      </c>
      <c r="M66" s="236">
        <f t="shared" si="20"/>
        <v>0</v>
      </c>
      <c r="N66" s="235">
        <f>+K66+'TRIM 1'!N66</f>
        <v>0</v>
      </c>
      <c r="O66" s="235">
        <f>+L66+'TRIM 1'!O66</f>
        <v>0</v>
      </c>
      <c r="P66" s="235">
        <f>+M66+'TRIM 1'!P66</f>
        <v>0</v>
      </c>
    </row>
    <row r="67" spans="1:16" s="285" customFormat="1" ht="12.75">
      <c r="A67" s="283" t="str">
        <f>'2022 BUDGET'!A72</f>
        <v>TOTAL  PEDDLER &amp; FOUNDATION &amp; ST.ELIZABETH MINISTRY FUNDS</v>
      </c>
      <c r="B67" s="284">
        <f>SUM(B64:B66)</f>
        <v>0</v>
      </c>
      <c r="C67" s="284">
        <f aca="true" t="shared" si="21" ref="C67:P67">SUM(C64:C66)</f>
        <v>10000</v>
      </c>
      <c r="D67" s="284">
        <f t="shared" si="21"/>
        <v>-10000</v>
      </c>
      <c r="E67" s="284">
        <f t="shared" si="21"/>
        <v>0</v>
      </c>
      <c r="F67" s="284">
        <f t="shared" si="21"/>
        <v>0</v>
      </c>
      <c r="G67" s="284">
        <f t="shared" si="21"/>
        <v>0</v>
      </c>
      <c r="H67" s="284">
        <f t="shared" si="21"/>
        <v>0</v>
      </c>
      <c r="I67" s="284">
        <f t="shared" si="21"/>
        <v>0</v>
      </c>
      <c r="J67" s="284">
        <f t="shared" si="21"/>
        <v>0</v>
      </c>
      <c r="K67" s="284">
        <f t="shared" si="21"/>
        <v>0</v>
      </c>
      <c r="L67" s="284">
        <f t="shared" si="21"/>
        <v>10000</v>
      </c>
      <c r="M67" s="284">
        <f t="shared" si="21"/>
        <v>-10000</v>
      </c>
      <c r="N67" s="284">
        <f t="shared" si="21"/>
        <v>10000</v>
      </c>
      <c r="O67" s="284">
        <f t="shared" si="21"/>
        <v>20000</v>
      </c>
      <c r="P67" s="284">
        <f t="shared" si="21"/>
        <v>-10000</v>
      </c>
    </row>
    <row r="68" spans="1:16" s="285" customFormat="1" ht="12.75">
      <c r="A68" s="282" t="str">
        <f>'2022 BUDGET'!A74</f>
        <v>Rental Income</v>
      </c>
      <c r="B68" s="276"/>
      <c r="C68" s="235">
        <f>+'2022 BUDGET'!E74</f>
        <v>0</v>
      </c>
      <c r="D68" s="236">
        <f t="shared" si="17"/>
        <v>0</v>
      </c>
      <c r="E68" s="276"/>
      <c r="F68" s="235">
        <f>+'2022 BUDGET'!F74</f>
        <v>0</v>
      </c>
      <c r="G68" s="236">
        <f t="shared" si="16"/>
        <v>0</v>
      </c>
      <c r="H68" s="276"/>
      <c r="I68" s="235">
        <f>+'2022 BUDGET'!G74</f>
        <v>0</v>
      </c>
      <c r="J68" s="236">
        <f t="shared" si="18"/>
        <v>0</v>
      </c>
      <c r="K68" s="237">
        <f t="shared" si="19"/>
        <v>0</v>
      </c>
      <c r="L68" s="235">
        <f t="shared" si="19"/>
        <v>0</v>
      </c>
      <c r="M68" s="236">
        <f t="shared" si="20"/>
        <v>0</v>
      </c>
      <c r="N68" s="235">
        <f>+K68+'TRIM 1'!N68</f>
        <v>0</v>
      </c>
      <c r="O68" s="235">
        <f>+L68+'TRIM 1'!O68</f>
        <v>0</v>
      </c>
      <c r="P68" s="235">
        <f>+M68+'TRIM 1'!P68</f>
        <v>0</v>
      </c>
    </row>
    <row r="69" spans="1:16" s="285" customFormat="1" ht="12.75">
      <c r="A69" s="282" t="str">
        <f>'2022 BUDGET'!A75</f>
        <v>Interest</v>
      </c>
      <c r="B69" s="276"/>
      <c r="C69" s="235">
        <f>+'2022 BUDGET'!E75</f>
        <v>0</v>
      </c>
      <c r="D69" s="236">
        <f t="shared" si="17"/>
        <v>0</v>
      </c>
      <c r="E69" s="276"/>
      <c r="F69" s="235">
        <f>+'2022 BUDGET'!F75</f>
        <v>0</v>
      </c>
      <c r="G69" s="236">
        <f t="shared" si="16"/>
        <v>0</v>
      </c>
      <c r="H69" s="276"/>
      <c r="I69" s="235">
        <f>+'2022 BUDGET'!G75</f>
        <v>0</v>
      </c>
      <c r="J69" s="236">
        <f t="shared" si="18"/>
        <v>0</v>
      </c>
      <c r="K69" s="237">
        <f t="shared" si="19"/>
        <v>0</v>
      </c>
      <c r="L69" s="235">
        <f t="shared" si="19"/>
        <v>0</v>
      </c>
      <c r="M69" s="236">
        <f t="shared" si="20"/>
        <v>0</v>
      </c>
      <c r="N69" s="235">
        <f>+K69+'TRIM 1'!N69</f>
        <v>0</v>
      </c>
      <c r="O69" s="235">
        <f>+L69+'TRIM 1'!O69</f>
        <v>0</v>
      </c>
      <c r="P69" s="235">
        <f>+M69+'TRIM 1'!P69</f>
        <v>0</v>
      </c>
    </row>
    <row r="70" spans="1:16" s="285" customFormat="1" ht="12.75">
      <c r="A70" s="282" t="str">
        <f>'2022 BUDGET'!A76</f>
        <v>Benefactors</v>
      </c>
      <c r="B70" s="276"/>
      <c r="C70" s="235">
        <f>+'2022 BUDGET'!E76</f>
        <v>0</v>
      </c>
      <c r="D70" s="236">
        <f t="shared" si="17"/>
        <v>0</v>
      </c>
      <c r="E70" s="276"/>
      <c r="F70" s="235">
        <f>+'2022 BUDGET'!F76</f>
        <v>0</v>
      </c>
      <c r="G70" s="236">
        <f t="shared" si="16"/>
        <v>0</v>
      </c>
      <c r="H70" s="276"/>
      <c r="I70" s="235">
        <f>+'2022 BUDGET'!G76</f>
        <v>0</v>
      </c>
      <c r="J70" s="236">
        <f t="shared" si="18"/>
        <v>0</v>
      </c>
      <c r="K70" s="237">
        <f t="shared" si="19"/>
        <v>0</v>
      </c>
      <c r="L70" s="235">
        <f t="shared" si="19"/>
        <v>0</v>
      </c>
      <c r="M70" s="236">
        <f t="shared" si="20"/>
        <v>0</v>
      </c>
      <c r="N70" s="235">
        <f>+K70+'TRIM 1'!N70</f>
        <v>0</v>
      </c>
      <c r="O70" s="235">
        <f>+L70+'TRIM 1'!O70</f>
        <v>0</v>
      </c>
      <c r="P70" s="235">
        <f>+M70+'TRIM 1'!P70</f>
        <v>0</v>
      </c>
    </row>
    <row r="71" spans="1:16" s="285" customFormat="1" ht="12.75">
      <c r="A71" s="282" t="str">
        <f>'2022 BUDGET'!A77</f>
        <v>Governmental Entities </v>
      </c>
      <c r="B71" s="276"/>
      <c r="C71" s="235">
        <f>+'2022 BUDGET'!E77</f>
        <v>0</v>
      </c>
      <c r="D71" s="236">
        <f>+B71-C71</f>
        <v>0</v>
      </c>
      <c r="E71" s="276"/>
      <c r="F71" s="235">
        <f>+'2022 BUDGET'!F77</f>
        <v>0</v>
      </c>
      <c r="G71" s="236">
        <f>+E71-F71</f>
        <v>0</v>
      </c>
      <c r="H71" s="276"/>
      <c r="I71" s="235">
        <f>+'2022 BUDGET'!G77</f>
        <v>0</v>
      </c>
      <c r="J71" s="236">
        <f>+H71-I71</f>
        <v>0</v>
      </c>
      <c r="K71" s="237">
        <f aca="true" t="shared" si="22" ref="K71:L75">+B71+E71+H71</f>
        <v>0</v>
      </c>
      <c r="L71" s="235">
        <f t="shared" si="22"/>
        <v>0</v>
      </c>
      <c r="M71" s="236">
        <f>D71+G71+J71</f>
        <v>0</v>
      </c>
      <c r="N71" s="235">
        <f>+K71+'TRIM 1'!N71</f>
        <v>0</v>
      </c>
      <c r="O71" s="235">
        <f>+L71+'TRIM 1'!O71</f>
        <v>0</v>
      </c>
      <c r="P71" s="235">
        <f>+M71+'TRIM 1'!P71</f>
        <v>0</v>
      </c>
    </row>
    <row r="72" spans="1:16" s="285" customFormat="1" ht="12.75">
      <c r="A72" s="282" t="str">
        <f>'2022 BUDGET'!A78</f>
        <v>Ministry's Events</v>
      </c>
      <c r="B72" s="276"/>
      <c r="C72" s="235">
        <f>+'2022 BUDGET'!E78</f>
        <v>263</v>
      </c>
      <c r="D72" s="236">
        <f>+B72-C72</f>
        <v>-263</v>
      </c>
      <c r="E72" s="276"/>
      <c r="F72" s="235">
        <f>+'2022 BUDGET'!F78</f>
        <v>262</v>
      </c>
      <c r="G72" s="236">
        <f>+E72-F72</f>
        <v>-262</v>
      </c>
      <c r="H72" s="276"/>
      <c r="I72" s="235">
        <f>+'2022 BUDGET'!G78</f>
        <v>263</v>
      </c>
      <c r="J72" s="236">
        <f>+H72-I72</f>
        <v>-263</v>
      </c>
      <c r="K72" s="237">
        <f t="shared" si="22"/>
        <v>0</v>
      </c>
      <c r="L72" s="235">
        <f t="shared" si="22"/>
        <v>788</v>
      </c>
      <c r="M72" s="236">
        <f>D72+G72+J72</f>
        <v>-788</v>
      </c>
      <c r="N72" s="235">
        <f>+K72+'TRIM 1'!N72</f>
        <v>0</v>
      </c>
      <c r="O72" s="235">
        <f>+L72+'TRIM 1'!O72</f>
        <v>1050</v>
      </c>
      <c r="P72" s="235">
        <f>+M72+'TRIM 1'!P72</f>
        <v>-1050</v>
      </c>
    </row>
    <row r="73" spans="1:16" s="285" customFormat="1" ht="12.75">
      <c r="A73" s="282" t="str">
        <f>'2022 BUDGET'!A79</f>
        <v>Contributions from people served</v>
      </c>
      <c r="B73" s="276"/>
      <c r="C73" s="235">
        <f>+'2022 BUDGET'!E79</f>
        <v>0</v>
      </c>
      <c r="D73" s="236">
        <f>+B73-C73</f>
        <v>0</v>
      </c>
      <c r="E73" s="276"/>
      <c r="F73" s="235">
        <f>+'2022 BUDGET'!F79</f>
        <v>0</v>
      </c>
      <c r="G73" s="236">
        <f>+E73-F73</f>
        <v>0</v>
      </c>
      <c r="H73" s="276"/>
      <c r="I73" s="235">
        <f>+'2022 BUDGET'!G79</f>
        <v>0</v>
      </c>
      <c r="J73" s="236">
        <f>+H73-I73</f>
        <v>0</v>
      </c>
      <c r="K73" s="237">
        <f t="shared" si="22"/>
        <v>0</v>
      </c>
      <c r="L73" s="235">
        <f t="shared" si="22"/>
        <v>0</v>
      </c>
      <c r="M73" s="236">
        <f>D73+G73+J73</f>
        <v>0</v>
      </c>
      <c r="N73" s="235">
        <f>+K73+'TRIM 1'!N73</f>
        <v>0</v>
      </c>
      <c r="O73" s="235">
        <f>+L73+'TRIM 1'!O73</f>
        <v>0</v>
      </c>
      <c r="P73" s="235">
        <f>+M73+'TRIM 1'!P73</f>
        <v>0</v>
      </c>
    </row>
    <row r="74" spans="1:16" s="285" customFormat="1" ht="12.75">
      <c r="A74" s="282" t="str">
        <f>'2022 BUDGET'!A80</f>
        <v>Sale of Ministry's products</v>
      </c>
      <c r="B74" s="276"/>
      <c r="C74" s="235">
        <f>+'2022 BUDGET'!E80</f>
        <v>0</v>
      </c>
      <c r="D74" s="236">
        <f>+B74-C74</f>
        <v>0</v>
      </c>
      <c r="E74" s="276"/>
      <c r="F74" s="235">
        <f>+'2022 BUDGET'!F80</f>
        <v>0</v>
      </c>
      <c r="G74" s="236">
        <f>+E74-F74</f>
        <v>0</v>
      </c>
      <c r="H74" s="276"/>
      <c r="I74" s="235">
        <f>+'2022 BUDGET'!G80</f>
        <v>0</v>
      </c>
      <c r="J74" s="236">
        <f>+H74-I74</f>
        <v>0</v>
      </c>
      <c r="K74" s="237">
        <f t="shared" si="22"/>
        <v>0</v>
      </c>
      <c r="L74" s="235">
        <f t="shared" si="22"/>
        <v>0</v>
      </c>
      <c r="M74" s="236">
        <f>D74+G74+J74</f>
        <v>0</v>
      </c>
      <c r="N74" s="235">
        <f>+K74+'TRIM 1'!N74</f>
        <v>0</v>
      </c>
      <c r="O74" s="235">
        <f>+L74+'TRIM 1'!O74</f>
        <v>0</v>
      </c>
      <c r="P74" s="235">
        <f>+M74+'TRIM 1'!P74</f>
        <v>0</v>
      </c>
    </row>
    <row r="75" spans="1:16" s="285" customFormat="1" ht="12.75">
      <c r="A75" s="282" t="str">
        <f>'2022 BUDGET'!A81</f>
        <v>Outside Grants</v>
      </c>
      <c r="B75" s="276"/>
      <c r="C75" s="235">
        <f>+'2022 BUDGET'!E81</f>
        <v>0</v>
      </c>
      <c r="D75" s="236">
        <f>+B75-C75</f>
        <v>0</v>
      </c>
      <c r="E75" s="276"/>
      <c r="F75" s="235">
        <f>+'2022 BUDGET'!F81</f>
        <v>0</v>
      </c>
      <c r="G75" s="236">
        <f>+E75-F75</f>
        <v>0</v>
      </c>
      <c r="H75" s="276"/>
      <c r="I75" s="235">
        <f>+'2022 BUDGET'!G81</f>
        <v>2500</v>
      </c>
      <c r="J75" s="236">
        <f>+H75-I75</f>
        <v>-2500</v>
      </c>
      <c r="K75" s="237">
        <f t="shared" si="22"/>
        <v>0</v>
      </c>
      <c r="L75" s="235">
        <f t="shared" si="22"/>
        <v>2500</v>
      </c>
      <c r="M75" s="236">
        <f>D75+G75+J75</f>
        <v>-2500</v>
      </c>
      <c r="N75" s="235">
        <f>+K75+'TRIM 1'!N75</f>
        <v>2100</v>
      </c>
      <c r="O75" s="235">
        <f>+L75+'TRIM 1'!O75</f>
        <v>2500</v>
      </c>
      <c r="P75" s="235">
        <f>+M75+'TRIM 1'!P75</f>
        <v>-400</v>
      </c>
    </row>
    <row r="76" spans="1:16" s="285" customFormat="1" ht="12.75">
      <c r="A76" s="282" t="str">
        <f>'2022 BUDGET'!A82</f>
        <v>Contributions Individuals</v>
      </c>
      <c r="B76" s="276">
        <v>85</v>
      </c>
      <c r="C76" s="235">
        <f>+'2022 BUDGET'!E82</f>
        <v>150</v>
      </c>
      <c r="D76" s="236">
        <f t="shared" si="17"/>
        <v>-65</v>
      </c>
      <c r="E76" s="276">
        <v>363.35</v>
      </c>
      <c r="F76" s="235">
        <f>+'2022 BUDGET'!F82</f>
        <v>150</v>
      </c>
      <c r="G76" s="236">
        <f t="shared" si="16"/>
        <v>213.35000000000002</v>
      </c>
      <c r="H76" s="276">
        <v>50</v>
      </c>
      <c r="I76" s="235">
        <f>+'2022 BUDGET'!G82</f>
        <v>150</v>
      </c>
      <c r="J76" s="236">
        <f t="shared" si="18"/>
        <v>-100</v>
      </c>
      <c r="K76" s="237">
        <f t="shared" si="19"/>
        <v>498.35</v>
      </c>
      <c r="L76" s="235">
        <f t="shared" si="19"/>
        <v>450</v>
      </c>
      <c r="M76" s="236">
        <f t="shared" si="20"/>
        <v>48.35000000000002</v>
      </c>
      <c r="N76" s="235">
        <f>+K76+'TRIM 1'!N76</f>
        <v>1503.85</v>
      </c>
      <c r="O76" s="235">
        <f>+L76+'TRIM 1'!O76</f>
        <v>900</v>
      </c>
      <c r="P76" s="235">
        <f>+M76+'TRIM 1'!P76</f>
        <v>603.85</v>
      </c>
    </row>
    <row r="77" spans="1:16" s="285" customFormat="1" ht="12.75">
      <c r="A77" s="282" t="str">
        <f>'2022 BUDGET'!A83</f>
        <v>Contributions Businesses</v>
      </c>
      <c r="B77" s="276">
        <v>25</v>
      </c>
      <c r="C77" s="235">
        <f>+'2022 BUDGET'!E83</f>
        <v>0</v>
      </c>
      <c r="D77" s="236">
        <f t="shared" si="17"/>
        <v>25</v>
      </c>
      <c r="E77" s="276">
        <v>387.5</v>
      </c>
      <c r="F77" s="235">
        <f>+'2022 BUDGET'!F83</f>
        <v>0</v>
      </c>
      <c r="G77" s="236">
        <f t="shared" si="16"/>
        <v>387.5</v>
      </c>
      <c r="H77" s="276">
        <v>625</v>
      </c>
      <c r="I77" s="235">
        <f>+'2022 BUDGET'!G83</f>
        <v>875</v>
      </c>
      <c r="J77" s="236">
        <f t="shared" si="18"/>
        <v>-250</v>
      </c>
      <c r="K77" s="237">
        <f t="shared" si="19"/>
        <v>1037.5</v>
      </c>
      <c r="L77" s="235">
        <f t="shared" si="19"/>
        <v>875</v>
      </c>
      <c r="M77" s="236">
        <f t="shared" si="20"/>
        <v>162.5</v>
      </c>
      <c r="N77" s="235">
        <f>+K77+'TRIM 1'!N77</f>
        <v>1687.5</v>
      </c>
      <c r="O77" s="235">
        <f>+L77+'TRIM 1'!O77</f>
        <v>875</v>
      </c>
      <c r="P77" s="235">
        <f>+M77+'TRIM 1'!P77</f>
        <v>812.5</v>
      </c>
    </row>
    <row r="78" spans="1:16" s="285" customFormat="1" ht="12.75">
      <c r="A78" s="282">
        <f>'2022 BUDGET'!A84</f>
        <v>0</v>
      </c>
      <c r="B78" s="276"/>
      <c r="C78" s="235">
        <f>+'2022 BUDGET'!E84</f>
        <v>0</v>
      </c>
      <c r="D78" s="236">
        <f t="shared" si="17"/>
        <v>0</v>
      </c>
      <c r="E78" s="276"/>
      <c r="F78" s="235">
        <f>+'2022 BUDGET'!F84</f>
        <v>0</v>
      </c>
      <c r="G78" s="236">
        <f t="shared" si="16"/>
        <v>0</v>
      </c>
      <c r="H78" s="276"/>
      <c r="I78" s="235">
        <f>+'2022 BUDGET'!G84</f>
        <v>0</v>
      </c>
      <c r="J78" s="236">
        <f t="shared" si="18"/>
        <v>0</v>
      </c>
      <c r="K78" s="237">
        <f t="shared" si="19"/>
        <v>0</v>
      </c>
      <c r="L78" s="235">
        <f t="shared" si="19"/>
        <v>0</v>
      </c>
      <c r="M78" s="236">
        <f t="shared" si="20"/>
        <v>0</v>
      </c>
      <c r="N78" s="235">
        <f>+K78+'TRIM 1'!N78</f>
        <v>0</v>
      </c>
      <c r="O78" s="235">
        <f>+L78+'TRIM 1'!O78</f>
        <v>0</v>
      </c>
      <c r="P78" s="235">
        <f>+M78+'TRIM 1'!P78</f>
        <v>0</v>
      </c>
    </row>
    <row r="79" spans="1:16" s="285" customFormat="1" ht="12.75">
      <c r="A79" s="282">
        <f>'2022 BUDGET'!A85</f>
        <v>0</v>
      </c>
      <c r="B79" s="276"/>
      <c r="C79" s="235">
        <f>+'2022 BUDGET'!E85</f>
        <v>0</v>
      </c>
      <c r="D79" s="236">
        <f t="shared" si="17"/>
        <v>0</v>
      </c>
      <c r="E79" s="276"/>
      <c r="F79" s="235">
        <f>+'2022 BUDGET'!F85</f>
        <v>0</v>
      </c>
      <c r="G79" s="236">
        <f t="shared" si="16"/>
        <v>0</v>
      </c>
      <c r="H79" s="276"/>
      <c r="I79" s="235">
        <f>+'2022 BUDGET'!G85</f>
        <v>0</v>
      </c>
      <c r="J79" s="236">
        <f t="shared" si="18"/>
        <v>0</v>
      </c>
      <c r="K79" s="237">
        <f aca="true" t="shared" si="23" ref="K79:L86">+B79+E79+H79</f>
        <v>0</v>
      </c>
      <c r="L79" s="235">
        <f t="shared" si="23"/>
        <v>0</v>
      </c>
      <c r="M79" s="236">
        <f t="shared" si="20"/>
        <v>0</v>
      </c>
      <c r="N79" s="235">
        <f>+K79+'TRIM 1'!N79</f>
        <v>0</v>
      </c>
      <c r="O79" s="235">
        <f>+L79+'TRIM 1'!O79</f>
        <v>0</v>
      </c>
      <c r="P79" s="235">
        <f>+M79+'TRIM 1'!P79</f>
        <v>0</v>
      </c>
    </row>
    <row r="80" spans="1:16" s="285" customFormat="1" ht="12.75">
      <c r="A80" s="282">
        <f>'2022 BUDGET'!A86</f>
        <v>0</v>
      </c>
      <c r="B80" s="276"/>
      <c r="C80" s="235">
        <f>+'2022 BUDGET'!E86</f>
        <v>0</v>
      </c>
      <c r="D80" s="236">
        <f t="shared" si="17"/>
        <v>0</v>
      </c>
      <c r="E80" s="276"/>
      <c r="F80" s="235">
        <f>+'2022 BUDGET'!F86</f>
        <v>0</v>
      </c>
      <c r="G80" s="236">
        <f t="shared" si="16"/>
        <v>0</v>
      </c>
      <c r="H80" s="276"/>
      <c r="I80" s="235">
        <f>+'2022 BUDGET'!G86</f>
        <v>0</v>
      </c>
      <c r="J80" s="236">
        <f t="shared" si="18"/>
        <v>0</v>
      </c>
      <c r="K80" s="237">
        <f t="shared" si="23"/>
        <v>0</v>
      </c>
      <c r="L80" s="235">
        <f t="shared" si="23"/>
        <v>0</v>
      </c>
      <c r="M80" s="236">
        <f t="shared" si="20"/>
        <v>0</v>
      </c>
      <c r="N80" s="235">
        <f>+K80+'TRIM 1'!N80</f>
        <v>0</v>
      </c>
      <c r="O80" s="235">
        <f>+L80+'TRIM 1'!O80</f>
        <v>0</v>
      </c>
      <c r="P80" s="235">
        <f>+M80+'TRIM 1'!P80</f>
        <v>0</v>
      </c>
    </row>
    <row r="81" spans="1:16" s="285" customFormat="1" ht="12.75">
      <c r="A81" s="282">
        <f>'2022 BUDGET'!A87</f>
        <v>0</v>
      </c>
      <c r="B81" s="276"/>
      <c r="C81" s="235">
        <f>+'2022 BUDGET'!E87</f>
        <v>0</v>
      </c>
      <c r="D81" s="236">
        <f t="shared" si="17"/>
        <v>0</v>
      </c>
      <c r="E81" s="276"/>
      <c r="F81" s="235">
        <f>+'2022 BUDGET'!F87</f>
        <v>0</v>
      </c>
      <c r="G81" s="236">
        <f t="shared" si="16"/>
        <v>0</v>
      </c>
      <c r="H81" s="276"/>
      <c r="I81" s="235">
        <f>+'2022 BUDGET'!G87</f>
        <v>0</v>
      </c>
      <c r="J81" s="236">
        <f t="shared" si="18"/>
        <v>0</v>
      </c>
      <c r="K81" s="237">
        <f t="shared" si="23"/>
        <v>0</v>
      </c>
      <c r="L81" s="235">
        <f t="shared" si="23"/>
        <v>0</v>
      </c>
      <c r="M81" s="236">
        <f t="shared" si="20"/>
        <v>0</v>
      </c>
      <c r="N81" s="235">
        <f>+K81+'TRIM 1'!N81</f>
        <v>0</v>
      </c>
      <c r="O81" s="235">
        <f>+L81+'TRIM 1'!O81</f>
        <v>0</v>
      </c>
      <c r="P81" s="235">
        <f>+M81+'TRIM 1'!P81</f>
        <v>0</v>
      </c>
    </row>
    <row r="82" spans="1:16" s="285" customFormat="1" ht="12.75">
      <c r="A82" s="282">
        <f>'2022 BUDGET'!A88</f>
        <v>0</v>
      </c>
      <c r="B82" s="276"/>
      <c r="C82" s="235">
        <f>+'2022 BUDGET'!E88</f>
        <v>0</v>
      </c>
      <c r="D82" s="236">
        <f t="shared" si="17"/>
        <v>0</v>
      </c>
      <c r="E82" s="276"/>
      <c r="F82" s="235">
        <f>+'2022 BUDGET'!F88</f>
        <v>0</v>
      </c>
      <c r="G82" s="236">
        <f t="shared" si="16"/>
        <v>0</v>
      </c>
      <c r="H82" s="276"/>
      <c r="I82" s="235">
        <f>+'2022 BUDGET'!G88</f>
        <v>0</v>
      </c>
      <c r="J82" s="236">
        <f t="shared" si="18"/>
        <v>0</v>
      </c>
      <c r="K82" s="237">
        <f t="shared" si="23"/>
        <v>0</v>
      </c>
      <c r="L82" s="235">
        <f t="shared" si="23"/>
        <v>0</v>
      </c>
      <c r="M82" s="236">
        <f t="shared" si="20"/>
        <v>0</v>
      </c>
      <c r="N82" s="235">
        <f>+K82+'TRIM 1'!N82</f>
        <v>0</v>
      </c>
      <c r="O82" s="235">
        <f>+L82+'TRIM 1'!O82</f>
        <v>0</v>
      </c>
      <c r="P82" s="235">
        <f>+M82+'TRIM 1'!P82</f>
        <v>0</v>
      </c>
    </row>
    <row r="83" spans="1:16" s="285" customFormat="1" ht="12.75">
      <c r="A83" s="282">
        <f>'2022 BUDGET'!A89</f>
        <v>0</v>
      </c>
      <c r="B83" s="276"/>
      <c r="C83" s="235">
        <f>+'2022 BUDGET'!E89</f>
        <v>0</v>
      </c>
      <c r="D83" s="236">
        <f t="shared" si="17"/>
        <v>0</v>
      </c>
      <c r="E83" s="276"/>
      <c r="F83" s="235">
        <f>+'2022 BUDGET'!F89</f>
        <v>0</v>
      </c>
      <c r="G83" s="236">
        <f t="shared" si="16"/>
        <v>0</v>
      </c>
      <c r="H83" s="276"/>
      <c r="I83" s="235">
        <f>+'2022 BUDGET'!G89</f>
        <v>0</v>
      </c>
      <c r="J83" s="236">
        <f t="shared" si="18"/>
        <v>0</v>
      </c>
      <c r="K83" s="237">
        <f t="shared" si="23"/>
        <v>0</v>
      </c>
      <c r="L83" s="235">
        <f t="shared" si="23"/>
        <v>0</v>
      </c>
      <c r="M83" s="236">
        <f t="shared" si="20"/>
        <v>0</v>
      </c>
      <c r="N83" s="235">
        <f>+K83+'TRIM 1'!N83</f>
        <v>0</v>
      </c>
      <c r="O83" s="235">
        <f>+L83+'TRIM 1'!O83</f>
        <v>0</v>
      </c>
      <c r="P83" s="235">
        <f>+M83+'TRIM 1'!P83</f>
        <v>0</v>
      </c>
    </row>
    <row r="84" spans="1:16" s="285" customFormat="1" ht="12.75">
      <c r="A84" s="282">
        <f>'2022 BUDGET'!A90</f>
        <v>0</v>
      </c>
      <c r="B84" s="276"/>
      <c r="C84" s="235">
        <f>+'2022 BUDGET'!E90</f>
        <v>0</v>
      </c>
      <c r="D84" s="236">
        <f t="shared" si="17"/>
        <v>0</v>
      </c>
      <c r="E84" s="276"/>
      <c r="F84" s="235">
        <f>+'2022 BUDGET'!F90</f>
        <v>0</v>
      </c>
      <c r="G84" s="236">
        <f t="shared" si="16"/>
        <v>0</v>
      </c>
      <c r="H84" s="276"/>
      <c r="I84" s="235">
        <f>+'2022 BUDGET'!G90</f>
        <v>0</v>
      </c>
      <c r="J84" s="236">
        <f t="shared" si="18"/>
        <v>0</v>
      </c>
      <c r="K84" s="237">
        <f t="shared" si="23"/>
        <v>0</v>
      </c>
      <c r="L84" s="235">
        <f t="shared" si="23"/>
        <v>0</v>
      </c>
      <c r="M84" s="236">
        <f t="shared" si="20"/>
        <v>0</v>
      </c>
      <c r="N84" s="235">
        <f>+K84+'TRIM 1'!N84</f>
        <v>0</v>
      </c>
      <c r="O84" s="235">
        <f>+L84+'TRIM 1'!O84</f>
        <v>0</v>
      </c>
      <c r="P84" s="235">
        <f>+M84+'TRIM 1'!P84</f>
        <v>0</v>
      </c>
    </row>
    <row r="85" spans="1:16" s="285" customFormat="1" ht="12.75">
      <c r="A85" s="282">
        <f>'2022 BUDGET'!A91</f>
        <v>0</v>
      </c>
      <c r="B85" s="276"/>
      <c r="C85" s="235">
        <f>+'2022 BUDGET'!E91</f>
        <v>0</v>
      </c>
      <c r="D85" s="236">
        <f t="shared" si="17"/>
        <v>0</v>
      </c>
      <c r="E85" s="276"/>
      <c r="F85" s="235">
        <f>+'2022 BUDGET'!F91</f>
        <v>0</v>
      </c>
      <c r="G85" s="236">
        <f t="shared" si="16"/>
        <v>0</v>
      </c>
      <c r="H85" s="276"/>
      <c r="I85" s="235">
        <f>+'2022 BUDGET'!G91</f>
        <v>0</v>
      </c>
      <c r="J85" s="236">
        <f t="shared" si="18"/>
        <v>0</v>
      </c>
      <c r="K85" s="237">
        <f t="shared" si="23"/>
        <v>0</v>
      </c>
      <c r="L85" s="235">
        <f t="shared" si="23"/>
        <v>0</v>
      </c>
      <c r="M85" s="236">
        <f t="shared" si="20"/>
        <v>0</v>
      </c>
      <c r="N85" s="235">
        <f>+K85+'TRIM 1'!N85</f>
        <v>0</v>
      </c>
      <c r="O85" s="235">
        <f>+L85+'TRIM 1'!O85</f>
        <v>0</v>
      </c>
      <c r="P85" s="235">
        <f>+M85+'TRIM 1'!P85</f>
        <v>0</v>
      </c>
    </row>
    <row r="86" spans="1:16" s="285" customFormat="1" ht="12.75">
      <c r="A86" s="282">
        <f>'2022 BUDGET'!A92</f>
        <v>0</v>
      </c>
      <c r="B86" s="276"/>
      <c r="C86" s="235">
        <f>+'2022 BUDGET'!E92</f>
        <v>0</v>
      </c>
      <c r="D86" s="236">
        <f t="shared" si="17"/>
        <v>0</v>
      </c>
      <c r="E86" s="276"/>
      <c r="F86" s="235">
        <f>+'2022 BUDGET'!F92</f>
        <v>0</v>
      </c>
      <c r="G86" s="236">
        <f t="shared" si="16"/>
        <v>0</v>
      </c>
      <c r="H86" s="276"/>
      <c r="I86" s="235">
        <f>+'2022 BUDGET'!G92</f>
        <v>0</v>
      </c>
      <c r="J86" s="236">
        <f t="shared" si="18"/>
        <v>0</v>
      </c>
      <c r="K86" s="237">
        <f t="shared" si="23"/>
        <v>0</v>
      </c>
      <c r="L86" s="235">
        <f t="shared" si="23"/>
        <v>0</v>
      </c>
      <c r="M86" s="236">
        <f t="shared" si="20"/>
        <v>0</v>
      </c>
      <c r="N86" s="235">
        <f>+K86+'TRIM 1'!N86</f>
        <v>0</v>
      </c>
      <c r="O86" s="235">
        <f>+L86+'TRIM 1'!O86</f>
        <v>0</v>
      </c>
      <c r="P86" s="235">
        <f>+M86+'TRIM 1'!P86</f>
        <v>0</v>
      </c>
    </row>
    <row r="87" spans="1:16" s="285" customFormat="1" ht="12.75">
      <c r="A87" s="286" t="str">
        <f>'2022 BUDGET'!A93</f>
        <v>TOTAL OTHER INCOME</v>
      </c>
      <c r="B87" s="284">
        <f aca="true" t="shared" si="24" ref="B87:P87">SUM(B68:B86)</f>
        <v>110</v>
      </c>
      <c r="C87" s="284">
        <f t="shared" si="24"/>
        <v>413</v>
      </c>
      <c r="D87" s="284">
        <f t="shared" si="24"/>
        <v>-303</v>
      </c>
      <c r="E87" s="284">
        <f t="shared" si="24"/>
        <v>750.85</v>
      </c>
      <c r="F87" s="284">
        <f t="shared" si="24"/>
        <v>412</v>
      </c>
      <c r="G87" s="284">
        <f t="shared" si="24"/>
        <v>338.85</v>
      </c>
      <c r="H87" s="284">
        <f t="shared" si="24"/>
        <v>675</v>
      </c>
      <c r="I87" s="284">
        <f t="shared" si="24"/>
        <v>3788</v>
      </c>
      <c r="J87" s="284">
        <f t="shared" si="24"/>
        <v>-3113</v>
      </c>
      <c r="K87" s="284">
        <f t="shared" si="24"/>
        <v>1535.85</v>
      </c>
      <c r="L87" s="284">
        <f t="shared" si="24"/>
        <v>4613</v>
      </c>
      <c r="M87" s="284">
        <f t="shared" si="24"/>
        <v>-3077.15</v>
      </c>
      <c r="N87" s="284">
        <f t="shared" si="24"/>
        <v>5291.35</v>
      </c>
      <c r="O87" s="284">
        <f t="shared" si="24"/>
        <v>5325</v>
      </c>
      <c r="P87" s="284">
        <f t="shared" si="24"/>
        <v>-33.64999999999998</v>
      </c>
    </row>
    <row r="88" spans="1:16" s="285" customFormat="1" ht="12.75">
      <c r="A88" s="281">
        <f>'2022 BUDGET'!A94</f>
        <v>0</v>
      </c>
      <c r="B88" s="287"/>
      <c r="C88" s="248"/>
      <c r="D88" s="249"/>
      <c r="E88" s="287"/>
      <c r="F88" s="248"/>
      <c r="G88" s="249"/>
      <c r="H88" s="287"/>
      <c r="I88" s="248"/>
      <c r="J88" s="249"/>
      <c r="K88" s="250"/>
      <c r="L88" s="248"/>
      <c r="M88" s="249"/>
      <c r="N88" s="250"/>
      <c r="O88" s="248"/>
      <c r="P88" s="251"/>
    </row>
    <row r="89" spans="1:16" s="285" customFormat="1" ht="12.75">
      <c r="A89" s="286" t="str">
        <f>'2022 BUDGET'!A95</f>
        <v>TOTAL INCOME</v>
      </c>
      <c r="B89" s="269">
        <f aca="true" t="shared" si="25" ref="B89:P89">B87+B67+B62</f>
        <v>110</v>
      </c>
      <c r="C89" s="269">
        <f t="shared" si="25"/>
        <v>10413</v>
      </c>
      <c r="D89" s="269">
        <f t="shared" si="25"/>
        <v>-10303</v>
      </c>
      <c r="E89" s="269">
        <f t="shared" si="25"/>
        <v>750.85</v>
      </c>
      <c r="F89" s="269">
        <f t="shared" si="25"/>
        <v>412</v>
      </c>
      <c r="G89" s="269">
        <f t="shared" si="25"/>
        <v>338.85</v>
      </c>
      <c r="H89" s="269">
        <f t="shared" si="25"/>
        <v>675</v>
      </c>
      <c r="I89" s="269">
        <f t="shared" si="25"/>
        <v>3788</v>
      </c>
      <c r="J89" s="269">
        <f t="shared" si="25"/>
        <v>-3113</v>
      </c>
      <c r="K89" s="269">
        <f t="shared" si="25"/>
        <v>1535.85</v>
      </c>
      <c r="L89" s="269">
        <f t="shared" si="25"/>
        <v>14613</v>
      </c>
      <c r="M89" s="269">
        <f t="shared" si="25"/>
        <v>-13077.15</v>
      </c>
      <c r="N89" s="269">
        <f t="shared" si="25"/>
        <v>15291.35</v>
      </c>
      <c r="O89" s="269">
        <f t="shared" si="25"/>
        <v>25325</v>
      </c>
      <c r="P89" s="269">
        <f t="shared" si="25"/>
        <v>-10033.65</v>
      </c>
    </row>
    <row r="90" spans="1:16" s="285" customFormat="1" ht="13.5" thickBot="1">
      <c r="A90" s="282">
        <f>'2022 BUDGET'!A96</f>
        <v>0</v>
      </c>
      <c r="B90" s="288"/>
      <c r="C90" s="235"/>
      <c r="D90" s="236"/>
      <c r="E90" s="288"/>
      <c r="F90" s="235"/>
      <c r="G90" s="236"/>
      <c r="H90" s="288"/>
      <c r="I90" s="235"/>
      <c r="J90" s="236"/>
      <c r="K90" s="237"/>
      <c r="L90" s="235"/>
      <c r="M90" s="236"/>
      <c r="N90" s="237"/>
      <c r="O90" s="235"/>
      <c r="P90" s="238"/>
    </row>
    <row r="91" spans="1:16" ht="14.25" thickBot="1" thickTop="1">
      <c r="A91" s="289" t="s">
        <v>43</v>
      </c>
      <c r="B91" s="290">
        <f aca="true" t="shared" si="26" ref="B91:P91">B89-B58</f>
        <v>-310.8200000000001</v>
      </c>
      <c r="C91" s="290">
        <f t="shared" si="26"/>
        <v>5433.33</v>
      </c>
      <c r="D91" s="290">
        <f t="shared" si="26"/>
        <v>-5744.15</v>
      </c>
      <c r="E91" s="290">
        <f t="shared" si="26"/>
        <v>-989.7600000000001</v>
      </c>
      <c r="F91" s="290">
        <f t="shared" si="26"/>
        <v>-4266.68</v>
      </c>
      <c r="G91" s="290">
        <f t="shared" si="26"/>
        <v>3276.9199999999996</v>
      </c>
      <c r="H91" s="290">
        <f t="shared" si="26"/>
        <v>-451.52</v>
      </c>
      <c r="I91" s="290">
        <f t="shared" si="26"/>
        <v>-904.1700000000001</v>
      </c>
      <c r="J91" s="290">
        <f t="shared" si="26"/>
        <v>452.65000000000055</v>
      </c>
      <c r="K91" s="290">
        <f t="shared" si="26"/>
        <v>-1752.1000000000004</v>
      </c>
      <c r="L91" s="290">
        <f t="shared" si="26"/>
        <v>262.4800000000014</v>
      </c>
      <c r="M91" s="290">
        <f t="shared" si="26"/>
        <v>-2014.579999999998</v>
      </c>
      <c r="N91" s="290">
        <f t="shared" si="26"/>
        <v>9087.75</v>
      </c>
      <c r="O91" s="290">
        <f t="shared" si="26"/>
        <v>-5096.610000000001</v>
      </c>
      <c r="P91" s="290">
        <f t="shared" si="26"/>
        <v>14184.360000000002</v>
      </c>
    </row>
    <row r="92" spans="2:16" s="291" customFormat="1" ht="13.5" thickTop="1">
      <c r="B92" s="244"/>
      <c r="C92" s="245"/>
      <c r="D92" s="246"/>
      <c r="E92" s="244"/>
      <c r="F92" s="245"/>
      <c r="G92" s="246"/>
      <c r="H92" s="244"/>
      <c r="I92" s="245"/>
      <c r="J92" s="246"/>
      <c r="K92" s="250"/>
      <c r="L92" s="248"/>
      <c r="M92" s="249"/>
      <c r="N92" s="250"/>
      <c r="O92" s="248"/>
      <c r="P92" s="251"/>
    </row>
    <row r="93" spans="1:16" s="291" customFormat="1" ht="12.75">
      <c r="A93" s="292" t="s">
        <v>133</v>
      </c>
      <c r="B93" s="244"/>
      <c r="C93" s="245"/>
      <c r="D93" s="246"/>
      <c r="E93" s="244"/>
      <c r="F93" s="245"/>
      <c r="G93" s="246"/>
      <c r="H93" s="244"/>
      <c r="I93" s="245"/>
      <c r="J93" s="246"/>
      <c r="K93" s="250"/>
      <c r="L93" s="248"/>
      <c r="M93" s="249"/>
      <c r="N93" s="250"/>
      <c r="O93" s="248"/>
      <c r="P93" s="251"/>
    </row>
    <row r="94" spans="1:16" ht="12.75">
      <c r="A94" s="219"/>
      <c r="B94" s="293" t="str">
        <f aca="true" t="shared" si="27" ref="B94:P94">+B8</f>
        <v>ACTUALS</v>
      </c>
      <c r="C94" s="294" t="str">
        <f t="shared" si="27"/>
        <v>BUDGET</v>
      </c>
      <c r="D94" s="295" t="str">
        <f t="shared" si="27"/>
        <v>DIFF.</v>
      </c>
      <c r="E94" s="293" t="str">
        <f t="shared" si="27"/>
        <v>ACTUALS</v>
      </c>
      <c r="F94" s="294" t="str">
        <f t="shared" si="27"/>
        <v>BUDGET</v>
      </c>
      <c r="G94" s="295" t="str">
        <f t="shared" si="27"/>
        <v>DIFF.</v>
      </c>
      <c r="H94" s="293" t="str">
        <f t="shared" si="27"/>
        <v>ACTUALS</v>
      </c>
      <c r="I94" s="294" t="str">
        <f t="shared" si="27"/>
        <v>BUDGET</v>
      </c>
      <c r="J94" s="295" t="str">
        <f t="shared" si="27"/>
        <v>DIFF.</v>
      </c>
      <c r="K94" s="296" t="str">
        <f t="shared" si="27"/>
        <v>ACTUALS</v>
      </c>
      <c r="L94" s="294" t="str">
        <f t="shared" si="27"/>
        <v>BUDGET</v>
      </c>
      <c r="M94" s="295" t="str">
        <f t="shared" si="27"/>
        <v>DIFF.</v>
      </c>
      <c r="N94" s="296" t="str">
        <f t="shared" si="27"/>
        <v>ACTUALS</v>
      </c>
      <c r="O94" s="294" t="str">
        <f t="shared" si="27"/>
        <v>BUDGET</v>
      </c>
      <c r="P94" s="297" t="str">
        <f t="shared" si="27"/>
        <v>DIFF.</v>
      </c>
    </row>
    <row r="95" spans="1:16" ht="19.5" customHeight="1">
      <c r="A95" s="259" t="s">
        <v>166</v>
      </c>
      <c r="B95" s="298">
        <f>B42</f>
        <v>-198.48999999999995</v>
      </c>
      <c r="C95" s="298">
        <f>C42</f>
        <v>651</v>
      </c>
      <c r="D95" s="299">
        <f>+B95-C95</f>
        <v>-849.49</v>
      </c>
      <c r="E95" s="298">
        <f>E42</f>
        <v>514.47</v>
      </c>
      <c r="F95" s="298">
        <f>F42</f>
        <v>350</v>
      </c>
      <c r="G95" s="299">
        <f>+E95-F95</f>
        <v>164.47000000000003</v>
      </c>
      <c r="H95" s="298">
        <f>H42</f>
        <v>497.9100000000001</v>
      </c>
      <c r="I95" s="298">
        <f>I42</f>
        <v>363.5</v>
      </c>
      <c r="J95" s="299">
        <f>+H95-I95</f>
        <v>134.41000000000008</v>
      </c>
      <c r="K95" s="298">
        <f>+B95+E95+H95</f>
        <v>813.8900000000001</v>
      </c>
      <c r="L95" s="298">
        <f>+C95+F95+I95</f>
        <v>1364.5</v>
      </c>
      <c r="M95" s="299">
        <f>D95+G95+J95</f>
        <v>-550.6099999999999</v>
      </c>
      <c r="N95" s="298">
        <f>+K95+'TRIM 1'!N95</f>
        <v>1186.0700000000002</v>
      </c>
      <c r="O95" s="298">
        <f>+L95+'TRIM 1'!O95</f>
        <v>2728</v>
      </c>
      <c r="P95" s="298">
        <f>+M95+'TRIM 1'!P95</f>
        <v>-1541.9299999999998</v>
      </c>
    </row>
    <row r="96" spans="1:16" ht="19.5" customHeight="1">
      <c r="A96" s="259" t="s">
        <v>182</v>
      </c>
      <c r="B96" s="301">
        <f>B56</f>
        <v>619.3100000000001</v>
      </c>
      <c r="C96" s="301">
        <f>C56</f>
        <v>4328.67</v>
      </c>
      <c r="D96" s="236">
        <f>+B96-C96</f>
        <v>-3709.36</v>
      </c>
      <c r="E96" s="301">
        <f>SUM(E56)</f>
        <v>1226.14</v>
      </c>
      <c r="F96" s="301">
        <f>SUM(F56)</f>
        <v>4328.68</v>
      </c>
      <c r="G96" s="236">
        <f>+E96-F96</f>
        <v>-3102.54</v>
      </c>
      <c r="H96" s="301">
        <f>SUM(H56)</f>
        <v>628.61</v>
      </c>
      <c r="I96" s="301">
        <f>SUM(I56)</f>
        <v>4328.67</v>
      </c>
      <c r="J96" s="236">
        <f>+H96-I96</f>
        <v>-3700.06</v>
      </c>
      <c r="K96" s="301">
        <f>+B96+E96+H96</f>
        <v>2474.0600000000004</v>
      </c>
      <c r="L96" s="301">
        <f>+C96+F96+I96</f>
        <v>12986.02</v>
      </c>
      <c r="M96" s="236">
        <f>D96+G96+J96</f>
        <v>-10511.96</v>
      </c>
      <c r="N96" s="298">
        <f>+K96+'TRIM 1'!N96</f>
        <v>5017.530000000001</v>
      </c>
      <c r="O96" s="298">
        <f>+L96+'TRIM 1'!O96</f>
        <v>27693.61</v>
      </c>
      <c r="P96" s="298">
        <f>+M96+'TRIM 1'!P96</f>
        <v>-22676.08</v>
      </c>
    </row>
    <row r="97" spans="1:16" ht="19.5" customHeight="1">
      <c r="A97" s="302" t="s">
        <v>183</v>
      </c>
      <c r="B97" s="301">
        <f>B95+B96</f>
        <v>420.8200000000001</v>
      </c>
      <c r="C97" s="301">
        <f aca="true" t="shared" si="28" ref="C97:M97">C95+C96</f>
        <v>4979.67</v>
      </c>
      <c r="D97" s="301">
        <f t="shared" si="28"/>
        <v>-4558.85</v>
      </c>
      <c r="E97" s="301">
        <f t="shared" si="28"/>
        <v>1740.6100000000001</v>
      </c>
      <c r="F97" s="301">
        <f t="shared" si="28"/>
        <v>4678.68</v>
      </c>
      <c r="G97" s="301">
        <f t="shared" si="28"/>
        <v>-2938.0699999999997</v>
      </c>
      <c r="H97" s="301">
        <f t="shared" si="28"/>
        <v>1126.52</v>
      </c>
      <c r="I97" s="301">
        <f t="shared" si="28"/>
        <v>4692.17</v>
      </c>
      <c r="J97" s="301">
        <f t="shared" si="28"/>
        <v>-3565.6499999999996</v>
      </c>
      <c r="K97" s="301">
        <f t="shared" si="28"/>
        <v>3287.9500000000007</v>
      </c>
      <c r="L97" s="301">
        <f t="shared" si="28"/>
        <v>14350.52</v>
      </c>
      <c r="M97" s="301">
        <f t="shared" si="28"/>
        <v>-11062.57</v>
      </c>
      <c r="N97" s="298">
        <f>+K97+'TRIM 1'!N97</f>
        <v>6203.600000000001</v>
      </c>
      <c r="O97" s="298">
        <f>+L97+'TRIM 1'!O97</f>
        <v>30421.61</v>
      </c>
      <c r="P97" s="298">
        <f>+M97+'TRIM 1'!P97</f>
        <v>-24218.010000000002</v>
      </c>
    </row>
    <row r="98" spans="1:16" ht="19.5" customHeight="1">
      <c r="A98" s="303" t="s">
        <v>218</v>
      </c>
      <c r="B98" s="238">
        <f aca="true" t="shared" si="29" ref="B98:M98">B67</f>
        <v>0</v>
      </c>
      <c r="C98" s="237">
        <f t="shared" si="29"/>
        <v>10000</v>
      </c>
      <c r="D98" s="237">
        <f t="shared" si="29"/>
        <v>-10000</v>
      </c>
      <c r="E98" s="237">
        <f t="shared" si="29"/>
        <v>0</v>
      </c>
      <c r="F98" s="237">
        <f t="shared" si="29"/>
        <v>0</v>
      </c>
      <c r="G98" s="237">
        <f t="shared" si="29"/>
        <v>0</v>
      </c>
      <c r="H98" s="237">
        <f t="shared" si="29"/>
        <v>0</v>
      </c>
      <c r="I98" s="237">
        <f t="shared" si="29"/>
        <v>0</v>
      </c>
      <c r="J98" s="301">
        <f t="shared" si="29"/>
        <v>0</v>
      </c>
      <c r="K98" s="238">
        <f t="shared" si="29"/>
        <v>0</v>
      </c>
      <c r="L98" s="237">
        <f t="shared" si="29"/>
        <v>10000</v>
      </c>
      <c r="M98" s="237">
        <f t="shared" si="29"/>
        <v>-10000</v>
      </c>
      <c r="N98" s="298">
        <f>+K98+'TRIM 1'!N98</f>
        <v>10000</v>
      </c>
      <c r="O98" s="298">
        <f>+L98+'TRIM 1'!O98</f>
        <v>20000</v>
      </c>
      <c r="P98" s="298">
        <f>+M98+'TRIM 1'!P98</f>
        <v>-10000</v>
      </c>
    </row>
    <row r="99" spans="1:16" ht="19.5" customHeight="1">
      <c r="A99" s="304" t="s">
        <v>204</v>
      </c>
      <c r="B99" s="237">
        <f>B87</f>
        <v>110</v>
      </c>
      <c r="C99" s="237">
        <f aca="true" t="shared" si="30" ref="C99:M99">C87</f>
        <v>413</v>
      </c>
      <c r="D99" s="237">
        <f t="shared" si="30"/>
        <v>-303</v>
      </c>
      <c r="E99" s="237">
        <f t="shared" si="30"/>
        <v>750.85</v>
      </c>
      <c r="F99" s="237">
        <f t="shared" si="30"/>
        <v>412</v>
      </c>
      <c r="G99" s="237">
        <f t="shared" si="30"/>
        <v>338.85</v>
      </c>
      <c r="H99" s="237">
        <f t="shared" si="30"/>
        <v>675</v>
      </c>
      <c r="I99" s="237">
        <f t="shared" si="30"/>
        <v>3788</v>
      </c>
      <c r="J99" s="237">
        <f t="shared" si="30"/>
        <v>-3113</v>
      </c>
      <c r="K99" s="237">
        <f t="shared" si="30"/>
        <v>1535.85</v>
      </c>
      <c r="L99" s="237">
        <f t="shared" si="30"/>
        <v>4613</v>
      </c>
      <c r="M99" s="237">
        <f t="shared" si="30"/>
        <v>-3077.15</v>
      </c>
      <c r="N99" s="298">
        <f>+K99+'TRIM 1'!N99</f>
        <v>5291.35</v>
      </c>
      <c r="O99" s="298">
        <f>+L99+'TRIM 1'!O99</f>
        <v>5325</v>
      </c>
      <c r="P99" s="298">
        <f>+M99+'TRIM 1'!P99</f>
        <v>-33.65000000000009</v>
      </c>
    </row>
    <row r="100" spans="1:16" ht="19.5" customHeight="1" thickBot="1">
      <c r="A100" s="305" t="s">
        <v>132</v>
      </c>
      <c r="B100" s="237">
        <f aca="true" t="shared" si="31" ref="B100:M100">B99+B98+B62</f>
        <v>110</v>
      </c>
      <c r="C100" s="237">
        <f t="shared" si="31"/>
        <v>10413</v>
      </c>
      <c r="D100" s="237">
        <f t="shared" si="31"/>
        <v>-10303</v>
      </c>
      <c r="E100" s="237">
        <f t="shared" si="31"/>
        <v>750.85</v>
      </c>
      <c r="F100" s="237">
        <f t="shared" si="31"/>
        <v>412</v>
      </c>
      <c r="G100" s="237">
        <f t="shared" si="31"/>
        <v>338.85</v>
      </c>
      <c r="H100" s="237">
        <f t="shared" si="31"/>
        <v>675</v>
      </c>
      <c r="I100" s="237">
        <f t="shared" si="31"/>
        <v>3788</v>
      </c>
      <c r="J100" s="237">
        <f t="shared" si="31"/>
        <v>-3113</v>
      </c>
      <c r="K100" s="237">
        <f t="shared" si="31"/>
        <v>1535.85</v>
      </c>
      <c r="L100" s="237">
        <f t="shared" si="31"/>
        <v>14613</v>
      </c>
      <c r="M100" s="237">
        <f t="shared" si="31"/>
        <v>-13077.15</v>
      </c>
      <c r="N100" s="298">
        <f>+K100+'TRIM 1'!N100</f>
        <v>15291.35</v>
      </c>
      <c r="O100" s="298">
        <f>+L100+'TRIM 1'!O100</f>
        <v>25325</v>
      </c>
      <c r="P100" s="298">
        <f>+M100+'TRIM 1'!P100</f>
        <v>-10033.65</v>
      </c>
    </row>
    <row r="101" spans="1:16" ht="14.25" customHeight="1" thickBot="1">
      <c r="A101" s="306" t="s">
        <v>46</v>
      </c>
      <c r="B101" s="307">
        <f>B100-B97</f>
        <v>-310.8200000000001</v>
      </c>
      <c r="C101" s="307">
        <f aca="true" t="shared" si="32" ref="C101:P101">C100-C97</f>
        <v>5433.33</v>
      </c>
      <c r="D101" s="307">
        <f t="shared" si="32"/>
        <v>-5744.15</v>
      </c>
      <c r="E101" s="307">
        <f t="shared" si="32"/>
        <v>-989.7600000000001</v>
      </c>
      <c r="F101" s="307">
        <f t="shared" si="32"/>
        <v>-4266.68</v>
      </c>
      <c r="G101" s="307">
        <f t="shared" si="32"/>
        <v>3276.9199999999996</v>
      </c>
      <c r="H101" s="307">
        <f t="shared" si="32"/>
        <v>-451.52</v>
      </c>
      <c r="I101" s="307">
        <f t="shared" si="32"/>
        <v>-904.1700000000001</v>
      </c>
      <c r="J101" s="307">
        <f t="shared" si="32"/>
        <v>452.64999999999964</v>
      </c>
      <c r="K101" s="307">
        <f t="shared" si="32"/>
        <v>-1752.1000000000008</v>
      </c>
      <c r="L101" s="307">
        <f t="shared" si="32"/>
        <v>262.47999999999956</v>
      </c>
      <c r="M101" s="307">
        <f t="shared" si="32"/>
        <v>-2014.58</v>
      </c>
      <c r="N101" s="307">
        <f t="shared" si="32"/>
        <v>9087.75</v>
      </c>
      <c r="O101" s="307">
        <f t="shared" si="32"/>
        <v>-5096.610000000001</v>
      </c>
      <c r="P101" s="307">
        <f t="shared" si="32"/>
        <v>14184.360000000002</v>
      </c>
    </row>
    <row r="102" ht="12.75">
      <c r="A102" s="308"/>
    </row>
    <row r="103" ht="12.75">
      <c r="A103" s="308"/>
    </row>
    <row r="104" spans="1:16" ht="12.75">
      <c r="A104" s="309" t="s">
        <v>195</v>
      </c>
      <c r="B104" s="310" t="s">
        <v>119</v>
      </c>
      <c r="C104" s="310" t="s">
        <v>196</v>
      </c>
      <c r="D104" s="311" t="s">
        <v>197</v>
      </c>
      <c r="E104" s="310" t="s">
        <v>119</v>
      </c>
      <c r="F104" s="310" t="s">
        <v>196</v>
      </c>
      <c r="G104" s="311" t="s">
        <v>197</v>
      </c>
      <c r="H104" s="310" t="s">
        <v>119</v>
      </c>
      <c r="I104" s="310" t="s">
        <v>196</v>
      </c>
      <c r="J104" s="311" t="s">
        <v>197</v>
      </c>
      <c r="K104" s="310" t="s">
        <v>119</v>
      </c>
      <c r="L104" s="310" t="s">
        <v>196</v>
      </c>
      <c r="M104" s="311" t="s">
        <v>197</v>
      </c>
      <c r="N104" s="310" t="s">
        <v>119</v>
      </c>
      <c r="O104" s="310" t="s">
        <v>196</v>
      </c>
      <c r="P104" s="312" t="s">
        <v>197</v>
      </c>
    </row>
    <row r="105" spans="1:16" ht="12.75">
      <c r="A105" s="313" t="s">
        <v>198</v>
      </c>
      <c r="B105" s="314">
        <f>'TRIM 1'!N112</f>
        <v>10839.849999999999</v>
      </c>
      <c r="C105" s="314">
        <f>'TRIM 1'!O112</f>
        <v>10839.849999999999</v>
      </c>
      <c r="D105" s="314">
        <f>'TRIM 1'!P112</f>
        <v>0</v>
      </c>
      <c r="E105" s="315">
        <f>+B112</f>
        <v>10529.029999999999</v>
      </c>
      <c r="F105" s="315">
        <f>+E105-G105</f>
        <v>10529.029999999999</v>
      </c>
      <c r="G105" s="315">
        <f>+D112</f>
        <v>0</v>
      </c>
      <c r="H105" s="315">
        <f>+E112</f>
        <v>9539.269999999999</v>
      </c>
      <c r="I105" s="315">
        <f>+F112</f>
        <v>9539.269999999999</v>
      </c>
      <c r="J105" s="315">
        <f>+G112</f>
        <v>0</v>
      </c>
      <c r="K105" s="315">
        <f>+B105</f>
        <v>10839.849999999999</v>
      </c>
      <c r="L105" s="315">
        <f>+C105</f>
        <v>10839.849999999999</v>
      </c>
      <c r="M105" s="315">
        <f>+D105</f>
        <v>0</v>
      </c>
      <c r="N105" s="315">
        <f>'TRIM 1'!B105</f>
        <v>0</v>
      </c>
      <c r="O105" s="315">
        <f>'TRIM 1'!C105</f>
        <v>0</v>
      </c>
      <c r="P105" s="315">
        <f>'TRIM 1'!D105</f>
        <v>0</v>
      </c>
    </row>
    <row r="106" spans="1:16" ht="12.75">
      <c r="A106" s="313" t="s">
        <v>199</v>
      </c>
      <c r="B106" s="315">
        <f>B89</f>
        <v>110</v>
      </c>
      <c r="C106" s="315">
        <f>+B106-D106</f>
        <v>110</v>
      </c>
      <c r="D106" s="316"/>
      <c r="E106" s="315">
        <f>E89</f>
        <v>750.85</v>
      </c>
      <c r="F106" s="315">
        <f>+E106-G106</f>
        <v>750.85</v>
      </c>
      <c r="G106" s="316"/>
      <c r="H106" s="315">
        <f>H89</f>
        <v>675</v>
      </c>
      <c r="I106" s="317">
        <f>H106-J106</f>
        <v>675</v>
      </c>
      <c r="J106" s="316"/>
      <c r="K106" s="315">
        <f>K89</f>
        <v>1535.85</v>
      </c>
      <c r="L106" s="315">
        <f>+K106-M106</f>
        <v>1535.85</v>
      </c>
      <c r="M106" s="318">
        <f>+D106+G106+J106</f>
        <v>0</v>
      </c>
      <c r="N106" s="315">
        <f>+K106+'TRIM 1'!N106</f>
        <v>15291.35</v>
      </c>
      <c r="O106" s="315">
        <f>+L106+'TRIM 1'!O106</f>
        <v>15291.35</v>
      </c>
      <c r="P106" s="315">
        <f>+M106+'TRIM 1'!P106</f>
        <v>0</v>
      </c>
    </row>
    <row r="107" spans="1:16" ht="13.5" thickBot="1">
      <c r="A107" s="313" t="s">
        <v>200</v>
      </c>
      <c r="B107" s="320"/>
      <c r="C107" s="321"/>
      <c r="D107" s="322"/>
      <c r="E107" s="320"/>
      <c r="F107" s="321"/>
      <c r="G107" s="322"/>
      <c r="H107" s="320"/>
      <c r="I107" s="321"/>
      <c r="J107" s="322"/>
      <c r="K107" s="323"/>
      <c r="L107" s="323">
        <f>+C107+F107+I107</f>
        <v>0</v>
      </c>
      <c r="M107" s="324">
        <f>+D107+G107+J107</f>
        <v>0</v>
      </c>
      <c r="N107" s="323">
        <f>+K107</f>
        <v>0</v>
      </c>
      <c r="O107" s="323">
        <f>+L107</f>
        <v>0</v>
      </c>
      <c r="P107" s="325">
        <f>+M107</f>
        <v>0</v>
      </c>
    </row>
    <row r="108" spans="1:16" ht="13.5" thickBot="1">
      <c r="A108" s="326" t="s">
        <v>201</v>
      </c>
      <c r="B108" s="327">
        <f aca="true" t="shared" si="33" ref="B108:M108">SUM(B105:B107)</f>
        <v>10949.849999999999</v>
      </c>
      <c r="C108" s="328">
        <f t="shared" si="33"/>
        <v>10949.849999999999</v>
      </c>
      <c r="D108" s="328">
        <f t="shared" si="33"/>
        <v>0</v>
      </c>
      <c r="E108" s="328">
        <f t="shared" si="33"/>
        <v>11279.88</v>
      </c>
      <c r="F108" s="328">
        <f t="shared" si="33"/>
        <v>11279.88</v>
      </c>
      <c r="G108" s="328">
        <f t="shared" si="33"/>
        <v>0</v>
      </c>
      <c r="H108" s="328">
        <f t="shared" si="33"/>
        <v>10214.269999999999</v>
      </c>
      <c r="I108" s="328">
        <f t="shared" si="33"/>
        <v>10214.269999999999</v>
      </c>
      <c r="J108" s="328">
        <f t="shared" si="33"/>
        <v>0</v>
      </c>
      <c r="K108" s="328">
        <f t="shared" si="33"/>
        <v>12375.699999999999</v>
      </c>
      <c r="L108" s="328">
        <f t="shared" si="33"/>
        <v>12375.699999999999</v>
      </c>
      <c r="M108" s="328">
        <f t="shared" si="33"/>
        <v>0</v>
      </c>
      <c r="N108" s="328">
        <f>SUM(N105:N107)</f>
        <v>15291.35</v>
      </c>
      <c r="O108" s="328">
        <f>SUM(O105:O107)</f>
        <v>15291.35</v>
      </c>
      <c r="P108" s="328">
        <f>SUM(P105:P107)</f>
        <v>0</v>
      </c>
    </row>
    <row r="109" spans="1:16" ht="12.75">
      <c r="A109" s="330" t="s">
        <v>202</v>
      </c>
      <c r="B109" s="331">
        <f>+B58</f>
        <v>420.8200000000001</v>
      </c>
      <c r="C109" s="331">
        <f>+B109-D109</f>
        <v>420.8200000000001</v>
      </c>
      <c r="D109" s="332"/>
      <c r="E109" s="331">
        <f>+E58</f>
        <v>1740.6100000000001</v>
      </c>
      <c r="F109" s="331">
        <f>+E109-G109</f>
        <v>1740.6100000000001</v>
      </c>
      <c r="G109" s="332"/>
      <c r="H109" s="331">
        <f>H58</f>
        <v>1126.52</v>
      </c>
      <c r="I109" s="331">
        <f>H109-J109</f>
        <v>1126.52</v>
      </c>
      <c r="J109" s="332"/>
      <c r="K109" s="331">
        <f>+K58</f>
        <v>3287.9500000000003</v>
      </c>
      <c r="L109" s="331">
        <f>+K109-M109</f>
        <v>3287.9500000000003</v>
      </c>
      <c r="M109" s="333">
        <f>+D109+G109+J109</f>
        <v>0</v>
      </c>
      <c r="N109" s="331">
        <f>+K109+'TRIM 1'!N109</f>
        <v>6203.600000000001</v>
      </c>
      <c r="O109" s="331">
        <f>+L109+'TRIM 1'!O109</f>
        <v>6203.600000000001</v>
      </c>
      <c r="P109" s="331">
        <f>+M109+'TRIM 1'!P109</f>
        <v>0</v>
      </c>
    </row>
    <row r="110" spans="1:16" ht="12.75">
      <c r="A110" s="335" t="s">
        <v>200</v>
      </c>
      <c r="B110" s="317"/>
      <c r="C110" s="315">
        <f>+D107</f>
        <v>0</v>
      </c>
      <c r="D110" s="318">
        <f>+C107</f>
        <v>0</v>
      </c>
      <c r="E110" s="317"/>
      <c r="F110" s="315">
        <f>+G107</f>
        <v>0</v>
      </c>
      <c r="G110" s="318">
        <f>+F107</f>
        <v>0</v>
      </c>
      <c r="H110" s="315"/>
      <c r="I110" s="315">
        <f>+J107</f>
        <v>0</v>
      </c>
      <c r="J110" s="318">
        <f>+I107</f>
        <v>0</v>
      </c>
      <c r="K110" s="315"/>
      <c r="L110" s="315">
        <f>+M107</f>
        <v>0</v>
      </c>
      <c r="M110" s="318">
        <f>+L107</f>
        <v>0</v>
      </c>
      <c r="N110" s="315">
        <f>+K110</f>
        <v>0</v>
      </c>
      <c r="O110" s="315">
        <f>+L110</f>
        <v>0</v>
      </c>
      <c r="P110" s="319">
        <f>+M110</f>
        <v>0</v>
      </c>
    </row>
    <row r="111" spans="1:16" ht="13.5" thickBot="1">
      <c r="A111" s="335"/>
      <c r="B111" s="320"/>
      <c r="C111" s="320"/>
      <c r="D111" s="336"/>
      <c r="E111" s="320"/>
      <c r="F111" s="320"/>
      <c r="G111" s="336"/>
      <c r="H111" s="320"/>
      <c r="I111" s="320"/>
      <c r="J111" s="336"/>
      <c r="K111" s="320"/>
      <c r="L111" s="320"/>
      <c r="M111" s="336"/>
      <c r="N111" s="320"/>
      <c r="O111" s="320"/>
      <c r="P111" s="337"/>
    </row>
    <row r="112" spans="1:16" ht="13.5" thickBot="1">
      <c r="A112" s="338" t="s">
        <v>203</v>
      </c>
      <c r="B112" s="327">
        <f aca="true" t="shared" si="34" ref="B112:P112">SUM(B108-B109-B110)</f>
        <v>10529.029999999999</v>
      </c>
      <c r="C112" s="328">
        <f t="shared" si="34"/>
        <v>10529.029999999999</v>
      </c>
      <c r="D112" s="328">
        <f t="shared" si="34"/>
        <v>0</v>
      </c>
      <c r="E112" s="328">
        <f t="shared" si="34"/>
        <v>9539.269999999999</v>
      </c>
      <c r="F112" s="328">
        <f t="shared" si="34"/>
        <v>9539.269999999999</v>
      </c>
      <c r="G112" s="328">
        <f t="shared" si="34"/>
        <v>0</v>
      </c>
      <c r="H112" s="328">
        <f t="shared" si="34"/>
        <v>9087.749999999998</v>
      </c>
      <c r="I112" s="328">
        <f t="shared" si="34"/>
        <v>9087.749999999998</v>
      </c>
      <c r="J112" s="328">
        <f t="shared" si="34"/>
        <v>0</v>
      </c>
      <c r="K112" s="328">
        <f t="shared" si="34"/>
        <v>9087.749999999998</v>
      </c>
      <c r="L112" s="328">
        <f t="shared" si="34"/>
        <v>9087.749999999998</v>
      </c>
      <c r="M112" s="328">
        <f t="shared" si="34"/>
        <v>0</v>
      </c>
      <c r="N112" s="328">
        <f t="shared" si="34"/>
        <v>9087.75</v>
      </c>
      <c r="O112" s="328">
        <f t="shared" si="34"/>
        <v>9087.75</v>
      </c>
      <c r="P112" s="329">
        <f t="shared" si="34"/>
        <v>0</v>
      </c>
    </row>
    <row r="113" ht="12.75">
      <c r="A113" s="213">
        <f>+B4</f>
        <v>0</v>
      </c>
    </row>
    <row r="114" ht="12.75">
      <c r="A114" s="308" t="s">
        <v>130</v>
      </c>
    </row>
    <row r="115" spans="1:16" ht="12.75">
      <c r="A115" s="339"/>
      <c r="B115" s="341"/>
      <c r="C115" s="341"/>
      <c r="D115" s="341"/>
      <c r="E115" s="341"/>
      <c r="F115" s="341"/>
      <c r="G115" s="341"/>
      <c r="H115" s="341"/>
      <c r="I115" s="341"/>
      <c r="J115" s="341"/>
      <c r="K115" s="341"/>
      <c r="L115" s="341"/>
      <c r="M115" s="341"/>
      <c r="N115" s="341"/>
      <c r="O115" s="341"/>
      <c r="P115" s="341"/>
    </row>
    <row r="116" spans="1:16" ht="12.75">
      <c r="A116" s="339"/>
      <c r="B116" s="341"/>
      <c r="C116" s="341"/>
      <c r="D116" s="341"/>
      <c r="E116" s="341"/>
      <c r="F116" s="341"/>
      <c r="G116" s="341"/>
      <c r="H116" s="341"/>
      <c r="I116" s="341"/>
      <c r="J116" s="341"/>
      <c r="K116" s="341"/>
      <c r="L116" s="341"/>
      <c r="M116" s="341"/>
      <c r="N116" s="341"/>
      <c r="O116" s="341"/>
      <c r="P116" s="341"/>
    </row>
  </sheetData>
  <sheetProtection password="C72A" sheet="1"/>
  <printOptions/>
  <pageMargins left="0.1" right="0.1" top="0.2" bottom="0.4" header="0.511811023622047" footer="0.31496062992126"/>
  <pageSetup fitToHeight="2" fitToWidth="2" horizontalDpi="600" verticalDpi="600" orientation="landscape" paperSize="9" scale="51" r:id="rId1"/>
  <headerFooter alignWithMargins="0">
    <oddFooter>&amp;CPagina &amp;P&amp;R&amp;A</oddFooter>
  </headerFooter>
  <rowBreaks count="1" manualBreakCount="1">
    <brk id="59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16"/>
  <sheetViews>
    <sheetView view="pageBreakPreview" zoomScale="90" zoomScaleSheetLayoutView="90" zoomScalePageLayoutView="0" workbookViewId="0" topLeftCell="A35">
      <selection activeCell="E48" sqref="E48"/>
    </sheetView>
  </sheetViews>
  <sheetFormatPr defaultColWidth="9.140625" defaultRowHeight="12.75"/>
  <cols>
    <col min="1" max="1" width="56.57421875" style="213" customWidth="1"/>
    <col min="2" max="2" width="10.421875" style="214" customWidth="1"/>
    <col min="3" max="3" width="9.8515625" style="214" bestFit="1" customWidth="1"/>
    <col min="4" max="4" width="9.7109375" style="214" bestFit="1" customWidth="1"/>
    <col min="5" max="5" width="10.57421875" style="214" bestFit="1" customWidth="1"/>
    <col min="6" max="6" width="9.8515625" style="214" bestFit="1" customWidth="1"/>
    <col min="7" max="7" width="9.7109375" style="214" bestFit="1" customWidth="1"/>
    <col min="8" max="8" width="10.57421875" style="214" bestFit="1" customWidth="1"/>
    <col min="9" max="9" width="9.8515625" style="214" bestFit="1" customWidth="1"/>
    <col min="10" max="10" width="9.7109375" style="214" bestFit="1" customWidth="1"/>
    <col min="11" max="11" width="10.57421875" style="214" bestFit="1" customWidth="1"/>
    <col min="12" max="12" width="10.421875" style="214" bestFit="1" customWidth="1"/>
    <col min="13" max="13" width="11.140625" style="214" bestFit="1" customWidth="1"/>
    <col min="14" max="14" width="10.57421875" style="214" bestFit="1" customWidth="1"/>
    <col min="15" max="15" width="10.421875" style="214" bestFit="1" customWidth="1"/>
    <col min="16" max="16" width="11.140625" style="214" bestFit="1" customWidth="1"/>
    <col min="17" max="16384" width="9.140625" style="213" customWidth="1"/>
  </cols>
  <sheetData>
    <row r="1" spans="1:16" ht="12.75">
      <c r="A1" s="213" t="str">
        <f>+'2022 BUDGET'!A1</f>
        <v>FRANCISCAN SISTERS OF THE POOR</v>
      </c>
      <c r="P1" s="215">
        <f>+'2022 BUDGET'!N1</f>
        <v>2022</v>
      </c>
    </row>
    <row r="2" ht="12.75">
      <c r="A2" s="216" t="str">
        <f>+'2022 BUDGET'!A2</f>
        <v>NAME OF THE MINISTRY -  HAIRCUTS FROM THE HEART</v>
      </c>
    </row>
    <row r="4" ht="12.75">
      <c r="A4" s="217" t="str">
        <f>'2022 BUDGET'!A4</f>
        <v>MINISTRY EXPENSES</v>
      </c>
    </row>
    <row r="5" ht="12.75">
      <c r="B5" s="340"/>
    </row>
    <row r="6" ht="13.5" thickBot="1">
      <c r="A6" s="218"/>
    </row>
    <row r="7" spans="1:16" ht="13.5" thickTop="1">
      <c r="A7" s="219" t="str">
        <f>'2022 BUDGET'!A7</f>
        <v>General expenses</v>
      </c>
      <c r="B7" s="220" t="s">
        <v>135</v>
      </c>
      <c r="C7" s="221"/>
      <c r="D7" s="222"/>
      <c r="E7" s="223" t="s">
        <v>136</v>
      </c>
      <c r="F7" s="221"/>
      <c r="G7" s="222"/>
      <c r="H7" s="220" t="s">
        <v>137</v>
      </c>
      <c r="I7" s="221"/>
      <c r="J7" s="222"/>
      <c r="K7" s="224" t="s">
        <v>184</v>
      </c>
      <c r="L7" s="221"/>
      <c r="M7" s="225"/>
      <c r="N7" s="224" t="s">
        <v>115</v>
      </c>
      <c r="O7" s="221"/>
      <c r="P7" s="226"/>
    </row>
    <row r="8" spans="1:16" ht="12.75">
      <c r="A8" s="218"/>
      <c r="B8" s="227" t="s">
        <v>126</v>
      </c>
      <c r="C8" s="228" t="s">
        <v>49</v>
      </c>
      <c r="D8" s="229" t="s">
        <v>50</v>
      </c>
      <c r="E8" s="230" t="s">
        <v>126</v>
      </c>
      <c r="F8" s="228" t="s">
        <v>49</v>
      </c>
      <c r="G8" s="229" t="s">
        <v>50</v>
      </c>
      <c r="H8" s="230" t="s">
        <v>126</v>
      </c>
      <c r="I8" s="228" t="s">
        <v>49</v>
      </c>
      <c r="J8" s="229" t="s">
        <v>50</v>
      </c>
      <c r="K8" s="231" t="s">
        <v>126</v>
      </c>
      <c r="L8" s="228" t="s">
        <v>49</v>
      </c>
      <c r="M8" s="229" t="s">
        <v>50</v>
      </c>
      <c r="N8" s="231" t="s">
        <v>126</v>
      </c>
      <c r="O8" s="228" t="s">
        <v>49</v>
      </c>
      <c r="P8" s="232" t="s">
        <v>50</v>
      </c>
    </row>
    <row r="9" spans="1:16" ht="12.75">
      <c r="A9" s="233" t="str">
        <f>+'2022 BUDGET'!A9</f>
        <v>Rent</v>
      </c>
      <c r="B9" s="234"/>
      <c r="C9" s="235">
        <f>+'2022 BUDGET'!H9</f>
        <v>0</v>
      </c>
      <c r="D9" s="236">
        <f>+B9-C9</f>
        <v>0</v>
      </c>
      <c r="E9" s="234"/>
      <c r="F9" s="235">
        <f>+'2022 BUDGET'!I9</f>
        <v>0</v>
      </c>
      <c r="G9" s="236">
        <f>+E9-F9</f>
        <v>0</v>
      </c>
      <c r="H9" s="234"/>
      <c r="I9" s="235">
        <f>+'2022 BUDGET'!J9</f>
        <v>0</v>
      </c>
      <c r="J9" s="236">
        <f>+H9-I9</f>
        <v>0</v>
      </c>
      <c r="K9" s="237">
        <f>+B9+E9+H9</f>
        <v>0</v>
      </c>
      <c r="L9" s="235">
        <f>+C9+F9+I9</f>
        <v>0</v>
      </c>
      <c r="M9" s="236">
        <f>D9+G9+J9</f>
        <v>0</v>
      </c>
      <c r="N9" s="237">
        <f>+K9+'TRIM 2'!N9</f>
        <v>0</v>
      </c>
      <c r="O9" s="235">
        <f>+L9+'TRIM 2'!O9</f>
        <v>0</v>
      </c>
      <c r="P9" s="236">
        <f>+M9+'TRIM 2'!P9</f>
        <v>0</v>
      </c>
    </row>
    <row r="10" spans="1:16" ht="12.75">
      <c r="A10" s="233" t="str">
        <f>+'2022 BUDGET'!A10</f>
        <v>Bank expenses</v>
      </c>
      <c r="B10" s="234"/>
      <c r="C10" s="235">
        <f>+'2022 BUDGET'!H10</f>
        <v>0</v>
      </c>
      <c r="D10" s="236">
        <f aca="true" t="shared" si="0" ref="D10:D40">+B10-C10</f>
        <v>0</v>
      </c>
      <c r="E10" s="234"/>
      <c r="F10" s="235">
        <f>+'2022 BUDGET'!I10</f>
        <v>0</v>
      </c>
      <c r="G10" s="236">
        <f aca="true" t="shared" si="1" ref="G10:G40">+E10-F10</f>
        <v>0</v>
      </c>
      <c r="H10" s="234"/>
      <c r="I10" s="235">
        <f>+'2022 BUDGET'!J10</f>
        <v>0</v>
      </c>
      <c r="J10" s="236">
        <f aca="true" t="shared" si="2" ref="J10:J40">+H10-I10</f>
        <v>0</v>
      </c>
      <c r="K10" s="237">
        <f aca="true" t="shared" si="3" ref="K10:L25">+B10+E10+H10</f>
        <v>0</v>
      </c>
      <c r="L10" s="235">
        <f t="shared" si="3"/>
        <v>0</v>
      </c>
      <c r="M10" s="236">
        <f aca="true" t="shared" si="4" ref="M10:M40">D10+G10+J10</f>
        <v>0</v>
      </c>
      <c r="N10" s="237">
        <f>+K10+'TRIM 2'!N10</f>
        <v>0</v>
      </c>
      <c r="O10" s="235">
        <f>+L10+'TRIM 2'!O10</f>
        <v>0</v>
      </c>
      <c r="P10" s="236">
        <f>+M10+'TRIM 2'!P10</f>
        <v>0</v>
      </c>
    </row>
    <row r="11" spans="1:16" ht="12.75">
      <c r="A11" s="233" t="str">
        <f>+'2022 BUDGET'!A11</f>
        <v>Utility</v>
      </c>
      <c r="B11" s="234"/>
      <c r="C11" s="235">
        <f>+'2022 BUDGET'!H11</f>
        <v>42</v>
      </c>
      <c r="D11" s="236">
        <f t="shared" si="0"/>
        <v>-42</v>
      </c>
      <c r="E11" s="234"/>
      <c r="F11" s="235">
        <f>+'2022 BUDGET'!I11</f>
        <v>41</v>
      </c>
      <c r="G11" s="236">
        <f t="shared" si="1"/>
        <v>-41</v>
      </c>
      <c r="H11" s="234"/>
      <c r="I11" s="235">
        <f>+'2022 BUDGET'!J11</f>
        <v>42</v>
      </c>
      <c r="J11" s="236">
        <f t="shared" si="2"/>
        <v>-42</v>
      </c>
      <c r="K11" s="237">
        <f t="shared" si="3"/>
        <v>0</v>
      </c>
      <c r="L11" s="235">
        <f t="shared" si="3"/>
        <v>125</v>
      </c>
      <c r="M11" s="236">
        <f t="shared" si="4"/>
        <v>-125</v>
      </c>
      <c r="N11" s="237">
        <f>+K11+'TRIM 2'!N11</f>
        <v>121.91</v>
      </c>
      <c r="O11" s="235">
        <f>+L11+'TRIM 2'!O11</f>
        <v>374</v>
      </c>
      <c r="P11" s="236">
        <f>+M11+'TRIM 2'!P11</f>
        <v>-252.09</v>
      </c>
    </row>
    <row r="12" spans="1:16" ht="12.75">
      <c r="A12" s="233" t="str">
        <f>+'2022 BUDGET'!A12</f>
        <v>Telephone</v>
      </c>
      <c r="B12" s="234"/>
      <c r="C12" s="235">
        <f>+'2022 BUDGET'!H12</f>
        <v>0</v>
      </c>
      <c r="D12" s="236">
        <f t="shared" si="0"/>
        <v>0</v>
      </c>
      <c r="E12" s="234">
        <v>20</v>
      </c>
      <c r="F12" s="235">
        <f>+'2022 BUDGET'!I12</f>
        <v>0</v>
      </c>
      <c r="G12" s="236">
        <f t="shared" si="1"/>
        <v>20</v>
      </c>
      <c r="H12" s="234"/>
      <c r="I12" s="235">
        <f>+'2022 BUDGET'!J12</f>
        <v>0</v>
      </c>
      <c r="J12" s="236">
        <f t="shared" si="2"/>
        <v>0</v>
      </c>
      <c r="K12" s="237">
        <f t="shared" si="3"/>
        <v>20</v>
      </c>
      <c r="L12" s="235">
        <f t="shared" si="3"/>
        <v>0</v>
      </c>
      <c r="M12" s="236">
        <f t="shared" si="4"/>
        <v>20</v>
      </c>
      <c r="N12" s="237">
        <f>+K12+'TRIM 2'!N12</f>
        <v>20</v>
      </c>
      <c r="O12" s="235">
        <f>+L12+'TRIM 2'!O12</f>
        <v>0</v>
      </c>
      <c r="P12" s="236">
        <f>+M12+'TRIM 2'!P12</f>
        <v>20</v>
      </c>
    </row>
    <row r="13" spans="1:16" ht="12.75">
      <c r="A13" s="233" t="str">
        <f>+'2022 BUDGET'!A13</f>
        <v>Subscription</v>
      </c>
      <c r="B13" s="234"/>
      <c r="C13" s="235">
        <f>+'2022 BUDGET'!H13</f>
        <v>0</v>
      </c>
      <c r="D13" s="236">
        <f t="shared" si="0"/>
        <v>0</v>
      </c>
      <c r="E13" s="234"/>
      <c r="F13" s="235">
        <f>+'2022 BUDGET'!I13</f>
        <v>0</v>
      </c>
      <c r="G13" s="236">
        <f t="shared" si="1"/>
        <v>0</v>
      </c>
      <c r="H13" s="234"/>
      <c r="I13" s="235">
        <f>+'2022 BUDGET'!J13</f>
        <v>0</v>
      </c>
      <c r="J13" s="236">
        <f t="shared" si="2"/>
        <v>0</v>
      </c>
      <c r="K13" s="237">
        <f t="shared" si="3"/>
        <v>0</v>
      </c>
      <c r="L13" s="235">
        <f t="shared" si="3"/>
        <v>0</v>
      </c>
      <c r="M13" s="236">
        <f t="shared" si="4"/>
        <v>0</v>
      </c>
      <c r="N13" s="237">
        <f>+K13+'TRIM 2'!N13</f>
        <v>1350</v>
      </c>
      <c r="O13" s="235">
        <f>+L13+'TRIM 2'!O13</f>
        <v>0</v>
      </c>
      <c r="P13" s="236">
        <f>+M13+'TRIM 2'!P13</f>
        <v>1350</v>
      </c>
    </row>
    <row r="14" spans="1:16" ht="12.75">
      <c r="A14" s="233" t="str">
        <f>+'2022 BUDGET'!A14</f>
        <v>Appliances</v>
      </c>
      <c r="B14" s="234"/>
      <c r="C14" s="235">
        <f>+'2022 BUDGET'!H14</f>
        <v>0</v>
      </c>
      <c r="D14" s="236">
        <f t="shared" si="0"/>
        <v>0</v>
      </c>
      <c r="E14" s="234"/>
      <c r="F14" s="235">
        <f>+'2022 BUDGET'!I14</f>
        <v>0</v>
      </c>
      <c r="G14" s="236">
        <f t="shared" si="1"/>
        <v>0</v>
      </c>
      <c r="H14" s="234"/>
      <c r="I14" s="235">
        <f>+'2022 BUDGET'!J14</f>
        <v>0</v>
      </c>
      <c r="J14" s="236">
        <f t="shared" si="2"/>
        <v>0</v>
      </c>
      <c r="K14" s="237">
        <f t="shared" si="3"/>
        <v>0</v>
      </c>
      <c r="L14" s="235">
        <f t="shared" si="3"/>
        <v>0</v>
      </c>
      <c r="M14" s="236">
        <f t="shared" si="4"/>
        <v>0</v>
      </c>
      <c r="N14" s="237">
        <f>+K14+'TRIM 2'!N14</f>
        <v>0</v>
      </c>
      <c r="O14" s="235">
        <f>+L14+'TRIM 2'!O14</f>
        <v>0</v>
      </c>
      <c r="P14" s="236">
        <f>+M14+'TRIM 2'!P14</f>
        <v>0</v>
      </c>
    </row>
    <row r="15" spans="1:16" ht="12.75">
      <c r="A15" s="233" t="str">
        <f>+'2022 BUDGET'!A15</f>
        <v>Furnishings</v>
      </c>
      <c r="B15" s="234"/>
      <c r="C15" s="235">
        <f>+'2022 BUDGET'!H15</f>
        <v>0</v>
      </c>
      <c r="D15" s="236">
        <f t="shared" si="0"/>
        <v>0</v>
      </c>
      <c r="E15" s="234"/>
      <c r="F15" s="235">
        <f>+'2022 BUDGET'!I15</f>
        <v>0</v>
      </c>
      <c r="G15" s="236">
        <f t="shared" si="1"/>
        <v>0</v>
      </c>
      <c r="H15" s="234"/>
      <c r="I15" s="235">
        <f>+'2022 BUDGET'!J15</f>
        <v>0</v>
      </c>
      <c r="J15" s="236">
        <f t="shared" si="2"/>
        <v>0</v>
      </c>
      <c r="K15" s="237">
        <f t="shared" si="3"/>
        <v>0</v>
      </c>
      <c r="L15" s="235">
        <f t="shared" si="3"/>
        <v>0</v>
      </c>
      <c r="M15" s="236">
        <f t="shared" si="4"/>
        <v>0</v>
      </c>
      <c r="N15" s="237">
        <f>+K15+'TRIM 2'!N15</f>
        <v>0</v>
      </c>
      <c r="O15" s="235">
        <f>+L15+'TRIM 2'!O15</f>
        <v>0</v>
      </c>
      <c r="P15" s="236">
        <f>+M15+'TRIM 2'!P15</f>
        <v>0</v>
      </c>
    </row>
    <row r="16" spans="1:16" ht="12.75">
      <c r="A16" s="233" t="str">
        <f>+'2022 BUDGET'!A16</f>
        <v>Food</v>
      </c>
      <c r="B16" s="234"/>
      <c r="C16" s="235">
        <f>+'2022 BUDGET'!H16</f>
        <v>0</v>
      </c>
      <c r="D16" s="236">
        <f t="shared" si="0"/>
        <v>0</v>
      </c>
      <c r="E16" s="234">
        <v>54.46</v>
      </c>
      <c r="F16" s="235">
        <f>+'2022 BUDGET'!I16</f>
        <v>0</v>
      </c>
      <c r="G16" s="236">
        <f t="shared" si="1"/>
        <v>54.46</v>
      </c>
      <c r="H16" s="234"/>
      <c r="I16" s="235">
        <f>+'2022 BUDGET'!J16</f>
        <v>12.5</v>
      </c>
      <c r="J16" s="236">
        <f t="shared" si="2"/>
        <v>-12.5</v>
      </c>
      <c r="K16" s="237">
        <f t="shared" si="3"/>
        <v>54.46</v>
      </c>
      <c r="L16" s="235">
        <f t="shared" si="3"/>
        <v>12.5</v>
      </c>
      <c r="M16" s="236">
        <f t="shared" si="4"/>
        <v>41.96</v>
      </c>
      <c r="N16" s="237">
        <f>+K16+'TRIM 2'!N16</f>
        <v>54.46</v>
      </c>
      <c r="O16" s="235">
        <f>+L16+'TRIM 2'!O16</f>
        <v>37.5</v>
      </c>
      <c r="P16" s="236">
        <f>+M16+'TRIM 2'!P16</f>
        <v>16.96</v>
      </c>
    </row>
    <row r="17" spans="1:16" ht="12.75">
      <c r="A17" s="233" t="str">
        <f>+'2022 BUDGET'!A17</f>
        <v>Transportation/Travel</v>
      </c>
      <c r="B17" s="234"/>
      <c r="C17" s="235">
        <f>+'2022 BUDGET'!H17</f>
        <v>25</v>
      </c>
      <c r="D17" s="236">
        <f t="shared" si="0"/>
        <v>-25</v>
      </c>
      <c r="E17" s="234">
        <v>102.19</v>
      </c>
      <c r="F17" s="235">
        <f>+'2022 BUDGET'!I17</f>
        <v>25</v>
      </c>
      <c r="G17" s="236">
        <f t="shared" si="1"/>
        <v>77.19</v>
      </c>
      <c r="H17" s="234">
        <v>55.89</v>
      </c>
      <c r="I17" s="235">
        <f>+'2022 BUDGET'!J17</f>
        <v>25</v>
      </c>
      <c r="J17" s="236">
        <f t="shared" si="2"/>
        <v>30.89</v>
      </c>
      <c r="K17" s="237">
        <f t="shared" si="3"/>
        <v>158.07999999999998</v>
      </c>
      <c r="L17" s="235">
        <f t="shared" si="3"/>
        <v>75</v>
      </c>
      <c r="M17" s="236">
        <f t="shared" si="4"/>
        <v>83.08</v>
      </c>
      <c r="N17" s="237">
        <f>+K17+'TRIM 2'!N17</f>
        <v>216.73999999999998</v>
      </c>
      <c r="O17" s="235">
        <f>+L17+'TRIM 2'!O17</f>
        <v>225</v>
      </c>
      <c r="P17" s="236">
        <f>+M17+'TRIM 2'!P17</f>
        <v>-8.260000000000005</v>
      </c>
    </row>
    <row r="18" spans="1:16" ht="12.75">
      <c r="A18" s="233" t="str">
        <f>+'2022 BUDGET'!A18</f>
        <v>Car Expenses</v>
      </c>
      <c r="B18" s="234"/>
      <c r="C18" s="235">
        <f>+'2022 BUDGET'!H18</f>
        <v>29</v>
      </c>
      <c r="D18" s="236">
        <f t="shared" si="0"/>
        <v>-29</v>
      </c>
      <c r="E18" s="234"/>
      <c r="F18" s="235">
        <f>+'2022 BUDGET'!I18</f>
        <v>29</v>
      </c>
      <c r="G18" s="236">
        <f t="shared" si="1"/>
        <v>-29</v>
      </c>
      <c r="H18" s="234"/>
      <c r="I18" s="235">
        <f>+'2022 BUDGET'!J18</f>
        <v>29</v>
      </c>
      <c r="J18" s="236">
        <f t="shared" si="2"/>
        <v>-29</v>
      </c>
      <c r="K18" s="237">
        <f t="shared" si="3"/>
        <v>0</v>
      </c>
      <c r="L18" s="235">
        <f t="shared" si="3"/>
        <v>87</v>
      </c>
      <c r="M18" s="236">
        <f t="shared" si="4"/>
        <v>-87</v>
      </c>
      <c r="N18" s="237">
        <f>+K18+'TRIM 2'!N18</f>
        <v>56.91</v>
      </c>
      <c r="O18" s="235">
        <f>+L18+'TRIM 2'!O18</f>
        <v>261</v>
      </c>
      <c r="P18" s="236">
        <f>+M18+'TRIM 2'!P18</f>
        <v>-204.09</v>
      </c>
    </row>
    <row r="19" spans="1:16" ht="12.75">
      <c r="A19" s="233" t="str">
        <f>+'2022 BUDGET'!A19</f>
        <v>Legal</v>
      </c>
      <c r="B19" s="234"/>
      <c r="C19" s="235">
        <f>+'2022 BUDGET'!H19</f>
        <v>0</v>
      </c>
      <c r="D19" s="236">
        <f t="shared" si="0"/>
        <v>0</v>
      </c>
      <c r="E19" s="234"/>
      <c r="F19" s="235">
        <f>+'2022 BUDGET'!I19</f>
        <v>0</v>
      </c>
      <c r="G19" s="236">
        <f t="shared" si="1"/>
        <v>0</v>
      </c>
      <c r="H19" s="234"/>
      <c r="I19" s="235">
        <f>+'2022 BUDGET'!J19</f>
        <v>0</v>
      </c>
      <c r="J19" s="236">
        <f t="shared" si="2"/>
        <v>0</v>
      </c>
      <c r="K19" s="237">
        <f t="shared" si="3"/>
        <v>0</v>
      </c>
      <c r="L19" s="235">
        <f t="shared" si="3"/>
        <v>0</v>
      </c>
      <c r="M19" s="236">
        <f t="shared" si="4"/>
        <v>0</v>
      </c>
      <c r="N19" s="237">
        <f>+K19+'TRIM 2'!N19</f>
        <v>0</v>
      </c>
      <c r="O19" s="235">
        <f>+L19+'TRIM 2'!O19</f>
        <v>0</v>
      </c>
      <c r="P19" s="236">
        <f>+M19+'TRIM 2'!P19</f>
        <v>0</v>
      </c>
    </row>
    <row r="20" spans="1:16" ht="12.75">
      <c r="A20" s="233" t="str">
        <f>+'2022 BUDGET'!A20</f>
        <v>Maintenance </v>
      </c>
      <c r="B20" s="234"/>
      <c r="C20" s="235">
        <f>+'2022 BUDGET'!H20</f>
        <v>21</v>
      </c>
      <c r="D20" s="236">
        <f t="shared" si="0"/>
        <v>-21</v>
      </c>
      <c r="E20" s="234">
        <v>105</v>
      </c>
      <c r="F20" s="235">
        <f>+'2022 BUDGET'!I20</f>
        <v>20</v>
      </c>
      <c r="G20" s="236">
        <f t="shared" si="1"/>
        <v>85</v>
      </c>
      <c r="H20" s="234"/>
      <c r="I20" s="235">
        <f>+'2022 BUDGET'!J20</f>
        <v>21</v>
      </c>
      <c r="J20" s="236">
        <f t="shared" si="2"/>
        <v>-21</v>
      </c>
      <c r="K20" s="237">
        <f t="shared" si="3"/>
        <v>105</v>
      </c>
      <c r="L20" s="235">
        <f t="shared" si="3"/>
        <v>62</v>
      </c>
      <c r="M20" s="236">
        <f t="shared" si="4"/>
        <v>43</v>
      </c>
      <c r="N20" s="237">
        <f>+K20+'TRIM 2'!N20</f>
        <v>105</v>
      </c>
      <c r="O20" s="235">
        <f>+L20+'TRIM 2'!O20</f>
        <v>185</v>
      </c>
      <c r="P20" s="236">
        <f>+M20+'TRIM 2'!P20</f>
        <v>-80</v>
      </c>
    </row>
    <row r="21" spans="1:16" ht="12.75">
      <c r="A21" s="233" t="str">
        <f>+'2022 BUDGET'!A21</f>
        <v>Minor Equipment</v>
      </c>
      <c r="B21" s="234"/>
      <c r="C21" s="235">
        <f>+'2022 BUDGET'!H21</f>
        <v>0</v>
      </c>
      <c r="D21" s="236">
        <f t="shared" si="0"/>
        <v>0</v>
      </c>
      <c r="E21" s="234"/>
      <c r="F21" s="235">
        <f>+'2022 BUDGET'!I21</f>
        <v>0</v>
      </c>
      <c r="G21" s="236">
        <f t="shared" si="1"/>
        <v>0</v>
      </c>
      <c r="H21" s="234"/>
      <c r="I21" s="235">
        <f>+'2022 BUDGET'!J21</f>
        <v>0</v>
      </c>
      <c r="J21" s="236">
        <f t="shared" si="2"/>
        <v>0</v>
      </c>
      <c r="K21" s="237">
        <f t="shared" si="3"/>
        <v>0</v>
      </c>
      <c r="L21" s="235">
        <f t="shared" si="3"/>
        <v>0</v>
      </c>
      <c r="M21" s="236">
        <f t="shared" si="4"/>
        <v>0</v>
      </c>
      <c r="N21" s="237">
        <f>+K21+'TRIM 2'!N21</f>
        <v>0</v>
      </c>
      <c r="O21" s="235">
        <f>+L21+'TRIM 2'!O21</f>
        <v>0</v>
      </c>
      <c r="P21" s="236">
        <f>+M21+'TRIM 2'!P21</f>
        <v>0</v>
      </c>
    </row>
    <row r="22" spans="1:16" ht="12.75">
      <c r="A22" s="233" t="str">
        <f>+'2022 BUDGET'!A22</f>
        <v>Properties  Taxes</v>
      </c>
      <c r="B22" s="234"/>
      <c r="C22" s="235">
        <f>+'2022 BUDGET'!H22</f>
        <v>0</v>
      </c>
      <c r="D22" s="236">
        <f t="shared" si="0"/>
        <v>0</v>
      </c>
      <c r="E22" s="234"/>
      <c r="F22" s="235">
        <f>+'2022 BUDGET'!I22</f>
        <v>0</v>
      </c>
      <c r="G22" s="236">
        <f t="shared" si="1"/>
        <v>0</v>
      </c>
      <c r="H22" s="234"/>
      <c r="I22" s="235">
        <f>+'2022 BUDGET'!J22</f>
        <v>0</v>
      </c>
      <c r="J22" s="236">
        <f t="shared" si="2"/>
        <v>0</v>
      </c>
      <c r="K22" s="237">
        <f t="shared" si="3"/>
        <v>0</v>
      </c>
      <c r="L22" s="235">
        <f t="shared" si="3"/>
        <v>0</v>
      </c>
      <c r="M22" s="236">
        <f t="shared" si="4"/>
        <v>0</v>
      </c>
      <c r="N22" s="237">
        <f>+K22+'TRIM 2'!N22</f>
        <v>0</v>
      </c>
      <c r="O22" s="235">
        <f>+L22+'TRIM 2'!O22</f>
        <v>0</v>
      </c>
      <c r="P22" s="236">
        <f>+M22+'TRIM 2'!P22</f>
        <v>0</v>
      </c>
    </row>
    <row r="23" spans="1:16" ht="12.75">
      <c r="A23" s="233" t="str">
        <f>+'2022 BUDGET'!A23</f>
        <v>Supplies </v>
      </c>
      <c r="B23" s="234"/>
      <c r="C23" s="235">
        <f>+'2022 BUDGET'!H23</f>
        <v>83</v>
      </c>
      <c r="D23" s="236">
        <f t="shared" si="0"/>
        <v>-83</v>
      </c>
      <c r="E23" s="234">
        <v>8.21</v>
      </c>
      <c r="F23" s="235">
        <f>+'2022 BUDGET'!I23</f>
        <v>84</v>
      </c>
      <c r="G23" s="236">
        <f t="shared" si="1"/>
        <v>-75.78999999999999</v>
      </c>
      <c r="H23" s="234">
        <v>543.48</v>
      </c>
      <c r="I23" s="235">
        <f>+'2022 BUDGET'!J23</f>
        <v>83</v>
      </c>
      <c r="J23" s="236">
        <f t="shared" si="2"/>
        <v>460.48</v>
      </c>
      <c r="K23" s="237">
        <f t="shared" si="3"/>
        <v>551.69</v>
      </c>
      <c r="L23" s="235">
        <f t="shared" si="3"/>
        <v>250</v>
      </c>
      <c r="M23" s="236">
        <f t="shared" si="4"/>
        <v>301.69000000000005</v>
      </c>
      <c r="N23" s="237">
        <f>+K23+'TRIM 2'!N23</f>
        <v>619.45</v>
      </c>
      <c r="O23" s="235">
        <f>+L23+'TRIM 2'!O23</f>
        <v>751</v>
      </c>
      <c r="P23" s="236">
        <f>+M23+'TRIM 2'!P23</f>
        <v>-131.54999999999995</v>
      </c>
    </row>
    <row r="24" spans="1:16" ht="12.75">
      <c r="A24" s="233" t="str">
        <f>+'2022 BUDGET'!A24</f>
        <v>Insurance</v>
      </c>
      <c r="B24" s="234"/>
      <c r="C24" s="235">
        <f>+'2022 BUDGET'!H24</f>
        <v>300</v>
      </c>
      <c r="D24" s="236">
        <f t="shared" si="0"/>
        <v>-300</v>
      </c>
      <c r="E24" s="234"/>
      <c r="F24" s="235">
        <f>+'2022 BUDGET'!I24</f>
        <v>0</v>
      </c>
      <c r="G24" s="236">
        <f t="shared" si="1"/>
        <v>0</v>
      </c>
      <c r="H24" s="234">
        <v>585.7</v>
      </c>
      <c r="I24" s="235">
        <f>+'2022 BUDGET'!J24</f>
        <v>0</v>
      </c>
      <c r="J24" s="236">
        <f t="shared" si="2"/>
        <v>585.7</v>
      </c>
      <c r="K24" s="237">
        <f t="shared" si="3"/>
        <v>585.7</v>
      </c>
      <c r="L24" s="235">
        <f t="shared" si="3"/>
        <v>300</v>
      </c>
      <c r="M24" s="236">
        <f t="shared" si="4"/>
        <v>285.70000000000005</v>
      </c>
      <c r="N24" s="237">
        <f>+K24+'TRIM 2'!N24</f>
        <v>1191.65</v>
      </c>
      <c r="O24" s="235">
        <f>+L24+'TRIM 2'!O24</f>
        <v>900</v>
      </c>
      <c r="P24" s="236">
        <f>+M24+'TRIM 2'!P24</f>
        <v>291.6500000000001</v>
      </c>
    </row>
    <row r="25" spans="1:16" ht="12.75">
      <c r="A25" s="233" t="str">
        <f>+'2022 BUDGET'!A25</f>
        <v>Fund raiser &amp; Advertising &amp; Events</v>
      </c>
      <c r="B25" s="234"/>
      <c r="C25" s="235">
        <f>+'2022 BUDGET'!H25</f>
        <v>0</v>
      </c>
      <c r="D25" s="236">
        <f t="shared" si="0"/>
        <v>0</v>
      </c>
      <c r="E25" s="234">
        <v>183.26</v>
      </c>
      <c r="F25" s="235">
        <f>+'2022 BUDGET'!I25</f>
        <v>0</v>
      </c>
      <c r="G25" s="236">
        <f t="shared" si="1"/>
        <v>183.26</v>
      </c>
      <c r="H25" s="234"/>
      <c r="I25" s="235">
        <f>+'2022 BUDGET'!J25</f>
        <v>0</v>
      </c>
      <c r="J25" s="236">
        <f t="shared" si="2"/>
        <v>0</v>
      </c>
      <c r="K25" s="237">
        <f t="shared" si="3"/>
        <v>183.26</v>
      </c>
      <c r="L25" s="235">
        <f t="shared" si="3"/>
        <v>0</v>
      </c>
      <c r="M25" s="236">
        <f t="shared" si="4"/>
        <v>183.26</v>
      </c>
      <c r="N25" s="237">
        <f>+K25+'TRIM 2'!N25</f>
        <v>216.79</v>
      </c>
      <c r="O25" s="235">
        <f>+L25+'TRIM 2'!O25</f>
        <v>0</v>
      </c>
      <c r="P25" s="236">
        <f>+M25+'TRIM 2'!P25</f>
        <v>216.79</v>
      </c>
    </row>
    <row r="26" spans="1:16" ht="12.75">
      <c r="A26" s="233" t="str">
        <f>+'2022 BUDGET'!A26</f>
        <v>Postage &amp; freight</v>
      </c>
      <c r="B26" s="234"/>
      <c r="C26" s="235">
        <f>+'2022 BUDGET'!H26</f>
        <v>0</v>
      </c>
      <c r="D26" s="236">
        <f>+B26-C26</f>
        <v>0</v>
      </c>
      <c r="E26" s="234"/>
      <c r="F26" s="235">
        <f>+'2022 BUDGET'!I26</f>
        <v>0</v>
      </c>
      <c r="G26" s="236">
        <f t="shared" si="1"/>
        <v>0</v>
      </c>
      <c r="H26" s="234"/>
      <c r="I26" s="235">
        <f>+'2022 BUDGET'!J26</f>
        <v>0</v>
      </c>
      <c r="J26" s="236">
        <f t="shared" si="2"/>
        <v>0</v>
      </c>
      <c r="K26" s="237">
        <f aca="true" t="shared" si="5" ref="K26:L40">+B26+E26+H26</f>
        <v>0</v>
      </c>
      <c r="L26" s="235">
        <f t="shared" si="5"/>
        <v>0</v>
      </c>
      <c r="M26" s="236">
        <f t="shared" si="4"/>
        <v>0</v>
      </c>
      <c r="N26" s="237">
        <f>+K26+'TRIM 2'!N26</f>
        <v>0</v>
      </c>
      <c r="O26" s="235">
        <f>+L26+'TRIM 2'!O26</f>
        <v>0</v>
      </c>
      <c r="P26" s="236">
        <f>+M26+'TRIM 2'!P26</f>
        <v>0</v>
      </c>
    </row>
    <row r="27" spans="1:16" ht="12.75">
      <c r="A27" s="233" t="str">
        <f>+'2022 BUDGET'!A27</f>
        <v>Meeting &amp; seminars</v>
      </c>
      <c r="B27" s="234"/>
      <c r="C27" s="235">
        <f>+'2022 BUDGET'!H27</f>
        <v>8</v>
      </c>
      <c r="D27" s="236">
        <f>+B27-C27</f>
        <v>-8</v>
      </c>
      <c r="E27" s="234"/>
      <c r="F27" s="235">
        <f>+'2022 BUDGET'!I27</f>
        <v>9</v>
      </c>
      <c r="G27" s="236">
        <f>+E27-F27</f>
        <v>-9</v>
      </c>
      <c r="H27" s="234"/>
      <c r="I27" s="235">
        <f>+'2022 BUDGET'!J27</f>
        <v>8</v>
      </c>
      <c r="J27" s="236">
        <f t="shared" si="2"/>
        <v>-8</v>
      </c>
      <c r="K27" s="237">
        <f t="shared" si="5"/>
        <v>0</v>
      </c>
      <c r="L27" s="235">
        <f t="shared" si="5"/>
        <v>25</v>
      </c>
      <c r="M27" s="236">
        <f t="shared" si="4"/>
        <v>-25</v>
      </c>
      <c r="N27" s="237">
        <f>+K27+'TRIM 2'!N27</f>
        <v>0</v>
      </c>
      <c r="O27" s="235">
        <f>+L27+'TRIM 2'!O27</f>
        <v>76</v>
      </c>
      <c r="P27" s="236">
        <f>+M27+'TRIM 2'!P27</f>
        <v>-76</v>
      </c>
    </row>
    <row r="28" spans="1:16" ht="12.75">
      <c r="A28" s="233" t="str">
        <f>+'2022 BUDGET'!A28</f>
        <v>Contributions to people served</v>
      </c>
      <c r="B28" s="234"/>
      <c r="C28" s="235">
        <f>+'2022 BUDGET'!H28</f>
        <v>0</v>
      </c>
      <c r="D28" s="236">
        <f t="shared" si="0"/>
        <v>0</v>
      </c>
      <c r="E28" s="234"/>
      <c r="F28" s="235">
        <f>+'2022 BUDGET'!I28</f>
        <v>0</v>
      </c>
      <c r="G28" s="236">
        <f t="shared" si="1"/>
        <v>0</v>
      </c>
      <c r="H28" s="234"/>
      <c r="I28" s="235">
        <f>+'2022 BUDGET'!J28</f>
        <v>0</v>
      </c>
      <c r="J28" s="236">
        <f t="shared" si="2"/>
        <v>0</v>
      </c>
      <c r="K28" s="237">
        <f t="shared" si="5"/>
        <v>0</v>
      </c>
      <c r="L28" s="235">
        <f t="shared" si="5"/>
        <v>0</v>
      </c>
      <c r="M28" s="236">
        <f t="shared" si="4"/>
        <v>0</v>
      </c>
      <c r="N28" s="237">
        <f>+K28+'TRIM 2'!N28</f>
        <v>0</v>
      </c>
      <c r="O28" s="235">
        <f>+L28+'TRIM 2'!O28</f>
        <v>0</v>
      </c>
      <c r="P28" s="236">
        <f>+M28+'TRIM 2'!P28</f>
        <v>0</v>
      </c>
    </row>
    <row r="29" spans="1:16" ht="12.75">
      <c r="A29" s="233" t="str">
        <f>+'2022 BUDGET'!A29</f>
        <v>Depreciation</v>
      </c>
      <c r="B29" s="234">
        <v>420.82</v>
      </c>
      <c r="C29" s="235">
        <f>+'2022 BUDGET'!H29</f>
        <v>43</v>
      </c>
      <c r="D29" s="236">
        <f t="shared" si="0"/>
        <v>377.82</v>
      </c>
      <c r="E29" s="234">
        <f>-486.69</f>
        <v>-486.69</v>
      </c>
      <c r="F29" s="235">
        <f>+'2022 BUDGET'!I29</f>
        <v>42</v>
      </c>
      <c r="G29" s="236">
        <f t="shared" si="1"/>
        <v>-528.69</v>
      </c>
      <c r="H29" s="234">
        <v>-486.69</v>
      </c>
      <c r="I29" s="235">
        <f>+'2022 BUDGET'!J29</f>
        <v>43</v>
      </c>
      <c r="J29" s="236">
        <f t="shared" si="2"/>
        <v>-529.69</v>
      </c>
      <c r="K29" s="237">
        <f t="shared" si="5"/>
        <v>-552.56</v>
      </c>
      <c r="L29" s="235">
        <f t="shared" si="5"/>
        <v>128</v>
      </c>
      <c r="M29" s="236">
        <f t="shared" si="4"/>
        <v>-680.5600000000002</v>
      </c>
      <c r="N29" s="237">
        <f>+K29+'TRIM 2'!N29</f>
        <v>1972.3600000000001</v>
      </c>
      <c r="O29" s="235">
        <f>+L29+'TRIM 2'!O29</f>
        <v>383</v>
      </c>
      <c r="P29" s="236">
        <f>+M29+'TRIM 2'!P29</f>
        <v>1589.36</v>
      </c>
    </row>
    <row r="30" spans="1:16" ht="12.75">
      <c r="A30" s="233" t="str">
        <f>+'2022 BUDGET'!A30</f>
        <v>Computer Costs</v>
      </c>
      <c r="B30" s="234"/>
      <c r="C30" s="235">
        <f>+'2022 BUDGET'!H30</f>
        <v>83</v>
      </c>
      <c r="D30" s="236">
        <f t="shared" si="0"/>
        <v>-83</v>
      </c>
      <c r="E30" s="234"/>
      <c r="F30" s="235">
        <f>+'2022 BUDGET'!I30</f>
        <v>84</v>
      </c>
      <c r="G30" s="236">
        <f t="shared" si="1"/>
        <v>-84</v>
      </c>
      <c r="H30" s="234"/>
      <c r="I30" s="235">
        <f>+'2022 BUDGET'!J30</f>
        <v>83</v>
      </c>
      <c r="J30" s="236">
        <f t="shared" si="2"/>
        <v>-83</v>
      </c>
      <c r="K30" s="237">
        <f t="shared" si="5"/>
        <v>0</v>
      </c>
      <c r="L30" s="235">
        <f t="shared" si="5"/>
        <v>250</v>
      </c>
      <c r="M30" s="236">
        <f t="shared" si="4"/>
        <v>-250</v>
      </c>
      <c r="N30" s="237">
        <f>+K30+'TRIM 2'!N30</f>
        <v>1142</v>
      </c>
      <c r="O30" s="235">
        <f>+L30+'TRIM 2'!O30</f>
        <v>751</v>
      </c>
      <c r="P30" s="236">
        <f>+M30+'TRIM 2'!P30</f>
        <v>391</v>
      </c>
    </row>
    <row r="31" spans="1:16" ht="12.75">
      <c r="A31" s="233" t="str">
        <f>+'2022 BUDGET'!A31</f>
        <v>Brochure &amp; Printing</v>
      </c>
      <c r="B31" s="234"/>
      <c r="C31" s="235">
        <f>+'2022 BUDGET'!H31</f>
        <v>16</v>
      </c>
      <c r="D31" s="236">
        <f t="shared" si="0"/>
        <v>-16</v>
      </c>
      <c r="E31" s="234"/>
      <c r="F31" s="235">
        <f>+'2022 BUDGET'!I31</f>
        <v>17</v>
      </c>
      <c r="G31" s="236">
        <f t="shared" si="1"/>
        <v>-17</v>
      </c>
      <c r="H31" s="234"/>
      <c r="I31" s="235">
        <f>+'2022 BUDGET'!J31</f>
        <v>16</v>
      </c>
      <c r="J31" s="236">
        <f t="shared" si="2"/>
        <v>-16</v>
      </c>
      <c r="K31" s="237">
        <f t="shared" si="5"/>
        <v>0</v>
      </c>
      <c r="L31" s="235">
        <f t="shared" si="5"/>
        <v>49</v>
      </c>
      <c r="M31" s="236">
        <f t="shared" si="4"/>
        <v>-49</v>
      </c>
      <c r="N31" s="237">
        <f>+K31+'TRIM 2'!N31</f>
        <v>0</v>
      </c>
      <c r="O31" s="235">
        <f>+L31+'TRIM 2'!O31</f>
        <v>148</v>
      </c>
      <c r="P31" s="236">
        <f>+M31+'TRIM 2'!P31</f>
        <v>-148</v>
      </c>
    </row>
    <row r="32" spans="1:16" ht="12.75">
      <c r="A32" s="233" t="str">
        <f>+'2022 BUDGET'!A32</f>
        <v>Due To/From Other Ministries</v>
      </c>
      <c r="B32" s="234">
        <v>-589.55</v>
      </c>
      <c r="C32" s="235">
        <f>+'2022 BUDGET'!H32</f>
        <v>0</v>
      </c>
      <c r="D32" s="236">
        <f t="shared" si="0"/>
        <v>-589.55</v>
      </c>
      <c r="E32" s="234">
        <v>-3221.29</v>
      </c>
      <c r="F32" s="235">
        <f>+'2022 BUDGET'!I32</f>
        <v>0</v>
      </c>
      <c r="G32" s="236">
        <f t="shared" si="1"/>
        <v>-3221.29</v>
      </c>
      <c r="H32" s="234">
        <v>-2207.4</v>
      </c>
      <c r="I32" s="235">
        <f>+'2022 BUDGET'!J32</f>
        <v>0</v>
      </c>
      <c r="J32" s="236">
        <f t="shared" si="2"/>
        <v>-2207.4</v>
      </c>
      <c r="K32" s="237">
        <f t="shared" si="5"/>
        <v>-6018.24</v>
      </c>
      <c r="L32" s="235">
        <f t="shared" si="5"/>
        <v>0</v>
      </c>
      <c r="M32" s="236">
        <f t="shared" si="4"/>
        <v>-6018.24</v>
      </c>
      <c r="N32" s="237">
        <f>+K32+'TRIM 2'!N32</f>
        <v>-10965.31</v>
      </c>
      <c r="O32" s="235">
        <f>+L32+'TRIM 2'!O32</f>
        <v>0</v>
      </c>
      <c r="P32" s="236">
        <f>+M32+'TRIM 2'!P32</f>
        <v>-10965.31</v>
      </c>
    </row>
    <row r="33" spans="1:16" ht="12.75">
      <c r="A33" s="233" t="str">
        <f>+'2022 BUDGET'!A33</f>
        <v>Bureau of Workers Compensation</v>
      </c>
      <c r="B33" s="234"/>
      <c r="C33" s="235">
        <f>+'2022 BUDGET'!H33</f>
        <v>0</v>
      </c>
      <c r="D33" s="236">
        <f t="shared" si="0"/>
        <v>0</v>
      </c>
      <c r="E33" s="234"/>
      <c r="F33" s="235">
        <f>+'2022 BUDGET'!I33</f>
        <v>0</v>
      </c>
      <c r="G33" s="236">
        <f t="shared" si="1"/>
        <v>0</v>
      </c>
      <c r="H33" s="234"/>
      <c r="I33" s="235">
        <f>+'2022 BUDGET'!J33</f>
        <v>0</v>
      </c>
      <c r="J33" s="236">
        <f t="shared" si="2"/>
        <v>0</v>
      </c>
      <c r="K33" s="237">
        <f t="shared" si="5"/>
        <v>0</v>
      </c>
      <c r="L33" s="235">
        <f t="shared" si="5"/>
        <v>0</v>
      </c>
      <c r="M33" s="236">
        <f t="shared" si="4"/>
        <v>0</v>
      </c>
      <c r="N33" s="237">
        <f>+K33+'TRIM 2'!N33</f>
        <v>0</v>
      </c>
      <c r="O33" s="235">
        <f>+L33+'TRIM 2'!O33</f>
        <v>0</v>
      </c>
      <c r="P33" s="236">
        <f>+M33+'TRIM 2'!P33</f>
        <v>0</v>
      </c>
    </row>
    <row r="34" spans="1:16" ht="12.75">
      <c r="A34" s="233">
        <f>+'2022 BUDGET'!A34</f>
        <v>0</v>
      </c>
      <c r="B34" s="234"/>
      <c r="C34" s="235">
        <f>+'2022 BUDGET'!H34</f>
        <v>0</v>
      </c>
      <c r="D34" s="236">
        <f t="shared" si="0"/>
        <v>0</v>
      </c>
      <c r="E34" s="234">
        <v>28.5</v>
      </c>
      <c r="F34" s="235">
        <f>+'2022 BUDGET'!I34</f>
        <v>0</v>
      </c>
      <c r="G34" s="236">
        <f t="shared" si="1"/>
        <v>28.5</v>
      </c>
      <c r="H34" s="234">
        <v>7.06</v>
      </c>
      <c r="I34" s="235">
        <f>+'2022 BUDGET'!J34</f>
        <v>0</v>
      </c>
      <c r="J34" s="236">
        <f t="shared" si="2"/>
        <v>7.06</v>
      </c>
      <c r="K34" s="237">
        <f t="shared" si="5"/>
        <v>35.56</v>
      </c>
      <c r="L34" s="235">
        <f t="shared" si="5"/>
        <v>0</v>
      </c>
      <c r="M34" s="236">
        <f t="shared" si="4"/>
        <v>35.56</v>
      </c>
      <c r="N34" s="237">
        <f>+K34+'TRIM 2'!N34</f>
        <v>207.06</v>
      </c>
      <c r="O34" s="235">
        <f>+L34+'TRIM 2'!O34</f>
        <v>0</v>
      </c>
      <c r="P34" s="236">
        <f>+M34+'TRIM 2'!P34</f>
        <v>207.06</v>
      </c>
    </row>
    <row r="35" spans="1:16" ht="12.75">
      <c r="A35" s="233">
        <f>+'2022 BUDGET'!A35</f>
        <v>0</v>
      </c>
      <c r="B35" s="234"/>
      <c r="C35" s="235">
        <f>+'2022 BUDGET'!H35</f>
        <v>0</v>
      </c>
      <c r="D35" s="236">
        <f t="shared" si="0"/>
        <v>0</v>
      </c>
      <c r="E35" s="234"/>
      <c r="F35" s="235">
        <f>+'2022 BUDGET'!I35</f>
        <v>0</v>
      </c>
      <c r="G35" s="236">
        <f t="shared" si="1"/>
        <v>0</v>
      </c>
      <c r="H35" s="234"/>
      <c r="I35" s="235">
        <f>+'2022 BUDGET'!J35</f>
        <v>0</v>
      </c>
      <c r="J35" s="236">
        <f t="shared" si="2"/>
        <v>0</v>
      </c>
      <c r="K35" s="237">
        <f t="shared" si="5"/>
        <v>0</v>
      </c>
      <c r="L35" s="235">
        <f t="shared" si="5"/>
        <v>0</v>
      </c>
      <c r="M35" s="236">
        <f t="shared" si="4"/>
        <v>0</v>
      </c>
      <c r="N35" s="237">
        <f>+K35+'TRIM 2'!N35</f>
        <v>0</v>
      </c>
      <c r="O35" s="235">
        <f>+L35+'TRIM 2'!O35</f>
        <v>0</v>
      </c>
      <c r="P35" s="236">
        <f>+M35+'TRIM 2'!P35</f>
        <v>0</v>
      </c>
    </row>
    <row r="36" spans="1:16" ht="12.75">
      <c r="A36" s="233">
        <f>+'2022 BUDGET'!A36</f>
        <v>0</v>
      </c>
      <c r="B36" s="234"/>
      <c r="C36" s="235">
        <f>+'2022 BUDGET'!H36</f>
        <v>0</v>
      </c>
      <c r="D36" s="236">
        <f t="shared" si="0"/>
        <v>0</v>
      </c>
      <c r="E36" s="234"/>
      <c r="F36" s="235">
        <f>+'2022 BUDGET'!I36</f>
        <v>0</v>
      </c>
      <c r="G36" s="236">
        <f t="shared" si="1"/>
        <v>0</v>
      </c>
      <c r="H36" s="234"/>
      <c r="I36" s="235">
        <f>+'2022 BUDGET'!J36</f>
        <v>0</v>
      </c>
      <c r="J36" s="236">
        <f t="shared" si="2"/>
        <v>0</v>
      </c>
      <c r="K36" s="237">
        <f t="shared" si="5"/>
        <v>0</v>
      </c>
      <c r="L36" s="235">
        <f t="shared" si="5"/>
        <v>0</v>
      </c>
      <c r="M36" s="236">
        <f t="shared" si="4"/>
        <v>0</v>
      </c>
      <c r="N36" s="237">
        <f>+K36+'TRIM 2'!N36</f>
        <v>0</v>
      </c>
      <c r="O36" s="235">
        <f>+L36+'TRIM 2'!O36</f>
        <v>0</v>
      </c>
      <c r="P36" s="236">
        <f>+M36+'TRIM 2'!P36</f>
        <v>0</v>
      </c>
    </row>
    <row r="37" spans="1:16" ht="12.75">
      <c r="A37" s="233">
        <f>+'2022 BUDGET'!A37</f>
        <v>0</v>
      </c>
      <c r="B37" s="234"/>
      <c r="C37" s="235">
        <f>+'2022 BUDGET'!H37</f>
        <v>0</v>
      </c>
      <c r="D37" s="236">
        <f t="shared" si="0"/>
        <v>0</v>
      </c>
      <c r="E37" s="234"/>
      <c r="F37" s="235">
        <f>+'2022 BUDGET'!I37</f>
        <v>0</v>
      </c>
      <c r="G37" s="236">
        <f t="shared" si="1"/>
        <v>0</v>
      </c>
      <c r="H37" s="234"/>
      <c r="I37" s="235">
        <f>+'2022 BUDGET'!J37</f>
        <v>0</v>
      </c>
      <c r="J37" s="236">
        <f t="shared" si="2"/>
        <v>0</v>
      </c>
      <c r="K37" s="237">
        <f t="shared" si="5"/>
        <v>0</v>
      </c>
      <c r="L37" s="235">
        <f t="shared" si="5"/>
        <v>0</v>
      </c>
      <c r="M37" s="236">
        <f t="shared" si="4"/>
        <v>0</v>
      </c>
      <c r="N37" s="237">
        <f>+K37+'TRIM 2'!N37</f>
        <v>0</v>
      </c>
      <c r="O37" s="235">
        <f>+L37+'TRIM 2'!O37</f>
        <v>0</v>
      </c>
      <c r="P37" s="236">
        <f>+M37+'TRIM 2'!P37</f>
        <v>0</v>
      </c>
    </row>
    <row r="38" spans="1:16" ht="12.75">
      <c r="A38" s="233">
        <f>+'2022 BUDGET'!A38</f>
        <v>0</v>
      </c>
      <c r="B38" s="234"/>
      <c r="C38" s="235">
        <f>+'2022 BUDGET'!H38</f>
        <v>0</v>
      </c>
      <c r="D38" s="236">
        <f t="shared" si="0"/>
        <v>0</v>
      </c>
      <c r="E38" s="234"/>
      <c r="F38" s="235">
        <f>+'2022 BUDGET'!I38</f>
        <v>0</v>
      </c>
      <c r="G38" s="236">
        <f t="shared" si="1"/>
        <v>0</v>
      </c>
      <c r="H38" s="234"/>
      <c r="I38" s="235">
        <f>+'2022 BUDGET'!J38</f>
        <v>0</v>
      </c>
      <c r="J38" s="236">
        <f t="shared" si="2"/>
        <v>0</v>
      </c>
      <c r="K38" s="237">
        <f t="shared" si="5"/>
        <v>0</v>
      </c>
      <c r="L38" s="235">
        <f t="shared" si="5"/>
        <v>0</v>
      </c>
      <c r="M38" s="236">
        <f t="shared" si="4"/>
        <v>0</v>
      </c>
      <c r="N38" s="237">
        <f>+K38+'TRIM 2'!N38</f>
        <v>0</v>
      </c>
      <c r="O38" s="235">
        <f>+L38+'TRIM 2'!O38</f>
        <v>0</v>
      </c>
      <c r="P38" s="236">
        <f>+M38+'TRIM 2'!P38</f>
        <v>0</v>
      </c>
    </row>
    <row r="39" spans="1:16" ht="12.75">
      <c r="A39" s="233">
        <f>+'2022 BUDGET'!A39</f>
        <v>0</v>
      </c>
      <c r="B39" s="234"/>
      <c r="C39" s="235">
        <f>+'2022 BUDGET'!H39</f>
        <v>0</v>
      </c>
      <c r="D39" s="236">
        <f t="shared" si="0"/>
        <v>0</v>
      </c>
      <c r="E39" s="234"/>
      <c r="F39" s="235">
        <f>+'2022 BUDGET'!I39</f>
        <v>0</v>
      </c>
      <c r="G39" s="236">
        <f t="shared" si="1"/>
        <v>0</v>
      </c>
      <c r="H39" s="234"/>
      <c r="I39" s="235">
        <f>+'2022 BUDGET'!J39</f>
        <v>0</v>
      </c>
      <c r="J39" s="236">
        <f t="shared" si="2"/>
        <v>0</v>
      </c>
      <c r="K39" s="237">
        <f t="shared" si="5"/>
        <v>0</v>
      </c>
      <c r="L39" s="235">
        <f t="shared" si="5"/>
        <v>0</v>
      </c>
      <c r="M39" s="236">
        <f t="shared" si="4"/>
        <v>0</v>
      </c>
      <c r="N39" s="237">
        <f>+K39+'TRIM 2'!N39</f>
        <v>0</v>
      </c>
      <c r="O39" s="235">
        <f>+L39+'TRIM 2'!O39</f>
        <v>0</v>
      </c>
      <c r="P39" s="236">
        <f>+M39+'TRIM 2'!P39</f>
        <v>0</v>
      </c>
    </row>
    <row r="40" spans="1:16" ht="12.75">
      <c r="A40" s="233">
        <f>+'2022 BUDGET'!A40</f>
        <v>0</v>
      </c>
      <c r="B40" s="234"/>
      <c r="C40" s="235">
        <f>+'2022 BUDGET'!H40</f>
        <v>0</v>
      </c>
      <c r="D40" s="236">
        <f t="shared" si="0"/>
        <v>0</v>
      </c>
      <c r="E40" s="234"/>
      <c r="F40" s="235">
        <f>+'2022 BUDGET'!I40</f>
        <v>0</v>
      </c>
      <c r="G40" s="236">
        <f t="shared" si="1"/>
        <v>0</v>
      </c>
      <c r="H40" s="234"/>
      <c r="I40" s="235">
        <f>+'2022 BUDGET'!J40</f>
        <v>0</v>
      </c>
      <c r="J40" s="236">
        <f t="shared" si="2"/>
        <v>0</v>
      </c>
      <c r="K40" s="237">
        <f t="shared" si="5"/>
        <v>0</v>
      </c>
      <c r="L40" s="235">
        <f t="shared" si="5"/>
        <v>0</v>
      </c>
      <c r="M40" s="236">
        <f t="shared" si="4"/>
        <v>0</v>
      </c>
      <c r="N40" s="237">
        <f>+K40+'TRIM 2'!N40</f>
        <v>0</v>
      </c>
      <c r="O40" s="235">
        <f>+L40+'TRIM 2'!O40</f>
        <v>0</v>
      </c>
      <c r="P40" s="236">
        <f>+M40+'TRIM 2'!P40</f>
        <v>0</v>
      </c>
    </row>
    <row r="41" spans="1:16" ht="12.75">
      <c r="A41" s="233">
        <f>+'2022 BUDGET'!A41</f>
        <v>0</v>
      </c>
      <c r="B41" s="234"/>
      <c r="C41" s="235">
        <f>+'2022 BUDGET'!H41</f>
        <v>0</v>
      </c>
      <c r="D41" s="236">
        <f>+B41-C41</f>
        <v>0</v>
      </c>
      <c r="E41" s="234"/>
      <c r="F41" s="235">
        <f>+'2022 BUDGET'!I41</f>
        <v>0</v>
      </c>
      <c r="G41" s="236">
        <f>+E41-F41</f>
        <v>0</v>
      </c>
      <c r="H41" s="234"/>
      <c r="I41" s="235">
        <f>+'2022 BUDGET'!J41</f>
        <v>0</v>
      </c>
      <c r="J41" s="236">
        <f>+H41-I41</f>
        <v>0</v>
      </c>
      <c r="K41" s="237">
        <f>+B41+E41+H41</f>
        <v>0</v>
      </c>
      <c r="L41" s="235">
        <f>+C41+F41+I41</f>
        <v>0</v>
      </c>
      <c r="M41" s="236">
        <f>D41+G41+J41</f>
        <v>0</v>
      </c>
      <c r="N41" s="237">
        <f>+K41+'TRIM 2'!N41</f>
        <v>0</v>
      </c>
      <c r="O41" s="235">
        <f>+L41+'TRIM 2'!O41</f>
        <v>0</v>
      </c>
      <c r="P41" s="236">
        <f>+M41+'TRIM 2'!P41</f>
        <v>0</v>
      </c>
    </row>
    <row r="42" spans="1:16" ht="12.75" customHeight="1">
      <c r="A42" s="239" t="s">
        <v>180</v>
      </c>
      <c r="B42" s="240">
        <f>SUM(B9:B41)</f>
        <v>-168.72999999999996</v>
      </c>
      <c r="C42" s="240">
        <f aca="true" t="shared" si="6" ref="C42:M42">SUM(C9:C41)</f>
        <v>650</v>
      </c>
      <c r="D42" s="240">
        <f t="shared" si="6"/>
        <v>-818.73</v>
      </c>
      <c r="E42" s="240">
        <f t="shared" si="6"/>
        <v>-3206.36</v>
      </c>
      <c r="F42" s="240">
        <f t="shared" si="6"/>
        <v>351</v>
      </c>
      <c r="G42" s="240">
        <f t="shared" si="6"/>
        <v>-3557.36</v>
      </c>
      <c r="H42" s="240">
        <f t="shared" si="6"/>
        <v>-1501.96</v>
      </c>
      <c r="I42" s="240">
        <f t="shared" si="6"/>
        <v>362.5</v>
      </c>
      <c r="J42" s="240">
        <f t="shared" si="6"/>
        <v>-1864.46</v>
      </c>
      <c r="K42" s="240">
        <f t="shared" si="6"/>
        <v>-4877.049999999999</v>
      </c>
      <c r="L42" s="240">
        <f t="shared" si="6"/>
        <v>1363.5</v>
      </c>
      <c r="M42" s="240">
        <f t="shared" si="6"/>
        <v>-6240.549999999999</v>
      </c>
      <c r="N42" s="240">
        <f>SUM(N9:N41)</f>
        <v>-3690.979999999999</v>
      </c>
      <c r="O42" s="240">
        <f>SUM(O9:O41)</f>
        <v>4091.5</v>
      </c>
      <c r="P42" s="240">
        <f>SUM(P9:P41)</f>
        <v>-7782.479999999999</v>
      </c>
    </row>
    <row r="43" spans="1:16" ht="12.75" customHeight="1">
      <c r="A43" s="241"/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</row>
    <row r="44" spans="1:16" ht="12.75">
      <c r="A44" s="243"/>
      <c r="B44" s="244"/>
      <c r="C44" s="245"/>
      <c r="D44" s="246"/>
      <c r="E44" s="247"/>
      <c r="F44" s="248"/>
      <c r="G44" s="249"/>
      <c r="H44" s="247"/>
      <c r="I44" s="248"/>
      <c r="J44" s="249"/>
      <c r="K44" s="250"/>
      <c r="L44" s="248"/>
      <c r="M44" s="249"/>
      <c r="N44" s="250"/>
      <c r="O44" s="248"/>
      <c r="P44" s="251"/>
    </row>
    <row r="45" spans="1:16" ht="12.75">
      <c r="A45" s="252" t="str">
        <f>'2022 BUDGET'!A45</f>
        <v>Staff expenses</v>
      </c>
      <c r="B45" s="244"/>
      <c r="C45" s="245"/>
      <c r="D45" s="246"/>
      <c r="E45" s="247"/>
      <c r="F45" s="248"/>
      <c r="G45" s="249"/>
      <c r="H45" s="247"/>
      <c r="I45" s="248"/>
      <c r="J45" s="249"/>
      <c r="K45" s="250"/>
      <c r="L45" s="248"/>
      <c r="M45" s="249"/>
      <c r="N45" s="250"/>
      <c r="O45" s="248"/>
      <c r="P45" s="251"/>
    </row>
    <row r="46" spans="1:16" ht="12.75">
      <c r="A46" s="253"/>
      <c r="B46" s="227" t="str">
        <f>+B8</f>
        <v>ACTUALS</v>
      </c>
      <c r="C46" s="228" t="str">
        <f>+C8</f>
        <v>BUDGET</v>
      </c>
      <c r="D46" s="229" t="str">
        <f>+D8</f>
        <v>DIFF.</v>
      </c>
      <c r="E46" s="234" t="str">
        <f>E8</f>
        <v>ACTUALS</v>
      </c>
      <c r="F46" s="254" t="str">
        <f aca="true" t="shared" si="7" ref="F46:P46">+F8</f>
        <v>BUDGET</v>
      </c>
      <c r="G46" s="255" t="str">
        <f t="shared" si="7"/>
        <v>DIFF.</v>
      </c>
      <c r="H46" s="256" t="str">
        <f t="shared" si="7"/>
        <v>ACTUALS</v>
      </c>
      <c r="I46" s="254" t="str">
        <f t="shared" si="7"/>
        <v>BUDGET</v>
      </c>
      <c r="J46" s="255" t="str">
        <f t="shared" si="7"/>
        <v>DIFF.</v>
      </c>
      <c r="K46" s="257" t="str">
        <f t="shared" si="7"/>
        <v>ACTUALS</v>
      </c>
      <c r="L46" s="254" t="str">
        <f t="shared" si="7"/>
        <v>BUDGET</v>
      </c>
      <c r="M46" s="255" t="str">
        <f t="shared" si="7"/>
        <v>DIFF.</v>
      </c>
      <c r="N46" s="257" t="str">
        <f t="shared" si="7"/>
        <v>ACTUALS</v>
      </c>
      <c r="O46" s="254" t="str">
        <f t="shared" si="7"/>
        <v>BUDGET</v>
      </c>
      <c r="P46" s="258" t="str">
        <f t="shared" si="7"/>
        <v>DIFF.</v>
      </c>
    </row>
    <row r="47" spans="1:16" ht="12.75">
      <c r="A47" s="259" t="str">
        <f>+'2022 BUDGET'!A47</f>
        <v>Salaries</v>
      </c>
      <c r="B47" s="234">
        <v>450.24</v>
      </c>
      <c r="C47" s="235">
        <f>+'2022 BUDGET'!H47</f>
        <v>3165.63</v>
      </c>
      <c r="D47" s="236">
        <f>+B47-C47</f>
        <v>-2715.3900000000003</v>
      </c>
      <c r="E47" s="234">
        <v>2760.36</v>
      </c>
      <c r="F47" s="235">
        <f>+'2022 BUDGET'!I47</f>
        <v>4748.39</v>
      </c>
      <c r="G47" s="236">
        <f>+E47-F47</f>
        <v>-1988.0300000000002</v>
      </c>
      <c r="H47" s="234">
        <v>1397.04</v>
      </c>
      <c r="I47" s="235">
        <f>+'2022 BUDGET'!J47</f>
        <v>3165.63</v>
      </c>
      <c r="J47" s="236">
        <f>+H47-I47</f>
        <v>-1768.5900000000001</v>
      </c>
      <c r="K47" s="237">
        <f>+B47+E47+H47</f>
        <v>4607.64</v>
      </c>
      <c r="L47" s="235">
        <f>+C47+F47+I47</f>
        <v>11079.650000000001</v>
      </c>
      <c r="M47" s="236">
        <f>D47+G47+J47</f>
        <v>-6472.01</v>
      </c>
      <c r="N47" s="237">
        <f>+K47+'TRIM 2'!N47</f>
        <v>7870.01</v>
      </c>
      <c r="O47" s="235">
        <f>+L47+'TRIM 2'!O47</f>
        <v>31656.24</v>
      </c>
      <c r="P47" s="236">
        <f>+M47+'TRIM 2'!P47</f>
        <v>-23786.230000000003</v>
      </c>
    </row>
    <row r="48" spans="1:16" ht="12.75">
      <c r="A48" s="259" t="str">
        <f>+'2022 BUDGET'!A48</f>
        <v>Employees Benefits</v>
      </c>
      <c r="B48" s="234">
        <v>108.67</v>
      </c>
      <c r="C48" s="235">
        <f>+'2022 BUDGET'!H48</f>
        <v>585.55</v>
      </c>
      <c r="D48" s="236">
        <f aca="true" t="shared" si="8" ref="D48:D55">+B48-C48</f>
        <v>-476.87999999999994</v>
      </c>
      <c r="E48" s="234">
        <v>70.89</v>
      </c>
      <c r="F48" s="235">
        <f>+'2022 BUDGET'!I48</f>
        <v>585.54</v>
      </c>
      <c r="G48" s="236">
        <f aca="true" t="shared" si="9" ref="G48:G55">+E48-F48</f>
        <v>-514.65</v>
      </c>
      <c r="H48" s="234">
        <v>108.67</v>
      </c>
      <c r="I48" s="235">
        <f>+'2022 BUDGET'!J48</f>
        <v>585.55</v>
      </c>
      <c r="J48" s="236">
        <f aca="true" t="shared" si="10" ref="J48:J55">+H48-I48</f>
        <v>-476.87999999999994</v>
      </c>
      <c r="K48" s="237">
        <f aca="true" t="shared" si="11" ref="K48:L55">+B48+E48+H48</f>
        <v>288.23</v>
      </c>
      <c r="L48" s="235">
        <f t="shared" si="11"/>
        <v>1756.6399999999999</v>
      </c>
      <c r="M48" s="236">
        <f aca="true" t="shared" si="12" ref="M48:M55">D48+G48+J48</f>
        <v>-1468.4099999999999</v>
      </c>
      <c r="N48" s="237">
        <f>+K48+'TRIM 2'!N48</f>
        <v>1613.67</v>
      </c>
      <c r="O48" s="235">
        <f>+L48+'TRIM 2'!O48</f>
        <v>5269.91</v>
      </c>
      <c r="P48" s="236">
        <f>+M48+'TRIM 2'!P48</f>
        <v>-3656.24</v>
      </c>
    </row>
    <row r="49" spans="1:16" ht="12.75">
      <c r="A49" s="259" t="str">
        <f>+'2022 BUDGET'!A49</f>
        <v>Pension Contribution</v>
      </c>
      <c r="B49" s="234"/>
      <c r="C49" s="235">
        <f>+'2022 BUDGET'!H49</f>
        <v>0</v>
      </c>
      <c r="D49" s="236">
        <f t="shared" si="8"/>
        <v>0</v>
      </c>
      <c r="E49" s="234"/>
      <c r="F49" s="235">
        <f>+'2022 BUDGET'!I49</f>
        <v>0</v>
      </c>
      <c r="G49" s="236">
        <f t="shared" si="9"/>
        <v>0</v>
      </c>
      <c r="H49" s="234"/>
      <c r="I49" s="235">
        <f>+'2022 BUDGET'!J49</f>
        <v>0</v>
      </c>
      <c r="J49" s="236">
        <f t="shared" si="10"/>
        <v>0</v>
      </c>
      <c r="K49" s="237">
        <f t="shared" si="11"/>
        <v>0</v>
      </c>
      <c r="L49" s="235">
        <f t="shared" si="11"/>
        <v>0</v>
      </c>
      <c r="M49" s="236">
        <f t="shared" si="12"/>
        <v>0</v>
      </c>
      <c r="N49" s="237">
        <f>+K49+'TRIM 2'!N49</f>
        <v>-0.36999999999999744</v>
      </c>
      <c r="O49" s="235">
        <f>+L49+'TRIM 2'!O49</f>
        <v>0</v>
      </c>
      <c r="P49" s="236">
        <f>+M49+'TRIM 2'!P49</f>
        <v>-0.36999999999999744</v>
      </c>
    </row>
    <row r="50" spans="1:16" ht="12.75">
      <c r="A50" s="259" t="str">
        <f>+'2022 BUDGET'!A50</f>
        <v>Payroll taxes</v>
      </c>
      <c r="B50" s="234">
        <v>30.64</v>
      </c>
      <c r="C50" s="235">
        <f>+'2022 BUDGET'!H50</f>
        <v>277.5</v>
      </c>
      <c r="D50" s="236">
        <f t="shared" si="8"/>
        <v>-246.86</v>
      </c>
      <c r="E50" s="234">
        <v>206.78</v>
      </c>
      <c r="F50" s="235">
        <f>+'2022 BUDGET'!I50</f>
        <v>416.24</v>
      </c>
      <c r="G50" s="236">
        <f t="shared" si="9"/>
        <v>-209.46</v>
      </c>
      <c r="H50" s="234">
        <v>102.32</v>
      </c>
      <c r="I50" s="235">
        <f>+'2022 BUDGET'!J50</f>
        <v>277.5</v>
      </c>
      <c r="J50" s="236">
        <f t="shared" si="10"/>
        <v>-175.18</v>
      </c>
      <c r="K50" s="237">
        <f t="shared" si="11"/>
        <v>339.74</v>
      </c>
      <c r="L50" s="235">
        <f t="shared" si="11"/>
        <v>971.24</v>
      </c>
      <c r="M50" s="236">
        <f t="shared" si="12"/>
        <v>-631.5</v>
      </c>
      <c r="N50" s="237">
        <f>+K50+'TRIM 2'!N50</f>
        <v>575.83</v>
      </c>
      <c r="O50" s="235">
        <f>+L50+'TRIM 2'!O50</f>
        <v>2774.99</v>
      </c>
      <c r="P50" s="236">
        <f>+M50+'TRIM 2'!P50</f>
        <v>-2199.16</v>
      </c>
    </row>
    <row r="51" spans="1:16" ht="12.75">
      <c r="A51" s="259" t="str">
        <f>+'2022 BUDGET'!A51</f>
        <v>Formation for employees</v>
      </c>
      <c r="B51" s="234"/>
      <c r="C51" s="235">
        <f>+'2022 BUDGET'!H51</f>
        <v>0</v>
      </c>
      <c r="D51" s="236">
        <f t="shared" si="8"/>
        <v>0</v>
      </c>
      <c r="E51" s="234"/>
      <c r="F51" s="235">
        <f>+'2022 BUDGET'!I51</f>
        <v>0</v>
      </c>
      <c r="G51" s="236">
        <f t="shared" si="9"/>
        <v>0</v>
      </c>
      <c r="H51" s="234"/>
      <c r="I51" s="235">
        <f>+'2022 BUDGET'!J51</f>
        <v>0</v>
      </c>
      <c r="J51" s="236">
        <f t="shared" si="10"/>
        <v>0</v>
      </c>
      <c r="K51" s="237">
        <f t="shared" si="11"/>
        <v>0</v>
      </c>
      <c r="L51" s="235">
        <f t="shared" si="11"/>
        <v>0</v>
      </c>
      <c r="M51" s="236">
        <f t="shared" si="12"/>
        <v>0</v>
      </c>
      <c r="N51" s="237">
        <f>+K51+'TRIM 2'!N51</f>
        <v>0</v>
      </c>
      <c r="O51" s="235">
        <f>+L51+'TRIM 2'!O51</f>
        <v>0</v>
      </c>
      <c r="P51" s="236">
        <f>+M51+'TRIM 2'!P51</f>
        <v>0</v>
      </c>
    </row>
    <row r="52" spans="1:16" ht="12.75">
      <c r="A52" s="259" t="str">
        <f>+'2022 BUDGET'!A52</f>
        <v>SFP mission orientation programs</v>
      </c>
      <c r="B52" s="234"/>
      <c r="C52" s="235">
        <f>+'2022 BUDGET'!H52</f>
        <v>0</v>
      </c>
      <c r="D52" s="236">
        <f t="shared" si="8"/>
        <v>0</v>
      </c>
      <c r="E52" s="234"/>
      <c r="F52" s="235">
        <f>+'2022 BUDGET'!I52</f>
        <v>0</v>
      </c>
      <c r="G52" s="236">
        <f t="shared" si="9"/>
        <v>0</v>
      </c>
      <c r="H52" s="234"/>
      <c r="I52" s="235">
        <f>+'2022 BUDGET'!J52</f>
        <v>0</v>
      </c>
      <c r="J52" s="236">
        <f t="shared" si="10"/>
        <v>0</v>
      </c>
      <c r="K52" s="237">
        <f t="shared" si="11"/>
        <v>0</v>
      </c>
      <c r="L52" s="235">
        <f t="shared" si="11"/>
        <v>0</v>
      </c>
      <c r="M52" s="236">
        <f t="shared" si="12"/>
        <v>0</v>
      </c>
      <c r="N52" s="237">
        <f>+K52+'TRIM 2'!N52</f>
        <v>0</v>
      </c>
      <c r="O52" s="235">
        <f>+L52+'TRIM 2'!O52</f>
        <v>0</v>
      </c>
      <c r="P52" s="236">
        <f>+M52+'TRIM 2'!P52</f>
        <v>0</v>
      </c>
    </row>
    <row r="53" spans="1:16" ht="12.75">
      <c r="A53" s="259" t="str">
        <f>+'2022 BUDGET'!A53</f>
        <v>Consultants</v>
      </c>
      <c r="B53" s="234">
        <v>20</v>
      </c>
      <c r="C53" s="235">
        <f>+'2022 BUDGET'!H53</f>
        <v>300</v>
      </c>
      <c r="D53" s="236">
        <f t="shared" si="8"/>
        <v>-280</v>
      </c>
      <c r="E53" s="234">
        <v>180</v>
      </c>
      <c r="F53" s="235">
        <f>+'2022 BUDGET'!I53</f>
        <v>300</v>
      </c>
      <c r="G53" s="236">
        <f t="shared" si="9"/>
        <v>-120</v>
      </c>
      <c r="H53" s="234">
        <v>90</v>
      </c>
      <c r="I53" s="235">
        <f>+'2022 BUDGET'!J53</f>
        <v>300</v>
      </c>
      <c r="J53" s="236">
        <f t="shared" si="10"/>
        <v>-210</v>
      </c>
      <c r="K53" s="237">
        <f t="shared" si="11"/>
        <v>290</v>
      </c>
      <c r="L53" s="235">
        <f t="shared" si="11"/>
        <v>900</v>
      </c>
      <c r="M53" s="236">
        <f t="shared" si="12"/>
        <v>-610</v>
      </c>
      <c r="N53" s="237">
        <f>+K53+'TRIM 2'!N53</f>
        <v>484</v>
      </c>
      <c r="O53" s="235">
        <f>+L53+'TRIM 2'!O53</f>
        <v>2700</v>
      </c>
      <c r="P53" s="236">
        <f>+M53+'TRIM 2'!P53</f>
        <v>-2216</v>
      </c>
    </row>
    <row r="54" spans="1:16" ht="12.75">
      <c r="A54" s="259">
        <f>+'2022 BUDGET'!A54</f>
        <v>0</v>
      </c>
      <c r="B54" s="234"/>
      <c r="C54" s="235">
        <f>+'2022 BUDGET'!H54</f>
        <v>0</v>
      </c>
      <c r="D54" s="236">
        <f t="shared" si="8"/>
        <v>0</v>
      </c>
      <c r="E54" s="234"/>
      <c r="F54" s="235">
        <f>+'2022 BUDGET'!I54</f>
        <v>0</v>
      </c>
      <c r="G54" s="236">
        <f t="shared" si="9"/>
        <v>0</v>
      </c>
      <c r="H54" s="234"/>
      <c r="I54" s="235">
        <f>+'2022 BUDGET'!J54</f>
        <v>0</v>
      </c>
      <c r="J54" s="236">
        <f t="shared" si="10"/>
        <v>0</v>
      </c>
      <c r="K54" s="237">
        <f t="shared" si="11"/>
        <v>0</v>
      </c>
      <c r="L54" s="235">
        <f t="shared" si="11"/>
        <v>0</v>
      </c>
      <c r="M54" s="236">
        <f t="shared" si="12"/>
        <v>0</v>
      </c>
      <c r="N54" s="237">
        <f>+K54+'TRIM 2'!N54</f>
        <v>0</v>
      </c>
      <c r="O54" s="235">
        <f>+L54+'TRIM 2'!O54</f>
        <v>0</v>
      </c>
      <c r="P54" s="236">
        <f>+M54+'TRIM 2'!P54</f>
        <v>0</v>
      </c>
    </row>
    <row r="55" spans="1:16" ht="12.75">
      <c r="A55" s="259">
        <f>+'2022 BUDGET'!A55</f>
        <v>0</v>
      </c>
      <c r="B55" s="234"/>
      <c r="C55" s="235">
        <f>+'2022 BUDGET'!H55</f>
        <v>0</v>
      </c>
      <c r="D55" s="236">
        <f t="shared" si="8"/>
        <v>0</v>
      </c>
      <c r="E55" s="234"/>
      <c r="F55" s="235">
        <f>+'2022 BUDGET'!I55</f>
        <v>0</v>
      </c>
      <c r="G55" s="236">
        <f t="shared" si="9"/>
        <v>0</v>
      </c>
      <c r="H55" s="234"/>
      <c r="I55" s="235">
        <f>+'2022 BUDGET'!J55</f>
        <v>0</v>
      </c>
      <c r="J55" s="236">
        <f t="shared" si="10"/>
        <v>0</v>
      </c>
      <c r="K55" s="237">
        <f t="shared" si="11"/>
        <v>0</v>
      </c>
      <c r="L55" s="235">
        <f t="shared" si="11"/>
        <v>0</v>
      </c>
      <c r="M55" s="236">
        <f t="shared" si="12"/>
        <v>0</v>
      </c>
      <c r="N55" s="237">
        <f>+K55+'TRIM 2'!N55</f>
        <v>0</v>
      </c>
      <c r="O55" s="235">
        <f>+L55+'TRIM 2'!O55</f>
        <v>0</v>
      </c>
      <c r="P55" s="236">
        <f>+M55+'TRIM 2'!P55</f>
        <v>0</v>
      </c>
    </row>
    <row r="56" spans="1:16" s="262" customFormat="1" ht="12.75">
      <c r="A56" s="239" t="s">
        <v>181</v>
      </c>
      <c r="B56" s="260">
        <f aca="true" t="shared" si="13" ref="B56:P56">SUM(B47:B55)</f>
        <v>609.55</v>
      </c>
      <c r="C56" s="261">
        <f t="shared" si="13"/>
        <v>4328.68</v>
      </c>
      <c r="D56" s="261">
        <f t="shared" si="13"/>
        <v>-3719.1300000000006</v>
      </c>
      <c r="E56" s="260">
        <f t="shared" si="13"/>
        <v>3218.03</v>
      </c>
      <c r="F56" s="261">
        <f t="shared" si="13"/>
        <v>6050.17</v>
      </c>
      <c r="G56" s="261">
        <f t="shared" si="13"/>
        <v>-2832.1400000000003</v>
      </c>
      <c r="H56" s="260">
        <f t="shared" si="13"/>
        <v>1698.03</v>
      </c>
      <c r="I56" s="261">
        <f t="shared" si="13"/>
        <v>4328.68</v>
      </c>
      <c r="J56" s="261">
        <f t="shared" si="13"/>
        <v>-2630.65</v>
      </c>
      <c r="K56" s="260">
        <f t="shared" si="13"/>
        <v>5525.610000000001</v>
      </c>
      <c r="L56" s="261">
        <f t="shared" si="13"/>
        <v>14707.53</v>
      </c>
      <c r="M56" s="261">
        <f t="shared" si="13"/>
        <v>-9181.92</v>
      </c>
      <c r="N56" s="260">
        <f t="shared" si="13"/>
        <v>10543.14</v>
      </c>
      <c r="O56" s="261">
        <f t="shared" si="13"/>
        <v>42401.14</v>
      </c>
      <c r="P56" s="261">
        <f t="shared" si="13"/>
        <v>-31858</v>
      </c>
    </row>
    <row r="57" spans="1:16" s="267" customFormat="1" ht="12.75">
      <c r="A57" s="263"/>
      <c r="B57" s="264"/>
      <c r="C57" s="265"/>
      <c r="D57" s="265"/>
      <c r="E57" s="266"/>
      <c r="F57" s="265"/>
      <c r="G57" s="265"/>
      <c r="H57" s="266"/>
      <c r="I57" s="265"/>
      <c r="J57" s="265"/>
      <c r="K57" s="265"/>
      <c r="L57" s="265"/>
      <c r="M57" s="265"/>
      <c r="N57" s="265"/>
      <c r="O57" s="265"/>
      <c r="P57" s="265"/>
    </row>
    <row r="58" spans="1:16" s="267" customFormat="1" ht="12.75">
      <c r="A58" s="268" t="s">
        <v>120</v>
      </c>
      <c r="B58" s="269">
        <f aca="true" t="shared" si="14" ref="B58:P58">B42+B56</f>
        <v>440.82</v>
      </c>
      <c r="C58" s="269">
        <f t="shared" si="14"/>
        <v>4978.68</v>
      </c>
      <c r="D58" s="269">
        <f t="shared" si="14"/>
        <v>-4537.860000000001</v>
      </c>
      <c r="E58" s="269">
        <f t="shared" si="14"/>
        <v>11.670000000000073</v>
      </c>
      <c r="F58" s="269">
        <f t="shared" si="14"/>
        <v>6401.17</v>
      </c>
      <c r="G58" s="269">
        <f t="shared" si="14"/>
        <v>-6389.5</v>
      </c>
      <c r="H58" s="269">
        <f t="shared" si="14"/>
        <v>196.06999999999994</v>
      </c>
      <c r="I58" s="269">
        <f t="shared" si="14"/>
        <v>4691.18</v>
      </c>
      <c r="J58" s="269">
        <f t="shared" si="14"/>
        <v>-4495.110000000001</v>
      </c>
      <c r="K58" s="269">
        <f t="shared" si="14"/>
        <v>648.5600000000013</v>
      </c>
      <c r="L58" s="269">
        <f t="shared" si="14"/>
        <v>16071.03</v>
      </c>
      <c r="M58" s="269">
        <f t="shared" si="14"/>
        <v>-15422.47</v>
      </c>
      <c r="N58" s="269">
        <f t="shared" si="14"/>
        <v>6852.16</v>
      </c>
      <c r="O58" s="269">
        <f t="shared" si="14"/>
        <v>46492.64</v>
      </c>
      <c r="P58" s="269">
        <f t="shared" si="14"/>
        <v>-39640.479999999996</v>
      </c>
    </row>
    <row r="59" spans="1:16" ht="12.75">
      <c r="A59" s="270"/>
      <c r="B59" s="244"/>
      <c r="C59" s="248"/>
      <c r="D59" s="249"/>
      <c r="E59" s="247"/>
      <c r="F59" s="248"/>
      <c r="G59" s="249"/>
      <c r="H59" s="247"/>
      <c r="I59" s="248"/>
      <c r="J59" s="249"/>
      <c r="K59" s="250"/>
      <c r="L59" s="248"/>
      <c r="M59" s="249"/>
      <c r="N59" s="250"/>
      <c r="O59" s="248"/>
      <c r="P59" s="251"/>
    </row>
    <row r="60" spans="1:16" ht="12.75">
      <c r="A60" s="271" t="str">
        <f>'2022 BUDGET'!A64</f>
        <v>MINISTRY INCOME</v>
      </c>
      <c r="B60" s="272"/>
      <c r="C60" s="248"/>
      <c r="D60" s="249"/>
      <c r="E60" s="247"/>
      <c r="F60" s="248"/>
      <c r="G60" s="249"/>
      <c r="H60" s="247"/>
      <c r="I60" s="248"/>
      <c r="J60" s="249"/>
      <c r="K60" s="250"/>
      <c r="L60" s="248"/>
      <c r="M60" s="249"/>
      <c r="N60" s="250"/>
      <c r="O60" s="248"/>
      <c r="P60" s="251"/>
    </row>
    <row r="61" spans="1:16" ht="12.75">
      <c r="A61" s="273"/>
      <c r="B61" s="274" t="str">
        <f aca="true" t="shared" si="15" ref="B61:P61">+B8</f>
        <v>ACTUALS</v>
      </c>
      <c r="C61" s="254" t="str">
        <f t="shared" si="15"/>
        <v>BUDGET</v>
      </c>
      <c r="D61" s="255" t="str">
        <f t="shared" si="15"/>
        <v>DIFF.</v>
      </c>
      <c r="E61" s="256" t="str">
        <f t="shared" si="15"/>
        <v>ACTUALS</v>
      </c>
      <c r="F61" s="254" t="str">
        <f t="shared" si="15"/>
        <v>BUDGET</v>
      </c>
      <c r="G61" s="255" t="str">
        <f t="shared" si="15"/>
        <v>DIFF.</v>
      </c>
      <c r="H61" s="256" t="str">
        <f t="shared" si="15"/>
        <v>ACTUALS</v>
      </c>
      <c r="I61" s="254" t="str">
        <f t="shared" si="15"/>
        <v>BUDGET</v>
      </c>
      <c r="J61" s="255" t="str">
        <f t="shared" si="15"/>
        <v>DIFF.</v>
      </c>
      <c r="K61" s="257" t="str">
        <f t="shared" si="15"/>
        <v>ACTUALS</v>
      </c>
      <c r="L61" s="254" t="str">
        <f t="shared" si="15"/>
        <v>BUDGET</v>
      </c>
      <c r="M61" s="255" t="str">
        <f t="shared" si="15"/>
        <v>DIFF.</v>
      </c>
      <c r="N61" s="257" t="str">
        <f t="shared" si="15"/>
        <v>ACTUALS</v>
      </c>
      <c r="O61" s="254" t="str">
        <f t="shared" si="15"/>
        <v>BUDGET</v>
      </c>
      <c r="P61" s="258" t="str">
        <f t="shared" si="15"/>
        <v>DIFF.</v>
      </c>
    </row>
    <row r="62" spans="1:16" ht="12.75">
      <c r="A62" s="275" t="str">
        <f>'2022 BUDGET'!A67</f>
        <v>Previous Year balance 12/31/20xx</v>
      </c>
      <c r="B62" s="416"/>
      <c r="C62" s="277">
        <f>+'2022 BUDGET'!H67</f>
        <v>0</v>
      </c>
      <c r="D62" s="278">
        <f>+B62-C62</f>
        <v>0</v>
      </c>
      <c r="E62" s="279"/>
      <c r="F62" s="277">
        <f>+'2022 BUDGET'!I67</f>
        <v>0</v>
      </c>
      <c r="G62" s="278">
        <f aca="true" t="shared" si="16" ref="G62:G68">+E62-F62</f>
        <v>0</v>
      </c>
      <c r="H62" s="279"/>
      <c r="I62" s="277">
        <f>+'2022 BUDGET'!L67</f>
        <v>0</v>
      </c>
      <c r="J62" s="278">
        <f>+H62-I62</f>
        <v>0</v>
      </c>
      <c r="K62" s="280">
        <f>+B62+E62+H62</f>
        <v>0</v>
      </c>
      <c r="L62" s="277">
        <f>+C62+F62+I62</f>
        <v>0</v>
      </c>
      <c r="M62" s="278">
        <f>D62+G62+J62</f>
        <v>0</v>
      </c>
      <c r="N62" s="417">
        <f>+K62+'TRIM 2'!N62</f>
        <v>0</v>
      </c>
      <c r="O62" s="415">
        <f>+L62+'TRIM 2'!O62</f>
        <v>0</v>
      </c>
      <c r="P62" s="418">
        <f>+M62+'TRIM 2'!P62</f>
        <v>0</v>
      </c>
    </row>
    <row r="63" spans="1:16" ht="12.75">
      <c r="A63" s="275"/>
      <c r="B63" s="416"/>
      <c r="C63" s="277"/>
      <c r="D63" s="278"/>
      <c r="E63" s="279"/>
      <c r="F63" s="277"/>
      <c r="G63" s="278"/>
      <c r="H63" s="279"/>
      <c r="I63" s="277"/>
      <c r="J63" s="278"/>
      <c r="K63" s="280"/>
      <c r="L63" s="277"/>
      <c r="M63" s="278"/>
      <c r="N63" s="417"/>
      <c r="O63" s="415"/>
      <c r="P63" s="431"/>
    </row>
    <row r="64" spans="1:16" ht="12.75">
      <c r="A64" s="282" t="str">
        <f>'2022 BUDGET'!A69</f>
        <v>PEDDLER FUNDS</v>
      </c>
      <c r="B64" s="276"/>
      <c r="C64" s="235">
        <f>+'2022 BUDGET'!H69</f>
        <v>0</v>
      </c>
      <c r="D64" s="236">
        <f>+B64-C64</f>
        <v>0</v>
      </c>
      <c r="E64" s="276"/>
      <c r="F64" s="235">
        <f>+'2022 BUDGET'!I69</f>
        <v>0</v>
      </c>
      <c r="G64" s="236">
        <f>+E64-F64</f>
        <v>0</v>
      </c>
      <c r="H64" s="276"/>
      <c r="I64" s="235">
        <f>+'2022 BUDGET'!J69</f>
        <v>0</v>
      </c>
      <c r="J64" s="236">
        <f>+H64-I64</f>
        <v>0</v>
      </c>
      <c r="K64" s="237">
        <f>+B64+E64+H64</f>
        <v>0</v>
      </c>
      <c r="L64" s="235">
        <f>+C64+F64+I64</f>
        <v>0</v>
      </c>
      <c r="M64" s="236">
        <f>D64+G64+J64</f>
        <v>0</v>
      </c>
      <c r="N64" s="237">
        <f>+K64+'TRIM 2'!N64</f>
        <v>0</v>
      </c>
      <c r="O64" s="235">
        <f>+L64+'TRIM 2'!O64</f>
        <v>0</v>
      </c>
      <c r="P64" s="236">
        <f>+M64+'TRIM 2'!P64</f>
        <v>0</v>
      </c>
    </row>
    <row r="65" spans="1:16" ht="12.75">
      <c r="A65" s="282" t="str">
        <f>'2022 BUDGET'!A70</f>
        <v>FOUNDATION GRANT</v>
      </c>
      <c r="B65" s="276"/>
      <c r="C65" s="235">
        <f>+'2022 BUDGET'!H70</f>
        <v>10000</v>
      </c>
      <c r="D65" s="236">
        <f>+B65-C65</f>
        <v>-10000</v>
      </c>
      <c r="E65" s="276"/>
      <c r="F65" s="235">
        <f>+'2022 BUDGET'!I70</f>
        <v>0</v>
      </c>
      <c r="G65" s="236">
        <f t="shared" si="16"/>
        <v>0</v>
      </c>
      <c r="H65" s="276"/>
      <c r="I65" s="235">
        <f>+'2022 BUDGET'!J70</f>
        <v>0</v>
      </c>
      <c r="J65" s="236">
        <f>+H65-I65</f>
        <v>0</v>
      </c>
      <c r="K65" s="237">
        <f aca="true" t="shared" si="17" ref="K65:L78">+B65+E65+H65</f>
        <v>0</v>
      </c>
      <c r="L65" s="235">
        <f t="shared" si="17"/>
        <v>10000</v>
      </c>
      <c r="M65" s="236">
        <f aca="true" t="shared" si="18" ref="M65:M86">D65+G65+J65</f>
        <v>-10000</v>
      </c>
      <c r="N65" s="237">
        <f>+K65+'TRIM 2'!N65</f>
        <v>10000</v>
      </c>
      <c r="O65" s="235">
        <f>+L65+'TRIM 2'!O65</f>
        <v>30000</v>
      </c>
      <c r="P65" s="236">
        <f>+M65+'TRIM 2'!P65</f>
        <v>-20000</v>
      </c>
    </row>
    <row r="66" spans="1:16" ht="12.75">
      <c r="A66" s="282" t="str">
        <f>'2022 BUDGET'!A71</f>
        <v>CONGREG. ST.ELIZABETH MINISTRY FUND </v>
      </c>
      <c r="B66" s="276"/>
      <c r="C66" s="235">
        <f>+'2022 BUDGET'!H71</f>
        <v>0</v>
      </c>
      <c r="D66" s="236">
        <f>+B66-C66</f>
        <v>0</v>
      </c>
      <c r="E66" s="276"/>
      <c r="F66" s="235">
        <f>+'2022 BUDGET'!I71</f>
        <v>0</v>
      </c>
      <c r="G66" s="236">
        <f>+E66-F66</f>
        <v>0</v>
      </c>
      <c r="H66" s="276"/>
      <c r="I66" s="235">
        <f>+'2022 BUDGET'!J71</f>
        <v>0</v>
      </c>
      <c r="J66" s="236">
        <f>+H66-I66</f>
        <v>0</v>
      </c>
      <c r="K66" s="237">
        <f t="shared" si="17"/>
        <v>0</v>
      </c>
      <c r="L66" s="235">
        <f t="shared" si="17"/>
        <v>0</v>
      </c>
      <c r="M66" s="236">
        <f t="shared" si="18"/>
        <v>0</v>
      </c>
      <c r="N66" s="237">
        <f>+K66+'TRIM 2'!N66</f>
        <v>0</v>
      </c>
      <c r="O66" s="235">
        <f>+L66+'TRIM 2'!O66</f>
        <v>0</v>
      </c>
      <c r="P66" s="236">
        <f>+M66+'TRIM 2'!P66</f>
        <v>0</v>
      </c>
    </row>
    <row r="67" spans="1:16" s="285" customFormat="1" ht="12.75">
      <c r="A67" s="283" t="str">
        <f>'2022 BUDGET'!A72</f>
        <v>TOTAL  PEDDLER &amp; FOUNDATION &amp; ST.ELIZABETH MINISTRY FUNDS</v>
      </c>
      <c r="B67" s="284">
        <f>SUM(B64:B66)</f>
        <v>0</v>
      </c>
      <c r="C67" s="284">
        <f aca="true" t="shared" si="19" ref="C67:P67">SUM(C64:C66)</f>
        <v>10000</v>
      </c>
      <c r="D67" s="284">
        <f t="shared" si="19"/>
        <v>-10000</v>
      </c>
      <c r="E67" s="284">
        <f t="shared" si="19"/>
        <v>0</v>
      </c>
      <c r="F67" s="284">
        <f t="shared" si="19"/>
        <v>0</v>
      </c>
      <c r="G67" s="284">
        <f t="shared" si="19"/>
        <v>0</v>
      </c>
      <c r="H67" s="284">
        <f t="shared" si="19"/>
        <v>0</v>
      </c>
      <c r="I67" s="284">
        <f t="shared" si="19"/>
        <v>0</v>
      </c>
      <c r="J67" s="284">
        <f t="shared" si="19"/>
        <v>0</v>
      </c>
      <c r="K67" s="284">
        <f t="shared" si="19"/>
        <v>0</v>
      </c>
      <c r="L67" s="284">
        <f t="shared" si="19"/>
        <v>10000</v>
      </c>
      <c r="M67" s="284">
        <f t="shared" si="19"/>
        <v>-10000</v>
      </c>
      <c r="N67" s="284">
        <f t="shared" si="19"/>
        <v>10000</v>
      </c>
      <c r="O67" s="284">
        <f t="shared" si="19"/>
        <v>30000</v>
      </c>
      <c r="P67" s="284">
        <f t="shared" si="19"/>
        <v>-20000</v>
      </c>
    </row>
    <row r="68" spans="1:16" s="285" customFormat="1" ht="12.75">
      <c r="A68" s="282" t="str">
        <f>'2022 BUDGET'!A74</f>
        <v>Rental Income</v>
      </c>
      <c r="B68" s="276"/>
      <c r="C68" s="235">
        <f>+'2022 BUDGET'!H74</f>
        <v>0</v>
      </c>
      <c r="D68" s="236">
        <f>+B68-C68</f>
        <v>0</v>
      </c>
      <c r="E68" s="276"/>
      <c r="F68" s="235">
        <f>+'2022 BUDGET'!I74</f>
        <v>0</v>
      </c>
      <c r="G68" s="236">
        <f t="shared" si="16"/>
        <v>0</v>
      </c>
      <c r="H68" s="276"/>
      <c r="I68" s="235">
        <f>+'2022 BUDGET'!J74</f>
        <v>0</v>
      </c>
      <c r="J68" s="236">
        <f>+H68-I68</f>
        <v>0</v>
      </c>
      <c r="K68" s="237">
        <f t="shared" si="17"/>
        <v>0</v>
      </c>
      <c r="L68" s="235">
        <f t="shared" si="17"/>
        <v>0</v>
      </c>
      <c r="M68" s="236">
        <f t="shared" si="18"/>
        <v>0</v>
      </c>
      <c r="N68" s="237">
        <f>+K68+'TRIM 2'!N68</f>
        <v>0</v>
      </c>
      <c r="O68" s="235">
        <f>+L68+'TRIM 2'!O68</f>
        <v>0</v>
      </c>
      <c r="P68" s="236">
        <f>+M68+'TRIM 2'!P68</f>
        <v>0</v>
      </c>
    </row>
    <row r="69" spans="1:16" s="285" customFormat="1" ht="12.75">
      <c r="A69" s="282" t="str">
        <f>'2022 BUDGET'!A75</f>
        <v>Interest</v>
      </c>
      <c r="B69" s="276"/>
      <c r="C69" s="235">
        <f>+'2022 BUDGET'!H75</f>
        <v>0</v>
      </c>
      <c r="D69" s="236">
        <f aca="true" t="shared" si="20" ref="D69:D86">+B69-C69</f>
        <v>0</v>
      </c>
      <c r="E69" s="276"/>
      <c r="F69" s="235">
        <f>+'2022 BUDGET'!I75</f>
        <v>0</v>
      </c>
      <c r="G69" s="236">
        <f aca="true" t="shared" si="21" ref="G69:G86">+E69-F69</f>
        <v>0</v>
      </c>
      <c r="H69" s="276"/>
      <c r="I69" s="235">
        <f>+'2022 BUDGET'!J75</f>
        <v>0</v>
      </c>
      <c r="J69" s="236">
        <f aca="true" t="shared" si="22" ref="J69:J86">+H69-I69</f>
        <v>0</v>
      </c>
      <c r="K69" s="237">
        <f t="shared" si="17"/>
        <v>0</v>
      </c>
      <c r="L69" s="235">
        <f t="shared" si="17"/>
        <v>0</v>
      </c>
      <c r="M69" s="236">
        <f t="shared" si="18"/>
        <v>0</v>
      </c>
      <c r="N69" s="237">
        <f>+K69+'TRIM 2'!N69</f>
        <v>0</v>
      </c>
      <c r="O69" s="235">
        <f>+L69+'TRIM 2'!O69</f>
        <v>0</v>
      </c>
      <c r="P69" s="236">
        <f>+M69+'TRIM 2'!P69</f>
        <v>0</v>
      </c>
    </row>
    <row r="70" spans="1:16" s="285" customFormat="1" ht="12.75">
      <c r="A70" s="282" t="str">
        <f>'2022 BUDGET'!A76</f>
        <v>Benefactors</v>
      </c>
      <c r="B70" s="276"/>
      <c r="C70" s="235">
        <f>+'2022 BUDGET'!H76</f>
        <v>0</v>
      </c>
      <c r="D70" s="236">
        <f t="shared" si="20"/>
        <v>0</v>
      </c>
      <c r="E70" s="276"/>
      <c r="F70" s="235">
        <f>+'2022 BUDGET'!I76</f>
        <v>0</v>
      </c>
      <c r="G70" s="236">
        <f t="shared" si="21"/>
        <v>0</v>
      </c>
      <c r="H70" s="276"/>
      <c r="I70" s="235">
        <f>+'2022 BUDGET'!J76</f>
        <v>0</v>
      </c>
      <c r="J70" s="236">
        <f t="shared" si="22"/>
        <v>0</v>
      </c>
      <c r="K70" s="237">
        <f t="shared" si="17"/>
        <v>0</v>
      </c>
      <c r="L70" s="235">
        <f t="shared" si="17"/>
        <v>0</v>
      </c>
      <c r="M70" s="236">
        <f t="shared" si="18"/>
        <v>0</v>
      </c>
      <c r="N70" s="237">
        <f>+K70+'TRIM 2'!N70</f>
        <v>0</v>
      </c>
      <c r="O70" s="235">
        <f>+L70+'TRIM 2'!O70</f>
        <v>0</v>
      </c>
      <c r="P70" s="236">
        <f>+M70+'TRIM 2'!P70</f>
        <v>0</v>
      </c>
    </row>
    <row r="71" spans="1:16" s="285" customFormat="1" ht="12.75">
      <c r="A71" s="282" t="str">
        <f>'2022 BUDGET'!A77</f>
        <v>Governmental Entities </v>
      </c>
      <c r="B71" s="276"/>
      <c r="C71" s="235">
        <f>+'2022 BUDGET'!H77</f>
        <v>0</v>
      </c>
      <c r="D71" s="236">
        <f aca="true" t="shared" si="23" ref="D71:D76">+B71-C71</f>
        <v>0</v>
      </c>
      <c r="E71" s="276"/>
      <c r="F71" s="235">
        <f>+'2022 BUDGET'!I77</f>
        <v>0</v>
      </c>
      <c r="G71" s="236">
        <f aca="true" t="shared" si="24" ref="G71:G76">+E71-F71</f>
        <v>0</v>
      </c>
      <c r="H71" s="276"/>
      <c r="I71" s="235">
        <f>+'2022 BUDGET'!J77</f>
        <v>0</v>
      </c>
      <c r="J71" s="236">
        <f aca="true" t="shared" si="25" ref="J71:J76">+H71-I71</f>
        <v>0</v>
      </c>
      <c r="K71" s="237">
        <f aca="true" t="shared" si="26" ref="K71:K76">+B71+E71+H71</f>
        <v>0</v>
      </c>
      <c r="L71" s="235">
        <f aca="true" t="shared" si="27" ref="L71:L76">+C71+F71+I71</f>
        <v>0</v>
      </c>
      <c r="M71" s="236">
        <f aca="true" t="shared" si="28" ref="M71:M76">D71+G71+J71</f>
        <v>0</v>
      </c>
      <c r="N71" s="237">
        <f>+K71+'TRIM 2'!N71</f>
        <v>0</v>
      </c>
      <c r="O71" s="235">
        <f>+L71+'TRIM 2'!O71</f>
        <v>0</v>
      </c>
      <c r="P71" s="236">
        <f>+M71+'TRIM 2'!P71</f>
        <v>0</v>
      </c>
    </row>
    <row r="72" spans="1:16" s="285" customFormat="1" ht="12.75">
      <c r="A72" s="282" t="str">
        <f>'2022 BUDGET'!A78</f>
        <v>Ministry's Events</v>
      </c>
      <c r="B72" s="276"/>
      <c r="C72" s="235">
        <f>+'2022 BUDGET'!H78</f>
        <v>262</v>
      </c>
      <c r="D72" s="236">
        <f t="shared" si="23"/>
        <v>-262</v>
      </c>
      <c r="E72" s="276"/>
      <c r="F72" s="235">
        <f>+'2022 BUDGET'!I78</f>
        <v>263</v>
      </c>
      <c r="G72" s="236">
        <f t="shared" si="24"/>
        <v>-263</v>
      </c>
      <c r="H72" s="276"/>
      <c r="I72" s="235">
        <f>+'2022 BUDGET'!J78</f>
        <v>262</v>
      </c>
      <c r="J72" s="236">
        <f t="shared" si="25"/>
        <v>-262</v>
      </c>
      <c r="K72" s="237">
        <f t="shared" si="26"/>
        <v>0</v>
      </c>
      <c r="L72" s="235">
        <f t="shared" si="27"/>
        <v>787</v>
      </c>
      <c r="M72" s="236">
        <f t="shared" si="28"/>
        <v>-787</v>
      </c>
      <c r="N72" s="237">
        <f>+K72+'TRIM 2'!N72</f>
        <v>0</v>
      </c>
      <c r="O72" s="235">
        <f>+L72+'TRIM 2'!O72</f>
        <v>1837</v>
      </c>
      <c r="P72" s="236">
        <f>+M72+'TRIM 2'!P72</f>
        <v>-1837</v>
      </c>
    </row>
    <row r="73" spans="1:16" s="285" customFormat="1" ht="12.75">
      <c r="A73" s="282" t="str">
        <f>'2022 BUDGET'!A79</f>
        <v>Contributions from people served</v>
      </c>
      <c r="B73" s="276"/>
      <c r="C73" s="235">
        <f>+'2022 BUDGET'!H79</f>
        <v>0</v>
      </c>
      <c r="D73" s="236">
        <f t="shared" si="23"/>
        <v>0</v>
      </c>
      <c r="E73" s="276"/>
      <c r="F73" s="235">
        <f>+'2022 BUDGET'!I79</f>
        <v>0</v>
      </c>
      <c r="G73" s="236">
        <f t="shared" si="24"/>
        <v>0</v>
      </c>
      <c r="H73" s="276"/>
      <c r="I73" s="235">
        <f>+'2022 BUDGET'!J79</f>
        <v>0</v>
      </c>
      <c r="J73" s="236">
        <f t="shared" si="25"/>
        <v>0</v>
      </c>
      <c r="K73" s="237">
        <f t="shared" si="26"/>
        <v>0</v>
      </c>
      <c r="L73" s="235">
        <f t="shared" si="27"/>
        <v>0</v>
      </c>
      <c r="M73" s="236">
        <f t="shared" si="28"/>
        <v>0</v>
      </c>
      <c r="N73" s="237">
        <f>+K73+'TRIM 2'!N73</f>
        <v>0</v>
      </c>
      <c r="O73" s="235">
        <f>+L73+'TRIM 2'!O73</f>
        <v>0</v>
      </c>
      <c r="P73" s="236">
        <f>+M73+'TRIM 2'!P73</f>
        <v>0</v>
      </c>
    </row>
    <row r="74" spans="1:16" s="285" customFormat="1" ht="12.75">
      <c r="A74" s="282" t="str">
        <f>'2022 BUDGET'!A80</f>
        <v>Sale of Ministry's products</v>
      </c>
      <c r="B74" s="276"/>
      <c r="C74" s="235">
        <f>+'2022 BUDGET'!H80</f>
        <v>0</v>
      </c>
      <c r="D74" s="236">
        <f t="shared" si="23"/>
        <v>0</v>
      </c>
      <c r="E74" s="276"/>
      <c r="F74" s="235">
        <f>+'2022 BUDGET'!I80</f>
        <v>0</v>
      </c>
      <c r="G74" s="236">
        <f t="shared" si="24"/>
        <v>0</v>
      </c>
      <c r="H74" s="276"/>
      <c r="I74" s="235">
        <f>+'2022 BUDGET'!J80</f>
        <v>0</v>
      </c>
      <c r="J74" s="236">
        <f t="shared" si="25"/>
        <v>0</v>
      </c>
      <c r="K74" s="237">
        <f t="shared" si="26"/>
        <v>0</v>
      </c>
      <c r="L74" s="235">
        <f t="shared" si="27"/>
        <v>0</v>
      </c>
      <c r="M74" s="236">
        <f t="shared" si="28"/>
        <v>0</v>
      </c>
      <c r="N74" s="237">
        <f>+K74+'TRIM 2'!N74</f>
        <v>0</v>
      </c>
      <c r="O74" s="235">
        <f>+L74+'TRIM 2'!O74</f>
        <v>0</v>
      </c>
      <c r="P74" s="236">
        <f>+M74+'TRIM 2'!P74</f>
        <v>0</v>
      </c>
    </row>
    <row r="75" spans="1:16" s="285" customFormat="1" ht="12.75">
      <c r="A75" s="282" t="str">
        <f>'2022 BUDGET'!A81</f>
        <v>Outside Grants</v>
      </c>
      <c r="B75" s="276"/>
      <c r="C75" s="235">
        <f>+'2022 BUDGET'!H81</f>
        <v>0</v>
      </c>
      <c r="D75" s="236">
        <f t="shared" si="23"/>
        <v>0</v>
      </c>
      <c r="E75" s="276"/>
      <c r="F75" s="235">
        <f>+'2022 BUDGET'!I81</f>
        <v>0</v>
      </c>
      <c r="G75" s="236">
        <f t="shared" si="24"/>
        <v>0</v>
      </c>
      <c r="H75" s="276"/>
      <c r="I75" s="235">
        <f>+'2022 BUDGET'!J81</f>
        <v>0</v>
      </c>
      <c r="J75" s="236">
        <f t="shared" si="25"/>
        <v>0</v>
      </c>
      <c r="K75" s="237">
        <f t="shared" si="26"/>
        <v>0</v>
      </c>
      <c r="L75" s="235">
        <f t="shared" si="27"/>
        <v>0</v>
      </c>
      <c r="M75" s="236">
        <f t="shared" si="28"/>
        <v>0</v>
      </c>
      <c r="N75" s="237">
        <f>+K75+'TRIM 2'!N75</f>
        <v>2100</v>
      </c>
      <c r="O75" s="235">
        <f>+L75+'TRIM 2'!O75</f>
        <v>2500</v>
      </c>
      <c r="P75" s="236">
        <f>+M75+'TRIM 2'!P75</f>
        <v>-400</v>
      </c>
    </row>
    <row r="76" spans="1:16" s="285" customFormat="1" ht="12.75">
      <c r="A76" s="436" t="str">
        <f>'2022 BUDGET'!A82</f>
        <v>Contributions Individuals</v>
      </c>
      <c r="B76" s="435">
        <v>182.2</v>
      </c>
      <c r="C76" s="235">
        <f>+'2022 BUDGET'!H82</f>
        <v>150</v>
      </c>
      <c r="D76" s="236">
        <f t="shared" si="23"/>
        <v>32.19999999999999</v>
      </c>
      <c r="E76" s="276">
        <v>35</v>
      </c>
      <c r="F76" s="235">
        <f>+'2022 BUDGET'!I82</f>
        <v>150</v>
      </c>
      <c r="G76" s="236">
        <f t="shared" si="24"/>
        <v>-115</v>
      </c>
      <c r="H76" s="276">
        <v>705</v>
      </c>
      <c r="I76" s="235">
        <f>+'2022 BUDGET'!J82</f>
        <v>150</v>
      </c>
      <c r="J76" s="236">
        <f t="shared" si="25"/>
        <v>555</v>
      </c>
      <c r="K76" s="237">
        <f t="shared" si="26"/>
        <v>922.2</v>
      </c>
      <c r="L76" s="235">
        <f t="shared" si="27"/>
        <v>450</v>
      </c>
      <c r="M76" s="236">
        <f t="shared" si="28"/>
        <v>472.2</v>
      </c>
      <c r="N76" s="237">
        <f>+K76+'TRIM 2'!N76</f>
        <v>2426.05</v>
      </c>
      <c r="O76" s="235">
        <f>+L76+'TRIM 2'!O76</f>
        <v>1350</v>
      </c>
      <c r="P76" s="236">
        <f>+M76+'TRIM 2'!P76</f>
        <v>1076.05</v>
      </c>
    </row>
    <row r="77" spans="1:16" s="285" customFormat="1" ht="12.75">
      <c r="A77" s="282" t="str">
        <f>'2022 BUDGET'!A83</f>
        <v>Contributions Businesses</v>
      </c>
      <c r="B77" s="276">
        <v>200</v>
      </c>
      <c r="C77" s="235">
        <f>+'2022 BUDGET'!H83</f>
        <v>0</v>
      </c>
      <c r="D77" s="236">
        <f t="shared" si="20"/>
        <v>200</v>
      </c>
      <c r="E77" s="276">
        <v>100</v>
      </c>
      <c r="F77" s="235">
        <f>+'2022 BUDGET'!I83</f>
        <v>0</v>
      </c>
      <c r="G77" s="236">
        <f t="shared" si="21"/>
        <v>100</v>
      </c>
      <c r="H77" s="276">
        <v>100</v>
      </c>
      <c r="I77" s="235">
        <f>+'2022 BUDGET'!J83</f>
        <v>0</v>
      </c>
      <c r="J77" s="236">
        <f t="shared" si="22"/>
        <v>100</v>
      </c>
      <c r="K77" s="237">
        <f t="shared" si="17"/>
        <v>400</v>
      </c>
      <c r="L77" s="235">
        <f t="shared" si="17"/>
        <v>0</v>
      </c>
      <c r="M77" s="236">
        <f t="shared" si="18"/>
        <v>400</v>
      </c>
      <c r="N77" s="237">
        <f>+K77+'TRIM 2'!N77</f>
        <v>2087.5</v>
      </c>
      <c r="O77" s="235">
        <f>+L77+'TRIM 2'!O77</f>
        <v>875</v>
      </c>
      <c r="P77" s="236">
        <f>+M77+'TRIM 2'!P77</f>
        <v>1212.5</v>
      </c>
    </row>
    <row r="78" spans="1:16" s="285" customFormat="1" ht="12.75">
      <c r="A78" s="282">
        <f>'2022 BUDGET'!A84</f>
        <v>0</v>
      </c>
      <c r="B78" s="276"/>
      <c r="C78" s="235">
        <f>+'2022 BUDGET'!H84</f>
        <v>0</v>
      </c>
      <c r="D78" s="236">
        <f t="shared" si="20"/>
        <v>0</v>
      </c>
      <c r="E78" s="276"/>
      <c r="F78" s="235">
        <f>+'2022 BUDGET'!I84</f>
        <v>0</v>
      </c>
      <c r="G78" s="236">
        <f t="shared" si="21"/>
        <v>0</v>
      </c>
      <c r="H78" s="276"/>
      <c r="I78" s="235">
        <f>+'2022 BUDGET'!J84</f>
        <v>0</v>
      </c>
      <c r="J78" s="236">
        <f t="shared" si="22"/>
        <v>0</v>
      </c>
      <c r="K78" s="237">
        <f t="shared" si="17"/>
        <v>0</v>
      </c>
      <c r="L78" s="235">
        <f t="shared" si="17"/>
        <v>0</v>
      </c>
      <c r="M78" s="236">
        <f t="shared" si="18"/>
        <v>0</v>
      </c>
      <c r="N78" s="237">
        <f>+K78+'TRIM 2'!N78</f>
        <v>0</v>
      </c>
      <c r="O78" s="235">
        <f>+L78+'TRIM 2'!O78</f>
        <v>0</v>
      </c>
      <c r="P78" s="236">
        <f>+M78+'TRIM 2'!P78</f>
        <v>0</v>
      </c>
    </row>
    <row r="79" spans="1:16" s="285" customFormat="1" ht="12.75">
      <c r="A79" s="282">
        <f>'2022 BUDGET'!A85</f>
        <v>0</v>
      </c>
      <c r="B79" s="276"/>
      <c r="C79" s="235">
        <f>+'2022 BUDGET'!H85</f>
        <v>0</v>
      </c>
      <c r="D79" s="236">
        <f t="shared" si="20"/>
        <v>0</v>
      </c>
      <c r="E79" s="276"/>
      <c r="F79" s="235">
        <f>+'2022 BUDGET'!I85</f>
        <v>0</v>
      </c>
      <c r="G79" s="236">
        <f t="shared" si="21"/>
        <v>0</v>
      </c>
      <c r="H79" s="276"/>
      <c r="I79" s="235">
        <f>+'2022 BUDGET'!J85</f>
        <v>0</v>
      </c>
      <c r="J79" s="236">
        <f t="shared" si="22"/>
        <v>0</v>
      </c>
      <c r="K79" s="237">
        <f aca="true" t="shared" si="29" ref="K79:L86">+B79+E79+H79</f>
        <v>0</v>
      </c>
      <c r="L79" s="235">
        <f t="shared" si="29"/>
        <v>0</v>
      </c>
      <c r="M79" s="236">
        <f t="shared" si="18"/>
        <v>0</v>
      </c>
      <c r="N79" s="237">
        <f>+K79+'TRIM 2'!N79</f>
        <v>0</v>
      </c>
      <c r="O79" s="235">
        <f>+L79+'TRIM 2'!O79</f>
        <v>0</v>
      </c>
      <c r="P79" s="236">
        <f>+M79+'TRIM 2'!P79</f>
        <v>0</v>
      </c>
    </row>
    <row r="80" spans="1:16" s="285" customFormat="1" ht="12.75">
      <c r="A80" s="282">
        <f>'2022 BUDGET'!A86</f>
        <v>0</v>
      </c>
      <c r="B80" s="276"/>
      <c r="C80" s="235">
        <f>+'2022 BUDGET'!H86</f>
        <v>0</v>
      </c>
      <c r="D80" s="236">
        <f t="shared" si="20"/>
        <v>0</v>
      </c>
      <c r="E80" s="276"/>
      <c r="F80" s="235">
        <f>+'2022 BUDGET'!I86</f>
        <v>0</v>
      </c>
      <c r="G80" s="236">
        <f t="shared" si="21"/>
        <v>0</v>
      </c>
      <c r="H80" s="276"/>
      <c r="I80" s="235">
        <f>+'2022 BUDGET'!J86</f>
        <v>0</v>
      </c>
      <c r="J80" s="236">
        <f t="shared" si="22"/>
        <v>0</v>
      </c>
      <c r="K80" s="237">
        <f t="shared" si="29"/>
        <v>0</v>
      </c>
      <c r="L80" s="235">
        <f t="shared" si="29"/>
        <v>0</v>
      </c>
      <c r="M80" s="236">
        <f t="shared" si="18"/>
        <v>0</v>
      </c>
      <c r="N80" s="237">
        <f>+K80+'TRIM 2'!N80</f>
        <v>0</v>
      </c>
      <c r="O80" s="235">
        <f>+L80+'TRIM 2'!O80</f>
        <v>0</v>
      </c>
      <c r="P80" s="236">
        <f>+M80+'TRIM 2'!P80</f>
        <v>0</v>
      </c>
    </row>
    <row r="81" spans="1:16" s="285" customFormat="1" ht="12.75">
      <c r="A81" s="282">
        <f>'2022 BUDGET'!A87</f>
        <v>0</v>
      </c>
      <c r="B81" s="276"/>
      <c r="C81" s="235">
        <f>+'2022 BUDGET'!H87</f>
        <v>0</v>
      </c>
      <c r="D81" s="236">
        <f t="shared" si="20"/>
        <v>0</v>
      </c>
      <c r="E81" s="276"/>
      <c r="F81" s="235">
        <f>+'2022 BUDGET'!I87</f>
        <v>0</v>
      </c>
      <c r="G81" s="236">
        <f t="shared" si="21"/>
        <v>0</v>
      </c>
      <c r="H81" s="276"/>
      <c r="I81" s="235">
        <f>+'2022 BUDGET'!J87</f>
        <v>0</v>
      </c>
      <c r="J81" s="236">
        <f t="shared" si="22"/>
        <v>0</v>
      </c>
      <c r="K81" s="237">
        <f t="shared" si="29"/>
        <v>0</v>
      </c>
      <c r="L81" s="235">
        <f t="shared" si="29"/>
        <v>0</v>
      </c>
      <c r="M81" s="236">
        <f t="shared" si="18"/>
        <v>0</v>
      </c>
      <c r="N81" s="237">
        <f>+K81+'TRIM 2'!N81</f>
        <v>0</v>
      </c>
      <c r="O81" s="235">
        <f>+L81+'TRIM 2'!O81</f>
        <v>0</v>
      </c>
      <c r="P81" s="236">
        <f>+M81+'TRIM 2'!P81</f>
        <v>0</v>
      </c>
    </row>
    <row r="82" spans="1:16" s="285" customFormat="1" ht="12.75">
      <c r="A82" s="282">
        <f>'2022 BUDGET'!A88</f>
        <v>0</v>
      </c>
      <c r="B82" s="276"/>
      <c r="C82" s="235">
        <f>+'2022 BUDGET'!H88</f>
        <v>0</v>
      </c>
      <c r="D82" s="236">
        <f t="shared" si="20"/>
        <v>0</v>
      </c>
      <c r="E82" s="276"/>
      <c r="F82" s="235">
        <f>+'2022 BUDGET'!I88</f>
        <v>0</v>
      </c>
      <c r="G82" s="236">
        <f t="shared" si="21"/>
        <v>0</v>
      </c>
      <c r="H82" s="276"/>
      <c r="I82" s="235">
        <f>+'2022 BUDGET'!J88</f>
        <v>0</v>
      </c>
      <c r="J82" s="236">
        <f t="shared" si="22"/>
        <v>0</v>
      </c>
      <c r="K82" s="237">
        <f t="shared" si="29"/>
        <v>0</v>
      </c>
      <c r="L82" s="235">
        <f t="shared" si="29"/>
        <v>0</v>
      </c>
      <c r="M82" s="236">
        <f t="shared" si="18"/>
        <v>0</v>
      </c>
      <c r="N82" s="237">
        <f>+K82+'TRIM 2'!N82</f>
        <v>0</v>
      </c>
      <c r="O82" s="235">
        <f>+L82+'TRIM 2'!O82</f>
        <v>0</v>
      </c>
      <c r="P82" s="236">
        <f>+M82+'TRIM 2'!P82</f>
        <v>0</v>
      </c>
    </row>
    <row r="83" spans="1:16" s="285" customFormat="1" ht="12.75">
      <c r="A83" s="282">
        <f>'2022 BUDGET'!A89</f>
        <v>0</v>
      </c>
      <c r="B83" s="276"/>
      <c r="C83" s="235">
        <f>+'2022 BUDGET'!H89</f>
        <v>0</v>
      </c>
      <c r="D83" s="236">
        <f t="shared" si="20"/>
        <v>0</v>
      </c>
      <c r="E83" s="276"/>
      <c r="F83" s="235">
        <f>+'2022 BUDGET'!I89</f>
        <v>0</v>
      </c>
      <c r="G83" s="236">
        <f t="shared" si="21"/>
        <v>0</v>
      </c>
      <c r="H83" s="276"/>
      <c r="I83" s="235">
        <f>+'2022 BUDGET'!J89</f>
        <v>0</v>
      </c>
      <c r="J83" s="236">
        <f t="shared" si="22"/>
        <v>0</v>
      </c>
      <c r="K83" s="237">
        <f t="shared" si="29"/>
        <v>0</v>
      </c>
      <c r="L83" s="235">
        <f t="shared" si="29"/>
        <v>0</v>
      </c>
      <c r="M83" s="236">
        <f t="shared" si="18"/>
        <v>0</v>
      </c>
      <c r="N83" s="237">
        <f>+K83+'TRIM 2'!N83</f>
        <v>0</v>
      </c>
      <c r="O83" s="235">
        <f>+L83+'TRIM 2'!O83</f>
        <v>0</v>
      </c>
      <c r="P83" s="236">
        <f>+M83+'TRIM 2'!P83</f>
        <v>0</v>
      </c>
    </row>
    <row r="84" spans="1:16" s="285" customFormat="1" ht="12.75">
      <c r="A84" s="282">
        <f>'2022 BUDGET'!A90</f>
        <v>0</v>
      </c>
      <c r="B84" s="276"/>
      <c r="C84" s="235">
        <f>+'2022 BUDGET'!H90</f>
        <v>0</v>
      </c>
      <c r="D84" s="236">
        <f t="shared" si="20"/>
        <v>0</v>
      </c>
      <c r="E84" s="276"/>
      <c r="F84" s="235">
        <f>+'2022 BUDGET'!I90</f>
        <v>0</v>
      </c>
      <c r="G84" s="236">
        <f t="shared" si="21"/>
        <v>0</v>
      </c>
      <c r="H84" s="276"/>
      <c r="I84" s="235">
        <f>+'2022 BUDGET'!J90</f>
        <v>0</v>
      </c>
      <c r="J84" s="236">
        <f t="shared" si="22"/>
        <v>0</v>
      </c>
      <c r="K84" s="237">
        <f t="shared" si="29"/>
        <v>0</v>
      </c>
      <c r="L84" s="235">
        <f t="shared" si="29"/>
        <v>0</v>
      </c>
      <c r="M84" s="236">
        <f t="shared" si="18"/>
        <v>0</v>
      </c>
      <c r="N84" s="237">
        <f>+K84+'TRIM 2'!N84</f>
        <v>0</v>
      </c>
      <c r="O84" s="235">
        <f>+L84+'TRIM 2'!O84</f>
        <v>0</v>
      </c>
      <c r="P84" s="236">
        <f>+M84+'TRIM 2'!P84</f>
        <v>0</v>
      </c>
    </row>
    <row r="85" spans="1:16" s="285" customFormat="1" ht="12.75">
      <c r="A85" s="282">
        <f>'2022 BUDGET'!A91</f>
        <v>0</v>
      </c>
      <c r="B85" s="276"/>
      <c r="C85" s="235">
        <f>+'2022 BUDGET'!H91</f>
        <v>0</v>
      </c>
      <c r="D85" s="236">
        <f t="shared" si="20"/>
        <v>0</v>
      </c>
      <c r="E85" s="276"/>
      <c r="F85" s="235">
        <f>+'2022 BUDGET'!I91</f>
        <v>0</v>
      </c>
      <c r="G85" s="236">
        <f t="shared" si="21"/>
        <v>0</v>
      </c>
      <c r="H85" s="276"/>
      <c r="I85" s="235">
        <f>+'2022 BUDGET'!J91</f>
        <v>0</v>
      </c>
      <c r="J85" s="236">
        <f t="shared" si="22"/>
        <v>0</v>
      </c>
      <c r="K85" s="237">
        <f t="shared" si="29"/>
        <v>0</v>
      </c>
      <c r="L85" s="235">
        <f t="shared" si="29"/>
        <v>0</v>
      </c>
      <c r="M85" s="236">
        <f t="shared" si="18"/>
        <v>0</v>
      </c>
      <c r="N85" s="237">
        <f>+K85+'TRIM 2'!N85</f>
        <v>0</v>
      </c>
      <c r="O85" s="235">
        <f>+L85+'TRIM 2'!O85</f>
        <v>0</v>
      </c>
      <c r="P85" s="236">
        <f>+M85+'TRIM 2'!P85</f>
        <v>0</v>
      </c>
    </row>
    <row r="86" spans="1:16" s="285" customFormat="1" ht="12.75">
      <c r="A86" s="282">
        <f>'2022 BUDGET'!A92</f>
        <v>0</v>
      </c>
      <c r="B86" s="276"/>
      <c r="C86" s="235">
        <f>+'2022 BUDGET'!H92</f>
        <v>0</v>
      </c>
      <c r="D86" s="236">
        <f t="shared" si="20"/>
        <v>0</v>
      </c>
      <c r="E86" s="276"/>
      <c r="F86" s="235">
        <f>+'2022 BUDGET'!I92</f>
        <v>0</v>
      </c>
      <c r="G86" s="236">
        <f t="shared" si="21"/>
        <v>0</v>
      </c>
      <c r="H86" s="276"/>
      <c r="I86" s="235">
        <f>+'2022 BUDGET'!J92</f>
        <v>0</v>
      </c>
      <c r="J86" s="236">
        <f t="shared" si="22"/>
        <v>0</v>
      </c>
      <c r="K86" s="237">
        <f t="shared" si="29"/>
        <v>0</v>
      </c>
      <c r="L86" s="235">
        <f t="shared" si="29"/>
        <v>0</v>
      </c>
      <c r="M86" s="236">
        <f t="shared" si="18"/>
        <v>0</v>
      </c>
      <c r="N86" s="237">
        <f>+K86+'TRIM 2'!N86</f>
        <v>0</v>
      </c>
      <c r="O86" s="235">
        <f>+L86+'TRIM 2'!O86</f>
        <v>0</v>
      </c>
      <c r="P86" s="236">
        <f>+M86+'TRIM 2'!P86</f>
        <v>0</v>
      </c>
    </row>
    <row r="87" spans="1:16" s="285" customFormat="1" ht="12.75">
      <c r="A87" s="286" t="str">
        <f>'2022 BUDGET'!A93</f>
        <v>TOTAL OTHER INCOME</v>
      </c>
      <c r="B87" s="284">
        <f aca="true" t="shared" si="30" ref="B87:P87">SUM(B68:B86)</f>
        <v>382.2</v>
      </c>
      <c r="C87" s="284">
        <f t="shared" si="30"/>
        <v>412</v>
      </c>
      <c r="D87" s="284">
        <f t="shared" si="30"/>
        <v>-29.80000000000001</v>
      </c>
      <c r="E87" s="284">
        <f t="shared" si="30"/>
        <v>135</v>
      </c>
      <c r="F87" s="284">
        <f t="shared" si="30"/>
        <v>413</v>
      </c>
      <c r="G87" s="284">
        <f t="shared" si="30"/>
        <v>-278</v>
      </c>
      <c r="H87" s="284">
        <f t="shared" si="30"/>
        <v>805</v>
      </c>
      <c r="I87" s="284">
        <f t="shared" si="30"/>
        <v>412</v>
      </c>
      <c r="J87" s="284">
        <f t="shared" si="30"/>
        <v>393</v>
      </c>
      <c r="K87" s="284">
        <f t="shared" si="30"/>
        <v>1322.2</v>
      </c>
      <c r="L87" s="284">
        <f t="shared" si="30"/>
        <v>1237</v>
      </c>
      <c r="M87" s="284">
        <f t="shared" si="30"/>
        <v>85.19999999999999</v>
      </c>
      <c r="N87" s="284">
        <f t="shared" si="30"/>
        <v>6613.55</v>
      </c>
      <c r="O87" s="284">
        <f t="shared" si="30"/>
        <v>6562</v>
      </c>
      <c r="P87" s="284">
        <f t="shared" si="30"/>
        <v>51.549999999999955</v>
      </c>
    </row>
    <row r="88" spans="1:16" s="285" customFormat="1" ht="12.75">
      <c r="A88" s="281">
        <f>'2022 BUDGET'!A94</f>
        <v>0</v>
      </c>
      <c r="B88" s="287"/>
      <c r="C88" s="248"/>
      <c r="D88" s="249"/>
      <c r="E88" s="287"/>
      <c r="F88" s="248"/>
      <c r="G88" s="249"/>
      <c r="H88" s="287"/>
      <c r="I88" s="248"/>
      <c r="J88" s="249"/>
      <c r="K88" s="250"/>
      <c r="L88" s="248"/>
      <c r="M88" s="249"/>
      <c r="N88" s="250"/>
      <c r="O88" s="248"/>
      <c r="P88" s="251"/>
    </row>
    <row r="89" spans="1:16" s="285" customFormat="1" ht="12.75">
      <c r="A89" s="286" t="str">
        <f>'2022 BUDGET'!A95</f>
        <v>TOTAL INCOME</v>
      </c>
      <c r="B89" s="269">
        <f aca="true" t="shared" si="31" ref="B89:P89">B87+B67+B62</f>
        <v>382.2</v>
      </c>
      <c r="C89" s="269">
        <f t="shared" si="31"/>
        <v>10412</v>
      </c>
      <c r="D89" s="269">
        <f t="shared" si="31"/>
        <v>-10029.8</v>
      </c>
      <c r="E89" s="269">
        <f t="shared" si="31"/>
        <v>135</v>
      </c>
      <c r="F89" s="269">
        <f t="shared" si="31"/>
        <v>413</v>
      </c>
      <c r="G89" s="269">
        <f t="shared" si="31"/>
        <v>-278</v>
      </c>
      <c r="H89" s="269">
        <f t="shared" si="31"/>
        <v>805</v>
      </c>
      <c r="I89" s="269">
        <f t="shared" si="31"/>
        <v>412</v>
      </c>
      <c r="J89" s="269">
        <f t="shared" si="31"/>
        <v>393</v>
      </c>
      <c r="K89" s="269">
        <f t="shared" si="31"/>
        <v>1322.2</v>
      </c>
      <c r="L89" s="269">
        <f t="shared" si="31"/>
        <v>11237</v>
      </c>
      <c r="M89" s="269">
        <f t="shared" si="31"/>
        <v>-9914.8</v>
      </c>
      <c r="N89" s="269">
        <f t="shared" si="31"/>
        <v>16613.55</v>
      </c>
      <c r="O89" s="269">
        <f t="shared" si="31"/>
        <v>36562</v>
      </c>
      <c r="P89" s="269">
        <f t="shared" si="31"/>
        <v>-19948.45</v>
      </c>
    </row>
    <row r="90" spans="1:16" s="285" customFormat="1" ht="13.5" thickBot="1">
      <c r="A90" s="282">
        <f>'2022 BUDGET'!A96</f>
        <v>0</v>
      </c>
      <c r="B90" s="288"/>
      <c r="C90" s="235"/>
      <c r="D90" s="236"/>
      <c r="E90" s="288"/>
      <c r="F90" s="235"/>
      <c r="G90" s="236"/>
      <c r="H90" s="288"/>
      <c r="I90" s="235"/>
      <c r="J90" s="236"/>
      <c r="K90" s="237"/>
      <c r="L90" s="235"/>
      <c r="M90" s="236"/>
      <c r="N90" s="237"/>
      <c r="O90" s="235"/>
      <c r="P90" s="238"/>
    </row>
    <row r="91" spans="1:16" ht="14.25" thickBot="1" thickTop="1">
      <c r="A91" s="289" t="s">
        <v>43</v>
      </c>
      <c r="B91" s="290">
        <f aca="true" t="shared" si="32" ref="B91:P91">B89-B58</f>
        <v>-58.620000000000005</v>
      </c>
      <c r="C91" s="290">
        <f t="shared" si="32"/>
        <v>5433.32</v>
      </c>
      <c r="D91" s="290">
        <f t="shared" si="32"/>
        <v>-5491.939999999999</v>
      </c>
      <c r="E91" s="290">
        <f t="shared" si="32"/>
        <v>123.32999999999993</v>
      </c>
      <c r="F91" s="290">
        <f t="shared" si="32"/>
        <v>-5988.17</v>
      </c>
      <c r="G91" s="290">
        <f t="shared" si="32"/>
        <v>6111.5</v>
      </c>
      <c r="H91" s="290">
        <f t="shared" si="32"/>
        <v>608.9300000000001</v>
      </c>
      <c r="I91" s="290">
        <f t="shared" si="32"/>
        <v>-4279.18</v>
      </c>
      <c r="J91" s="290">
        <f t="shared" si="32"/>
        <v>4888.110000000001</v>
      </c>
      <c r="K91" s="290">
        <f t="shared" si="32"/>
        <v>673.6399999999987</v>
      </c>
      <c r="L91" s="290">
        <f t="shared" si="32"/>
        <v>-4834.030000000001</v>
      </c>
      <c r="M91" s="290">
        <f t="shared" si="32"/>
        <v>5507.67</v>
      </c>
      <c r="N91" s="290">
        <f t="shared" si="32"/>
        <v>9761.39</v>
      </c>
      <c r="O91" s="290">
        <f t="shared" si="32"/>
        <v>-9930.64</v>
      </c>
      <c r="P91" s="290">
        <f t="shared" si="32"/>
        <v>19692.029999999995</v>
      </c>
    </row>
    <row r="92" spans="2:16" s="291" customFormat="1" ht="13.5" thickTop="1">
      <c r="B92" s="244"/>
      <c r="C92" s="245"/>
      <c r="D92" s="246"/>
      <c r="E92" s="244"/>
      <c r="F92" s="245"/>
      <c r="G92" s="246"/>
      <c r="H92" s="244"/>
      <c r="I92" s="245"/>
      <c r="J92" s="246"/>
      <c r="K92" s="250"/>
      <c r="L92" s="248"/>
      <c r="M92" s="249"/>
      <c r="N92" s="250"/>
      <c r="O92" s="248"/>
      <c r="P92" s="251"/>
    </row>
    <row r="93" spans="1:16" s="291" customFormat="1" ht="12.75">
      <c r="A93" s="292" t="s">
        <v>133</v>
      </c>
      <c r="B93" s="244"/>
      <c r="C93" s="245"/>
      <c r="D93" s="246"/>
      <c r="E93" s="244"/>
      <c r="F93" s="245"/>
      <c r="G93" s="246"/>
      <c r="H93" s="244"/>
      <c r="I93" s="245"/>
      <c r="J93" s="246"/>
      <c r="K93" s="250"/>
      <c r="L93" s="248"/>
      <c r="M93" s="249"/>
      <c r="N93" s="250"/>
      <c r="O93" s="248"/>
      <c r="P93" s="251"/>
    </row>
    <row r="94" spans="1:16" ht="12.75">
      <c r="A94" s="219"/>
      <c r="B94" s="293" t="str">
        <f aca="true" t="shared" si="33" ref="B94:P94">+B8</f>
        <v>ACTUALS</v>
      </c>
      <c r="C94" s="294" t="str">
        <f t="shared" si="33"/>
        <v>BUDGET</v>
      </c>
      <c r="D94" s="295" t="str">
        <f t="shared" si="33"/>
        <v>DIFF.</v>
      </c>
      <c r="E94" s="293" t="str">
        <f t="shared" si="33"/>
        <v>ACTUALS</v>
      </c>
      <c r="F94" s="294" t="str">
        <f t="shared" si="33"/>
        <v>BUDGET</v>
      </c>
      <c r="G94" s="295" t="str">
        <f t="shared" si="33"/>
        <v>DIFF.</v>
      </c>
      <c r="H94" s="293" t="str">
        <f t="shared" si="33"/>
        <v>ACTUALS</v>
      </c>
      <c r="I94" s="294" t="str">
        <f t="shared" si="33"/>
        <v>BUDGET</v>
      </c>
      <c r="J94" s="295" t="str">
        <f t="shared" si="33"/>
        <v>DIFF.</v>
      </c>
      <c r="K94" s="296" t="str">
        <f t="shared" si="33"/>
        <v>ACTUALS</v>
      </c>
      <c r="L94" s="294" t="str">
        <f t="shared" si="33"/>
        <v>BUDGET</v>
      </c>
      <c r="M94" s="295" t="str">
        <f t="shared" si="33"/>
        <v>DIFF.</v>
      </c>
      <c r="N94" s="296" t="str">
        <f t="shared" si="33"/>
        <v>ACTUALS</v>
      </c>
      <c r="O94" s="294" t="str">
        <f t="shared" si="33"/>
        <v>BUDGET</v>
      </c>
      <c r="P94" s="297" t="str">
        <f t="shared" si="33"/>
        <v>DIFF.</v>
      </c>
    </row>
    <row r="95" spans="1:16" ht="19.5" customHeight="1">
      <c r="A95" s="259" t="s">
        <v>166</v>
      </c>
      <c r="B95" s="298">
        <f>B42</f>
        <v>-168.72999999999996</v>
      </c>
      <c r="C95" s="298">
        <f>C42</f>
        <v>650</v>
      </c>
      <c r="D95" s="299">
        <f>+B95-C95</f>
        <v>-818.73</v>
      </c>
      <c r="E95" s="298">
        <f>E42</f>
        <v>-3206.36</v>
      </c>
      <c r="F95" s="298">
        <f>F42</f>
        <v>351</v>
      </c>
      <c r="G95" s="299">
        <f>+E95-F95</f>
        <v>-3557.36</v>
      </c>
      <c r="H95" s="298">
        <f>H42</f>
        <v>-1501.96</v>
      </c>
      <c r="I95" s="298">
        <f>I42</f>
        <v>362.5</v>
      </c>
      <c r="J95" s="299">
        <f>+H95-I95</f>
        <v>-1864.46</v>
      </c>
      <c r="K95" s="298">
        <f>+B95+E95+H95</f>
        <v>-4877.05</v>
      </c>
      <c r="L95" s="298">
        <f>+C95+F95+I95</f>
        <v>1363.5</v>
      </c>
      <c r="M95" s="299">
        <f>D95+G95+J95</f>
        <v>-6240.55</v>
      </c>
      <c r="N95" s="298">
        <f>+K95+'TRIM 2'!N95</f>
        <v>-3690.98</v>
      </c>
      <c r="O95" s="298">
        <f>+L95+'TRIM 2'!O95</f>
        <v>4091.5</v>
      </c>
      <c r="P95" s="298">
        <f>+M95+'TRIM 2'!P95</f>
        <v>-7782.48</v>
      </c>
    </row>
    <row r="96" spans="1:16" ht="19.5" customHeight="1">
      <c r="A96" s="259" t="s">
        <v>182</v>
      </c>
      <c r="B96" s="301">
        <f>B56</f>
        <v>609.55</v>
      </c>
      <c r="C96" s="301">
        <f>C56</f>
        <v>4328.68</v>
      </c>
      <c r="D96" s="236">
        <f>+B96-C96</f>
        <v>-3719.13</v>
      </c>
      <c r="E96" s="301">
        <f>SUM(E56)</f>
        <v>3218.03</v>
      </c>
      <c r="F96" s="301">
        <f>SUM(F56)</f>
        <v>6050.17</v>
      </c>
      <c r="G96" s="236">
        <f>+E96-F96</f>
        <v>-2832.14</v>
      </c>
      <c r="H96" s="301">
        <f>SUM(H56)</f>
        <v>1698.03</v>
      </c>
      <c r="I96" s="301">
        <f>SUM(I56)</f>
        <v>4328.68</v>
      </c>
      <c r="J96" s="236">
        <f>+H96-I96</f>
        <v>-2630.6500000000005</v>
      </c>
      <c r="K96" s="301">
        <f>+B96+E96+H96</f>
        <v>5525.61</v>
      </c>
      <c r="L96" s="301">
        <f>+C96+F96+I96</f>
        <v>14707.53</v>
      </c>
      <c r="M96" s="236">
        <f>D96+G96+J96</f>
        <v>-9181.920000000002</v>
      </c>
      <c r="N96" s="298">
        <f>+K96+'TRIM 2'!N96</f>
        <v>10543.14</v>
      </c>
      <c r="O96" s="298">
        <f>+L96+'TRIM 2'!O96</f>
        <v>42401.14</v>
      </c>
      <c r="P96" s="298">
        <f>+M96+'TRIM 2'!P96</f>
        <v>-31858.000000000004</v>
      </c>
    </row>
    <row r="97" spans="1:16" ht="19.5" customHeight="1">
      <c r="A97" s="302" t="s">
        <v>183</v>
      </c>
      <c r="B97" s="301">
        <f>B95+B96</f>
        <v>440.82</v>
      </c>
      <c r="C97" s="301">
        <f aca="true" t="shared" si="34" ref="C97:M97">C95+C96</f>
        <v>4978.68</v>
      </c>
      <c r="D97" s="301">
        <f t="shared" si="34"/>
        <v>-4537.860000000001</v>
      </c>
      <c r="E97" s="301">
        <f t="shared" si="34"/>
        <v>11.670000000000073</v>
      </c>
      <c r="F97" s="301">
        <f t="shared" si="34"/>
        <v>6401.17</v>
      </c>
      <c r="G97" s="301">
        <f t="shared" si="34"/>
        <v>-6389.5</v>
      </c>
      <c r="H97" s="301">
        <f t="shared" si="34"/>
        <v>196.06999999999994</v>
      </c>
      <c r="I97" s="301">
        <f t="shared" si="34"/>
        <v>4691.18</v>
      </c>
      <c r="J97" s="301">
        <f t="shared" si="34"/>
        <v>-4495.110000000001</v>
      </c>
      <c r="K97" s="301">
        <f t="shared" si="34"/>
        <v>648.5599999999995</v>
      </c>
      <c r="L97" s="301">
        <f t="shared" si="34"/>
        <v>16071.03</v>
      </c>
      <c r="M97" s="301">
        <f t="shared" si="34"/>
        <v>-15422.470000000001</v>
      </c>
      <c r="N97" s="298">
        <f>+K97+'TRIM 2'!N97</f>
        <v>6852.160000000001</v>
      </c>
      <c r="O97" s="298">
        <f>+L97+'TRIM 2'!O97</f>
        <v>46492.64</v>
      </c>
      <c r="P97" s="298">
        <f>+M97+'TRIM 2'!P97</f>
        <v>-39640.48</v>
      </c>
    </row>
    <row r="98" spans="1:16" ht="19.5" customHeight="1">
      <c r="A98" s="303" t="s">
        <v>218</v>
      </c>
      <c r="B98" s="238">
        <f aca="true" t="shared" si="35" ref="B98:M98">B67</f>
        <v>0</v>
      </c>
      <c r="C98" s="237">
        <f t="shared" si="35"/>
        <v>10000</v>
      </c>
      <c r="D98" s="237">
        <f t="shared" si="35"/>
        <v>-10000</v>
      </c>
      <c r="E98" s="237">
        <f t="shared" si="35"/>
        <v>0</v>
      </c>
      <c r="F98" s="237">
        <f t="shared" si="35"/>
        <v>0</v>
      </c>
      <c r="G98" s="237">
        <f t="shared" si="35"/>
        <v>0</v>
      </c>
      <c r="H98" s="237">
        <f t="shared" si="35"/>
        <v>0</v>
      </c>
      <c r="I98" s="237">
        <f t="shared" si="35"/>
        <v>0</v>
      </c>
      <c r="J98" s="301">
        <f t="shared" si="35"/>
        <v>0</v>
      </c>
      <c r="K98" s="238">
        <f t="shared" si="35"/>
        <v>0</v>
      </c>
      <c r="L98" s="237">
        <f t="shared" si="35"/>
        <v>10000</v>
      </c>
      <c r="M98" s="237">
        <f t="shared" si="35"/>
        <v>-10000</v>
      </c>
      <c r="N98" s="298">
        <f>+K98+'TRIM 2'!N98</f>
        <v>10000</v>
      </c>
      <c r="O98" s="298">
        <f>+L98+'TRIM 2'!O98</f>
        <v>30000</v>
      </c>
      <c r="P98" s="298">
        <f>+M98+'TRIM 2'!P98</f>
        <v>-20000</v>
      </c>
    </row>
    <row r="99" spans="1:16" ht="19.5" customHeight="1">
      <c r="A99" s="304" t="s">
        <v>204</v>
      </c>
      <c r="B99" s="237">
        <f>B87</f>
        <v>382.2</v>
      </c>
      <c r="C99" s="237">
        <f aca="true" t="shared" si="36" ref="C99:M99">C87</f>
        <v>412</v>
      </c>
      <c r="D99" s="237">
        <f t="shared" si="36"/>
        <v>-29.80000000000001</v>
      </c>
      <c r="E99" s="237">
        <f t="shared" si="36"/>
        <v>135</v>
      </c>
      <c r="F99" s="237">
        <f t="shared" si="36"/>
        <v>413</v>
      </c>
      <c r="G99" s="237">
        <f t="shared" si="36"/>
        <v>-278</v>
      </c>
      <c r="H99" s="237">
        <f t="shared" si="36"/>
        <v>805</v>
      </c>
      <c r="I99" s="237">
        <f t="shared" si="36"/>
        <v>412</v>
      </c>
      <c r="J99" s="237">
        <f t="shared" si="36"/>
        <v>393</v>
      </c>
      <c r="K99" s="237">
        <f t="shared" si="36"/>
        <v>1322.2</v>
      </c>
      <c r="L99" s="237">
        <f t="shared" si="36"/>
        <v>1237</v>
      </c>
      <c r="M99" s="237">
        <f t="shared" si="36"/>
        <v>85.19999999999999</v>
      </c>
      <c r="N99" s="298">
        <f>+K99+'TRIM 2'!N99</f>
        <v>6613.55</v>
      </c>
      <c r="O99" s="298">
        <f>+L99+'TRIM 2'!O99</f>
        <v>6562</v>
      </c>
      <c r="P99" s="298">
        <f>+M99+'TRIM 2'!P99</f>
        <v>51.5499999999999</v>
      </c>
    </row>
    <row r="100" spans="1:16" ht="19.5" customHeight="1" thickBot="1">
      <c r="A100" s="305" t="s">
        <v>132</v>
      </c>
      <c r="B100" s="237">
        <f aca="true" t="shared" si="37" ref="B100:M100">B99+B98+B62</f>
        <v>382.2</v>
      </c>
      <c r="C100" s="237">
        <f t="shared" si="37"/>
        <v>10412</v>
      </c>
      <c r="D100" s="237">
        <f t="shared" si="37"/>
        <v>-10029.8</v>
      </c>
      <c r="E100" s="237">
        <f t="shared" si="37"/>
        <v>135</v>
      </c>
      <c r="F100" s="237">
        <f t="shared" si="37"/>
        <v>413</v>
      </c>
      <c r="G100" s="237">
        <f t="shared" si="37"/>
        <v>-278</v>
      </c>
      <c r="H100" s="237">
        <f t="shared" si="37"/>
        <v>805</v>
      </c>
      <c r="I100" s="237">
        <f t="shared" si="37"/>
        <v>412</v>
      </c>
      <c r="J100" s="237">
        <f t="shared" si="37"/>
        <v>393</v>
      </c>
      <c r="K100" s="237">
        <f t="shared" si="37"/>
        <v>1322.2</v>
      </c>
      <c r="L100" s="237">
        <f t="shared" si="37"/>
        <v>11237</v>
      </c>
      <c r="M100" s="237">
        <f t="shared" si="37"/>
        <v>-9914.8</v>
      </c>
      <c r="N100" s="298">
        <f>+K100+'TRIM 2'!N100</f>
        <v>16613.55</v>
      </c>
      <c r="O100" s="298">
        <f>+L100+'TRIM 2'!O100</f>
        <v>36562</v>
      </c>
      <c r="P100" s="298">
        <f>+M100+'TRIM 2'!P100</f>
        <v>-19948.449999999997</v>
      </c>
    </row>
    <row r="101" spans="1:16" ht="14.25" customHeight="1" thickBot="1">
      <c r="A101" s="306" t="s">
        <v>46</v>
      </c>
      <c r="B101" s="307">
        <f>B100-B97</f>
        <v>-58.620000000000005</v>
      </c>
      <c r="C101" s="307">
        <f aca="true" t="shared" si="38" ref="C101:P101">C100-C97</f>
        <v>5433.32</v>
      </c>
      <c r="D101" s="307">
        <f t="shared" si="38"/>
        <v>-5491.939999999999</v>
      </c>
      <c r="E101" s="307">
        <f t="shared" si="38"/>
        <v>123.32999999999993</v>
      </c>
      <c r="F101" s="307">
        <f t="shared" si="38"/>
        <v>-5988.17</v>
      </c>
      <c r="G101" s="307">
        <f t="shared" si="38"/>
        <v>6111.5</v>
      </c>
      <c r="H101" s="307">
        <f t="shared" si="38"/>
        <v>608.9300000000001</v>
      </c>
      <c r="I101" s="307">
        <f t="shared" si="38"/>
        <v>-4279.18</v>
      </c>
      <c r="J101" s="307">
        <f t="shared" si="38"/>
        <v>4888.110000000001</v>
      </c>
      <c r="K101" s="307">
        <f t="shared" si="38"/>
        <v>673.6400000000006</v>
      </c>
      <c r="L101" s="307">
        <f t="shared" si="38"/>
        <v>-4834.030000000001</v>
      </c>
      <c r="M101" s="307">
        <f t="shared" si="38"/>
        <v>5507.670000000002</v>
      </c>
      <c r="N101" s="307">
        <f t="shared" si="38"/>
        <v>9761.39</v>
      </c>
      <c r="O101" s="307">
        <f t="shared" si="38"/>
        <v>-9930.64</v>
      </c>
      <c r="P101" s="307">
        <f t="shared" si="38"/>
        <v>19692.030000000006</v>
      </c>
    </row>
    <row r="102" ht="12.75">
      <c r="A102" s="308"/>
    </row>
    <row r="103" ht="12.75">
      <c r="A103" s="308"/>
    </row>
    <row r="104" spans="1:16" ht="12.75">
      <c r="A104" s="309" t="s">
        <v>195</v>
      </c>
      <c r="B104" s="310" t="s">
        <v>119</v>
      </c>
      <c r="C104" s="310" t="s">
        <v>196</v>
      </c>
      <c r="D104" s="311" t="s">
        <v>197</v>
      </c>
      <c r="E104" s="310" t="s">
        <v>119</v>
      </c>
      <c r="F104" s="310" t="s">
        <v>196</v>
      </c>
      <c r="G104" s="311" t="s">
        <v>197</v>
      </c>
      <c r="H104" s="310" t="s">
        <v>119</v>
      </c>
      <c r="I104" s="310" t="s">
        <v>196</v>
      </c>
      <c r="J104" s="311" t="s">
        <v>197</v>
      </c>
      <c r="K104" s="310" t="s">
        <v>119</v>
      </c>
      <c r="L104" s="310" t="s">
        <v>196</v>
      </c>
      <c r="M104" s="311" t="s">
        <v>197</v>
      </c>
      <c r="N104" s="310" t="s">
        <v>119</v>
      </c>
      <c r="O104" s="310" t="s">
        <v>196</v>
      </c>
      <c r="P104" s="312" t="s">
        <v>197</v>
      </c>
    </row>
    <row r="105" spans="1:16" ht="12.75">
      <c r="A105" s="313" t="s">
        <v>198</v>
      </c>
      <c r="B105" s="314">
        <f>'TRIM 2'!N112</f>
        <v>9087.75</v>
      </c>
      <c r="C105" s="314">
        <f>'TRIM 2'!O112</f>
        <v>9087.75</v>
      </c>
      <c r="D105" s="314">
        <f>'TRIM 2'!P112</f>
        <v>0</v>
      </c>
      <c r="E105" s="315">
        <f>+B112</f>
        <v>9029.130000000001</v>
      </c>
      <c r="F105" s="315">
        <f>+E105-G105</f>
        <v>9029.130000000001</v>
      </c>
      <c r="G105" s="315">
        <f>+D112</f>
        <v>0</v>
      </c>
      <c r="H105" s="315">
        <f>+E112</f>
        <v>9152.460000000001</v>
      </c>
      <c r="I105" s="315">
        <f>+F112</f>
        <v>9152.460000000001</v>
      </c>
      <c r="J105" s="315">
        <f>+G112</f>
        <v>0</v>
      </c>
      <c r="K105" s="315">
        <f>+B105</f>
        <v>9087.75</v>
      </c>
      <c r="L105" s="315">
        <f>+C105</f>
        <v>9087.75</v>
      </c>
      <c r="M105" s="315">
        <f>+D105</f>
        <v>0</v>
      </c>
      <c r="N105" s="315">
        <f>'TRIM 1'!B105</f>
        <v>0</v>
      </c>
      <c r="O105" s="315">
        <f>'TRIM 1'!C105</f>
        <v>0</v>
      </c>
      <c r="P105" s="315">
        <f>'TRIM 1'!D105</f>
        <v>0</v>
      </c>
    </row>
    <row r="106" spans="1:16" ht="12.75">
      <c r="A106" s="313" t="s">
        <v>199</v>
      </c>
      <c r="B106" s="315">
        <f>B89</f>
        <v>382.2</v>
      </c>
      <c r="C106" s="315">
        <f>+B106-D106</f>
        <v>382.2</v>
      </c>
      <c r="D106" s="316"/>
      <c r="E106" s="315">
        <f>E89</f>
        <v>135</v>
      </c>
      <c r="F106" s="315">
        <f>+E106-G106</f>
        <v>135</v>
      </c>
      <c r="G106" s="316"/>
      <c r="H106" s="315">
        <f>H89</f>
        <v>805</v>
      </c>
      <c r="I106" s="317">
        <f>H106-J106</f>
        <v>805</v>
      </c>
      <c r="J106" s="316"/>
      <c r="K106" s="315">
        <f>K89</f>
        <v>1322.2</v>
      </c>
      <c r="L106" s="315">
        <f>+K106-M106</f>
        <v>1322.2</v>
      </c>
      <c r="M106" s="318">
        <f>+D106+G106+J106</f>
        <v>0</v>
      </c>
      <c r="N106" s="315">
        <f>+K106+'TRIM 2'!N106</f>
        <v>16613.55</v>
      </c>
      <c r="O106" s="315">
        <f>+L106+'TRIM 2'!O106</f>
        <v>16613.55</v>
      </c>
      <c r="P106" s="315">
        <f>+M106+'TRIM 2'!P106</f>
        <v>0</v>
      </c>
    </row>
    <row r="107" spans="1:16" ht="13.5" thickBot="1">
      <c r="A107" s="313" t="s">
        <v>200</v>
      </c>
      <c r="B107" s="320"/>
      <c r="C107" s="321"/>
      <c r="D107" s="322"/>
      <c r="E107" s="320"/>
      <c r="F107" s="321"/>
      <c r="G107" s="322"/>
      <c r="H107" s="320"/>
      <c r="I107" s="321"/>
      <c r="J107" s="322"/>
      <c r="K107" s="323"/>
      <c r="L107" s="323">
        <f>+C107+F107+I107</f>
        <v>0</v>
      </c>
      <c r="M107" s="324">
        <f>+D107+G107+J107</f>
        <v>0</v>
      </c>
      <c r="N107" s="323">
        <f>+K107</f>
        <v>0</v>
      </c>
      <c r="O107" s="323">
        <f>+L107</f>
        <v>0</v>
      </c>
      <c r="P107" s="325">
        <f>+M107</f>
        <v>0</v>
      </c>
    </row>
    <row r="108" spans="1:16" ht="13.5" thickBot="1">
      <c r="A108" s="326" t="s">
        <v>201</v>
      </c>
      <c r="B108" s="327">
        <f aca="true" t="shared" si="39" ref="B108:M108">SUM(B105:B107)</f>
        <v>9469.95</v>
      </c>
      <c r="C108" s="328">
        <f t="shared" si="39"/>
        <v>9469.95</v>
      </c>
      <c r="D108" s="328">
        <f t="shared" si="39"/>
        <v>0</v>
      </c>
      <c r="E108" s="328">
        <f t="shared" si="39"/>
        <v>9164.130000000001</v>
      </c>
      <c r="F108" s="328">
        <f t="shared" si="39"/>
        <v>9164.130000000001</v>
      </c>
      <c r="G108" s="328">
        <f t="shared" si="39"/>
        <v>0</v>
      </c>
      <c r="H108" s="328">
        <f t="shared" si="39"/>
        <v>9957.460000000001</v>
      </c>
      <c r="I108" s="328">
        <f t="shared" si="39"/>
        <v>9957.460000000001</v>
      </c>
      <c r="J108" s="328">
        <f t="shared" si="39"/>
        <v>0</v>
      </c>
      <c r="K108" s="328">
        <f t="shared" si="39"/>
        <v>10409.95</v>
      </c>
      <c r="L108" s="328">
        <f t="shared" si="39"/>
        <v>10409.95</v>
      </c>
      <c r="M108" s="328">
        <f t="shared" si="39"/>
        <v>0</v>
      </c>
      <c r="N108" s="328">
        <f>SUM(N105:N107)</f>
        <v>16613.55</v>
      </c>
      <c r="O108" s="328">
        <f>SUM(O105:O107)</f>
        <v>16613.55</v>
      </c>
      <c r="P108" s="328">
        <f>SUM(P105:P107)</f>
        <v>0</v>
      </c>
    </row>
    <row r="109" spans="1:16" ht="12.75">
      <c r="A109" s="330" t="s">
        <v>202</v>
      </c>
      <c r="B109" s="331">
        <f>+B58</f>
        <v>440.82</v>
      </c>
      <c r="C109" s="331">
        <f>+B109-D109</f>
        <v>440.82</v>
      </c>
      <c r="D109" s="332"/>
      <c r="E109" s="331">
        <f>+E58</f>
        <v>11.670000000000073</v>
      </c>
      <c r="F109" s="331">
        <f>+E109-G109</f>
        <v>11.670000000000073</v>
      </c>
      <c r="G109" s="332"/>
      <c r="H109" s="331">
        <f>H58</f>
        <v>196.06999999999994</v>
      </c>
      <c r="I109" s="331">
        <f>H109-J109</f>
        <v>196.06999999999994</v>
      </c>
      <c r="J109" s="332"/>
      <c r="K109" s="331">
        <f>+K58</f>
        <v>648.5600000000013</v>
      </c>
      <c r="L109" s="331">
        <f>+K109-M109</f>
        <v>648.5600000000013</v>
      </c>
      <c r="M109" s="333">
        <f>+D109+G109+J109</f>
        <v>0</v>
      </c>
      <c r="N109" s="331">
        <f>+K109+'TRIM 2'!N109</f>
        <v>6852.160000000003</v>
      </c>
      <c r="O109" s="331">
        <f>+L109+'TRIM 2'!O109</f>
        <v>6852.160000000003</v>
      </c>
      <c r="P109" s="331">
        <f>+M109+'TRIM 2'!P109</f>
        <v>0</v>
      </c>
    </row>
    <row r="110" spans="1:16" ht="12.75">
      <c r="A110" s="335" t="s">
        <v>200</v>
      </c>
      <c r="B110" s="317"/>
      <c r="C110" s="315">
        <f>+D107</f>
        <v>0</v>
      </c>
      <c r="D110" s="318">
        <f>+C107</f>
        <v>0</v>
      </c>
      <c r="E110" s="317"/>
      <c r="F110" s="315">
        <f>+G107</f>
        <v>0</v>
      </c>
      <c r="G110" s="318">
        <f>+F107</f>
        <v>0</v>
      </c>
      <c r="H110" s="315"/>
      <c r="I110" s="315">
        <f>+J107</f>
        <v>0</v>
      </c>
      <c r="J110" s="318">
        <f>+I107</f>
        <v>0</v>
      </c>
      <c r="K110" s="315"/>
      <c r="L110" s="315">
        <f>+M107</f>
        <v>0</v>
      </c>
      <c r="M110" s="318">
        <f>+L107</f>
        <v>0</v>
      </c>
      <c r="N110" s="315">
        <f>+K110</f>
        <v>0</v>
      </c>
      <c r="O110" s="315">
        <f>+L110</f>
        <v>0</v>
      </c>
      <c r="P110" s="319">
        <f>+M110</f>
        <v>0</v>
      </c>
    </row>
    <row r="111" spans="1:16" ht="13.5" thickBot="1">
      <c r="A111" s="335"/>
      <c r="B111" s="320"/>
      <c r="C111" s="320"/>
      <c r="D111" s="336"/>
      <c r="E111" s="320"/>
      <c r="F111" s="320"/>
      <c r="G111" s="336"/>
      <c r="H111" s="320"/>
      <c r="I111" s="320"/>
      <c r="J111" s="336"/>
      <c r="K111" s="320"/>
      <c r="L111" s="320"/>
      <c r="M111" s="336"/>
      <c r="N111" s="320"/>
      <c r="O111" s="320"/>
      <c r="P111" s="337"/>
    </row>
    <row r="112" spans="1:16" ht="13.5" thickBot="1">
      <c r="A112" s="338" t="s">
        <v>203</v>
      </c>
      <c r="B112" s="327">
        <f aca="true" t="shared" si="40" ref="B112:P112">SUM(B108-B109-B110)</f>
        <v>9029.130000000001</v>
      </c>
      <c r="C112" s="328">
        <f t="shared" si="40"/>
        <v>9029.130000000001</v>
      </c>
      <c r="D112" s="328">
        <f t="shared" si="40"/>
        <v>0</v>
      </c>
      <c r="E112" s="328">
        <f t="shared" si="40"/>
        <v>9152.460000000001</v>
      </c>
      <c r="F112" s="328">
        <f t="shared" si="40"/>
        <v>9152.460000000001</v>
      </c>
      <c r="G112" s="328">
        <f t="shared" si="40"/>
        <v>0</v>
      </c>
      <c r="H112" s="328">
        <f t="shared" si="40"/>
        <v>9761.390000000001</v>
      </c>
      <c r="I112" s="328">
        <f t="shared" si="40"/>
        <v>9761.390000000001</v>
      </c>
      <c r="J112" s="328">
        <f t="shared" si="40"/>
        <v>0</v>
      </c>
      <c r="K112" s="328">
        <f t="shared" si="40"/>
        <v>9761.39</v>
      </c>
      <c r="L112" s="328">
        <f t="shared" si="40"/>
        <v>9761.39</v>
      </c>
      <c r="M112" s="328">
        <f t="shared" si="40"/>
        <v>0</v>
      </c>
      <c r="N112" s="328">
        <f t="shared" si="40"/>
        <v>9761.389999999996</v>
      </c>
      <c r="O112" s="328">
        <f t="shared" si="40"/>
        <v>9761.389999999996</v>
      </c>
      <c r="P112" s="329">
        <f t="shared" si="40"/>
        <v>0</v>
      </c>
    </row>
    <row r="113" ht="12.75">
      <c r="A113" s="213">
        <f>+B4</f>
        <v>0</v>
      </c>
    </row>
    <row r="114" ht="12.75">
      <c r="A114" s="308" t="s">
        <v>130</v>
      </c>
    </row>
    <row r="115" spans="1:16" ht="12.75">
      <c r="A115" s="339"/>
      <c r="B115" s="341"/>
      <c r="C115" s="341"/>
      <c r="D115" s="341"/>
      <c r="E115" s="341"/>
      <c r="F115" s="341"/>
      <c r="G115" s="341"/>
      <c r="H115" s="341"/>
      <c r="I115" s="341"/>
      <c r="J115" s="341"/>
      <c r="K115" s="341"/>
      <c r="L115" s="341"/>
      <c r="M115" s="341"/>
      <c r="N115" s="341"/>
      <c r="O115" s="341"/>
      <c r="P115" s="341"/>
    </row>
    <row r="116" spans="1:16" ht="12.75">
      <c r="A116" s="339"/>
      <c r="B116" s="341"/>
      <c r="C116" s="341"/>
      <c r="D116" s="341"/>
      <c r="E116" s="341"/>
      <c r="F116" s="341"/>
      <c r="G116" s="341"/>
      <c r="H116" s="341"/>
      <c r="I116" s="341"/>
      <c r="J116" s="341"/>
      <c r="K116" s="341"/>
      <c r="L116" s="341"/>
      <c r="M116" s="341"/>
      <c r="N116" s="341"/>
      <c r="O116" s="341"/>
      <c r="P116" s="341"/>
    </row>
  </sheetData>
  <sheetProtection password="C72A" sheet="1"/>
  <printOptions/>
  <pageMargins left="0.1" right="0.1" top="0.2" bottom="0.4" header="0.511811023622047" footer="0.31496062992126"/>
  <pageSetup fitToHeight="2" fitToWidth="2" horizontalDpi="360" verticalDpi="360" orientation="landscape" paperSize="9" scale="51" r:id="rId1"/>
  <headerFooter alignWithMargins="0">
    <oddFooter>&amp;CPagina &amp;P&amp;R&amp;A</oddFooter>
  </headerFooter>
  <rowBreaks count="2" manualBreakCount="2">
    <brk id="59" max="15" man="1"/>
    <brk id="101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0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8515625" style="86" customWidth="1"/>
    <col min="2" max="13" width="11.7109375" style="86" customWidth="1"/>
    <col min="14" max="14" width="14.28125" style="86" customWidth="1"/>
    <col min="15" max="15" width="15.28125" style="86" customWidth="1"/>
    <col min="16" max="16384" width="9.140625" style="86" customWidth="1"/>
  </cols>
  <sheetData>
    <row r="1" spans="1:14" ht="12.75">
      <c r="A1" s="86" t="s">
        <v>0</v>
      </c>
      <c r="N1" s="87" t="s">
        <v>1</v>
      </c>
    </row>
    <row r="2" ht="12.75">
      <c r="A2" s="88" t="s">
        <v>78</v>
      </c>
    </row>
    <row r="4" ht="12.75">
      <c r="A4" s="89" t="s">
        <v>79</v>
      </c>
    </row>
    <row r="6" spans="1:14" ht="13.5">
      <c r="A6" s="90" t="s">
        <v>2</v>
      </c>
      <c r="N6" s="91" t="s">
        <v>3</v>
      </c>
    </row>
    <row r="8" spans="1:14" ht="12.75">
      <c r="A8" s="14"/>
      <c r="B8" s="92" t="s">
        <v>4</v>
      </c>
      <c r="C8" s="92" t="s">
        <v>5</v>
      </c>
      <c r="D8" s="92" t="s">
        <v>6</v>
      </c>
      <c r="E8" s="92" t="s">
        <v>7</v>
      </c>
      <c r="F8" s="92" t="s">
        <v>8</v>
      </c>
      <c r="G8" s="92" t="s">
        <v>9</v>
      </c>
      <c r="H8" s="92" t="s">
        <v>10</v>
      </c>
      <c r="I8" s="92" t="s">
        <v>11</v>
      </c>
      <c r="J8" s="92" t="s">
        <v>12</v>
      </c>
      <c r="K8" s="92" t="s">
        <v>13</v>
      </c>
      <c r="L8" s="92" t="s">
        <v>14</v>
      </c>
      <c r="M8" s="92" t="s">
        <v>15</v>
      </c>
      <c r="N8" s="92" t="s">
        <v>16</v>
      </c>
    </row>
    <row r="9" spans="1:14" ht="12.75">
      <c r="A9" s="14" t="s">
        <v>17</v>
      </c>
      <c r="B9" s="86">
        <v>400</v>
      </c>
      <c r="C9" s="86">
        <v>460</v>
      </c>
      <c r="D9" s="86">
        <v>600</v>
      </c>
      <c r="E9" s="86">
        <v>300</v>
      </c>
      <c r="F9" s="86">
        <v>350</v>
      </c>
      <c r="G9" s="86">
        <v>1140</v>
      </c>
      <c r="H9" s="86">
        <v>300</v>
      </c>
      <c r="I9" s="86">
        <v>200</v>
      </c>
      <c r="J9" s="86">
        <v>500</v>
      </c>
      <c r="K9" s="86">
        <v>500</v>
      </c>
      <c r="L9" s="86">
        <v>350</v>
      </c>
      <c r="M9" s="86">
        <v>1100</v>
      </c>
      <c r="N9" s="93">
        <v>6200</v>
      </c>
    </row>
    <row r="10" spans="1:14" ht="12.75">
      <c r="A10" s="14" t="s">
        <v>18</v>
      </c>
      <c r="B10" s="86">
        <v>6400</v>
      </c>
      <c r="C10" s="86">
        <v>550</v>
      </c>
      <c r="D10" s="86">
        <v>1060</v>
      </c>
      <c r="E10" s="86">
        <v>800</v>
      </c>
      <c r="F10" s="86">
        <v>900</v>
      </c>
      <c r="G10" s="86">
        <v>750</v>
      </c>
      <c r="H10" s="86">
        <v>1440</v>
      </c>
      <c r="I10" s="86">
        <v>300</v>
      </c>
      <c r="J10" s="86">
        <v>800</v>
      </c>
      <c r="K10" s="86">
        <v>800</v>
      </c>
      <c r="L10" s="86">
        <v>750</v>
      </c>
      <c r="M10" s="86">
        <v>950</v>
      </c>
      <c r="N10" s="93">
        <v>15500</v>
      </c>
    </row>
    <row r="11" spans="1:14" ht="12.75">
      <c r="A11" s="14" t="s">
        <v>52</v>
      </c>
      <c r="B11" s="86">
        <v>100</v>
      </c>
      <c r="C11" s="86">
        <v>20</v>
      </c>
      <c r="D11" s="86">
        <v>100</v>
      </c>
      <c r="E11" s="86">
        <v>20</v>
      </c>
      <c r="F11" s="86">
        <v>100</v>
      </c>
      <c r="G11" s="86">
        <v>30</v>
      </c>
      <c r="H11" s="86">
        <v>100</v>
      </c>
      <c r="I11" s="86">
        <v>20</v>
      </c>
      <c r="J11" s="86">
        <v>100</v>
      </c>
      <c r="K11" s="86">
        <v>30</v>
      </c>
      <c r="L11" s="86">
        <v>100</v>
      </c>
      <c r="M11" s="86">
        <v>130</v>
      </c>
      <c r="N11" s="93">
        <v>850</v>
      </c>
    </row>
    <row r="12" spans="1:14" ht="12.75">
      <c r="A12" s="14" t="s">
        <v>19</v>
      </c>
      <c r="B12" s="86">
        <v>650</v>
      </c>
      <c r="C12" s="86">
        <v>100</v>
      </c>
      <c r="D12" s="86">
        <v>600</v>
      </c>
      <c r="E12" s="86">
        <v>90</v>
      </c>
      <c r="F12" s="86">
        <v>660</v>
      </c>
      <c r="G12" s="86">
        <v>100</v>
      </c>
      <c r="H12" s="86">
        <v>650</v>
      </c>
      <c r="I12" s="86">
        <v>90</v>
      </c>
      <c r="J12" s="86">
        <v>490</v>
      </c>
      <c r="K12" s="86">
        <v>100</v>
      </c>
      <c r="L12" s="86">
        <v>455</v>
      </c>
      <c r="M12" s="86">
        <v>115</v>
      </c>
      <c r="N12" s="93">
        <v>4100</v>
      </c>
    </row>
    <row r="13" spans="1:14" ht="12.75">
      <c r="A13" s="14" t="s">
        <v>20</v>
      </c>
      <c r="B13" s="86">
        <v>0</v>
      </c>
      <c r="C13" s="86">
        <v>0</v>
      </c>
      <c r="D13" s="86">
        <v>0</v>
      </c>
      <c r="E13" s="86">
        <v>0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93">
        <v>0</v>
      </c>
    </row>
    <row r="14" spans="1:14" ht="12.75">
      <c r="A14" s="14" t="s">
        <v>21</v>
      </c>
      <c r="B14" s="86">
        <v>500</v>
      </c>
      <c r="C14" s="86">
        <v>500</v>
      </c>
      <c r="D14" s="86">
        <v>500</v>
      </c>
      <c r="E14" s="86">
        <v>500</v>
      </c>
      <c r="F14" s="86">
        <v>500</v>
      </c>
      <c r="G14" s="86">
        <v>500</v>
      </c>
      <c r="H14" s="86">
        <v>500</v>
      </c>
      <c r="I14" s="86">
        <v>500</v>
      </c>
      <c r="J14" s="86">
        <v>500</v>
      </c>
      <c r="K14" s="86">
        <v>500</v>
      </c>
      <c r="L14" s="86">
        <v>500</v>
      </c>
      <c r="M14" s="86">
        <v>500</v>
      </c>
      <c r="N14" s="93">
        <v>6000</v>
      </c>
    </row>
    <row r="15" spans="1:14" ht="12.75">
      <c r="A15" s="14" t="s">
        <v>22</v>
      </c>
      <c r="B15" s="86">
        <v>0</v>
      </c>
      <c r="C15" s="86">
        <v>0</v>
      </c>
      <c r="D15" s="86">
        <v>0</v>
      </c>
      <c r="E15" s="86">
        <v>0</v>
      </c>
      <c r="F15" s="86">
        <v>0</v>
      </c>
      <c r="G15" s="86">
        <v>0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86">
        <v>0</v>
      </c>
      <c r="N15" s="93">
        <v>0</v>
      </c>
    </row>
    <row r="16" spans="1:14" ht="12.75">
      <c r="A16" s="94" t="s">
        <v>23</v>
      </c>
      <c r="B16" s="86">
        <v>400</v>
      </c>
      <c r="C16" s="86">
        <v>600</v>
      </c>
      <c r="D16" s="86">
        <v>500</v>
      </c>
      <c r="E16" s="86">
        <v>600</v>
      </c>
      <c r="F16" s="86">
        <v>650</v>
      </c>
      <c r="G16" s="86">
        <v>900</v>
      </c>
      <c r="H16" s="86">
        <v>450</v>
      </c>
      <c r="I16" s="86">
        <v>150</v>
      </c>
      <c r="J16" s="86">
        <v>550</v>
      </c>
      <c r="K16" s="86">
        <v>600</v>
      </c>
      <c r="L16" s="86">
        <v>550</v>
      </c>
      <c r="M16" s="86">
        <v>950</v>
      </c>
      <c r="N16" s="93">
        <v>6900</v>
      </c>
    </row>
    <row r="17" spans="1:14" ht="12.75">
      <c r="A17" s="14" t="s">
        <v>24</v>
      </c>
      <c r="B17" s="86">
        <v>0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93">
        <v>0</v>
      </c>
    </row>
    <row r="18" spans="1:14" ht="12.75">
      <c r="A18" s="14" t="s">
        <v>25</v>
      </c>
      <c r="B18" s="86">
        <v>1530</v>
      </c>
      <c r="C18" s="86">
        <v>280</v>
      </c>
      <c r="D18" s="86">
        <v>1300</v>
      </c>
      <c r="E18" s="86">
        <v>700</v>
      </c>
      <c r="F18" s="86">
        <v>480</v>
      </c>
      <c r="G18" s="86">
        <v>4300</v>
      </c>
      <c r="H18" s="86">
        <v>2800</v>
      </c>
      <c r="I18" s="86">
        <v>200</v>
      </c>
      <c r="J18" s="86">
        <v>260</v>
      </c>
      <c r="K18" s="86">
        <v>450</v>
      </c>
      <c r="L18" s="86">
        <v>400</v>
      </c>
      <c r="M18" s="86">
        <v>300</v>
      </c>
      <c r="N18" s="93">
        <v>13000</v>
      </c>
    </row>
    <row r="19" spans="1:14" ht="12.75">
      <c r="A19" s="14" t="s">
        <v>26</v>
      </c>
      <c r="B19" s="86">
        <v>90</v>
      </c>
      <c r="C19" s="86">
        <v>80</v>
      </c>
      <c r="D19" s="86">
        <v>120</v>
      </c>
      <c r="E19" s="86">
        <v>80</v>
      </c>
      <c r="F19" s="86">
        <v>80</v>
      </c>
      <c r="G19" s="86">
        <v>120</v>
      </c>
      <c r="H19" s="86">
        <v>80</v>
      </c>
      <c r="I19" s="86">
        <v>50</v>
      </c>
      <c r="J19" s="86">
        <v>120</v>
      </c>
      <c r="K19" s="86">
        <v>80</v>
      </c>
      <c r="L19" s="86">
        <v>80</v>
      </c>
      <c r="M19" s="86">
        <v>120</v>
      </c>
      <c r="N19" s="93">
        <v>1100</v>
      </c>
    </row>
    <row r="20" spans="1:14" ht="12.75">
      <c r="A20" s="14" t="s">
        <v>27</v>
      </c>
      <c r="B20" s="86">
        <v>150</v>
      </c>
      <c r="C20" s="86">
        <v>0</v>
      </c>
      <c r="D20" s="86">
        <v>0</v>
      </c>
      <c r="E20" s="86">
        <v>50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750</v>
      </c>
      <c r="M20" s="86">
        <v>50</v>
      </c>
      <c r="N20" s="93">
        <v>1000</v>
      </c>
    </row>
    <row r="21" spans="1:14" ht="12.75">
      <c r="A21" s="14" t="s">
        <v>51</v>
      </c>
      <c r="B21" s="86">
        <v>356.80898587750033</v>
      </c>
      <c r="C21" s="86">
        <v>356.80898587750033</v>
      </c>
      <c r="D21" s="86">
        <v>356.80898587750033</v>
      </c>
      <c r="E21" s="86">
        <v>356.80898587750033</v>
      </c>
      <c r="F21" s="86">
        <v>356.80898587750033</v>
      </c>
      <c r="G21" s="86">
        <v>356.80898587750033</v>
      </c>
      <c r="H21" s="86">
        <v>356.80898587750033</v>
      </c>
      <c r="I21" s="86">
        <v>356.80898587750033</v>
      </c>
      <c r="J21" s="86">
        <v>356.80898587750033</v>
      </c>
      <c r="K21" s="86">
        <v>356.80898587750033</v>
      </c>
      <c r="L21" s="86">
        <v>356.80898587750033</v>
      </c>
      <c r="M21" s="86">
        <v>356.80898587750033</v>
      </c>
      <c r="N21" s="93">
        <v>4281.707830530003</v>
      </c>
    </row>
    <row r="22" spans="1:14" ht="12.75">
      <c r="A22" s="14" t="s">
        <v>28</v>
      </c>
      <c r="B22" s="86">
        <v>0</v>
      </c>
      <c r="C22" s="86">
        <v>0</v>
      </c>
      <c r="D22" s="86">
        <v>0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93">
        <v>0</v>
      </c>
    </row>
    <row r="23" spans="1:14" ht="12.75">
      <c r="A23" s="14" t="s">
        <v>53</v>
      </c>
      <c r="B23" s="86">
        <v>780</v>
      </c>
      <c r="C23" s="86">
        <v>850</v>
      </c>
      <c r="D23" s="86">
        <v>780</v>
      </c>
      <c r="E23" s="86">
        <v>780</v>
      </c>
      <c r="F23" s="86">
        <v>780</v>
      </c>
      <c r="G23" s="86">
        <v>780</v>
      </c>
      <c r="H23" s="86">
        <v>780</v>
      </c>
      <c r="I23" s="86">
        <v>780</v>
      </c>
      <c r="J23" s="86">
        <v>780</v>
      </c>
      <c r="K23" s="86">
        <v>780</v>
      </c>
      <c r="L23" s="86">
        <v>780</v>
      </c>
      <c r="M23" s="86">
        <v>800</v>
      </c>
      <c r="N23" s="93">
        <v>9450</v>
      </c>
    </row>
    <row r="24" spans="1:14" ht="12.75">
      <c r="A24" s="14" t="s">
        <v>54</v>
      </c>
      <c r="B24" s="86">
        <v>0</v>
      </c>
      <c r="C24" s="86">
        <v>0</v>
      </c>
      <c r="D24" s="86">
        <v>0</v>
      </c>
      <c r="E24" s="86">
        <v>0</v>
      </c>
      <c r="F24" s="86">
        <v>0</v>
      </c>
      <c r="G24" s="86">
        <v>5000</v>
      </c>
      <c r="H24" s="86">
        <v>2000</v>
      </c>
      <c r="I24" s="86">
        <v>0</v>
      </c>
      <c r="J24" s="86">
        <v>0</v>
      </c>
      <c r="K24" s="86">
        <v>0</v>
      </c>
      <c r="L24" s="86">
        <v>2300</v>
      </c>
      <c r="M24" s="86">
        <v>2000</v>
      </c>
      <c r="N24" s="93">
        <v>11300</v>
      </c>
    </row>
    <row r="25" spans="1:14" ht="12.75">
      <c r="A25" s="14" t="s">
        <v>55</v>
      </c>
      <c r="B25" s="86">
        <v>0</v>
      </c>
      <c r="C25" s="86">
        <v>0</v>
      </c>
      <c r="D25" s="86">
        <v>0</v>
      </c>
      <c r="E25" s="86">
        <v>0</v>
      </c>
      <c r="F25" s="86">
        <v>0</v>
      </c>
      <c r="G25" s="86">
        <v>2000</v>
      </c>
      <c r="H25" s="86">
        <v>0</v>
      </c>
      <c r="I25" s="86">
        <v>0</v>
      </c>
      <c r="J25" s="86">
        <v>0</v>
      </c>
      <c r="K25" s="86">
        <v>0</v>
      </c>
      <c r="L25" s="86">
        <v>2000</v>
      </c>
      <c r="M25" s="86">
        <v>0</v>
      </c>
      <c r="N25" s="93">
        <v>4000</v>
      </c>
    </row>
    <row r="26" spans="1:14" ht="12.75">
      <c r="A26" s="14" t="s">
        <v>56</v>
      </c>
      <c r="B26" s="86">
        <v>0</v>
      </c>
      <c r="C26" s="86">
        <v>0</v>
      </c>
      <c r="D26" s="86">
        <v>0</v>
      </c>
      <c r="E26" s="86">
        <v>0</v>
      </c>
      <c r="F26" s="86">
        <v>1000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93">
        <v>1000</v>
      </c>
    </row>
    <row r="27" spans="1:14" ht="12.75">
      <c r="A27" s="14" t="s">
        <v>57</v>
      </c>
      <c r="B27" s="86">
        <v>297.34</v>
      </c>
      <c r="C27" s="86">
        <v>297.34</v>
      </c>
      <c r="D27" s="86">
        <v>150</v>
      </c>
      <c r="E27" s="86">
        <v>297.34</v>
      </c>
      <c r="F27" s="86">
        <v>2000</v>
      </c>
      <c r="G27" s="86">
        <v>6200</v>
      </c>
      <c r="H27" s="86">
        <v>297.34</v>
      </c>
      <c r="I27" s="86">
        <v>1500</v>
      </c>
      <c r="J27" s="86">
        <v>297.34</v>
      </c>
      <c r="K27" s="86">
        <v>297.34</v>
      </c>
      <c r="L27" s="86">
        <v>2000</v>
      </c>
      <c r="M27" s="86">
        <v>150</v>
      </c>
      <c r="N27" s="93">
        <v>13784.04</v>
      </c>
    </row>
    <row r="28" spans="1:14" ht="12.75">
      <c r="A28" s="14" t="s">
        <v>58</v>
      </c>
      <c r="B28" s="86">
        <v>2600</v>
      </c>
      <c r="C28" s="86">
        <v>2600</v>
      </c>
      <c r="D28" s="86">
        <v>2600</v>
      </c>
      <c r="E28" s="86">
        <v>2600</v>
      </c>
      <c r="F28" s="86">
        <v>2600</v>
      </c>
      <c r="G28" s="86">
        <v>2600</v>
      </c>
      <c r="H28" s="86">
        <v>2600</v>
      </c>
      <c r="I28" s="86">
        <v>2600</v>
      </c>
      <c r="J28" s="86">
        <v>2600</v>
      </c>
      <c r="K28" s="86">
        <v>2600</v>
      </c>
      <c r="L28" s="86">
        <v>2600</v>
      </c>
      <c r="M28" s="86">
        <v>2600</v>
      </c>
      <c r="N28" s="93">
        <v>31200</v>
      </c>
    </row>
    <row r="29" spans="1:14" ht="12.75">
      <c r="A29" s="14" t="s">
        <v>59</v>
      </c>
      <c r="B29" s="86">
        <v>80</v>
      </c>
      <c r="C29" s="86">
        <v>90</v>
      </c>
      <c r="D29" s="86">
        <v>70</v>
      </c>
      <c r="E29" s="86">
        <v>1000</v>
      </c>
      <c r="F29" s="86">
        <v>70</v>
      </c>
      <c r="G29" s="86">
        <v>90</v>
      </c>
      <c r="H29" s="86">
        <v>60</v>
      </c>
      <c r="I29" s="86">
        <v>50</v>
      </c>
      <c r="J29" s="86">
        <v>250</v>
      </c>
      <c r="K29" s="86">
        <v>70</v>
      </c>
      <c r="L29" s="86">
        <v>90</v>
      </c>
      <c r="M29" s="86">
        <v>80</v>
      </c>
      <c r="N29" s="93">
        <v>2000</v>
      </c>
    </row>
    <row r="30" spans="1:14" ht="12.75">
      <c r="A30" s="14" t="s">
        <v>60</v>
      </c>
      <c r="B30" s="86">
        <v>0</v>
      </c>
      <c r="C30" s="86">
        <v>0</v>
      </c>
      <c r="D30" s="86">
        <v>0</v>
      </c>
      <c r="E30" s="86">
        <v>1000</v>
      </c>
      <c r="F30" s="86">
        <v>0</v>
      </c>
      <c r="G30" s="86">
        <v>0</v>
      </c>
      <c r="H30" s="86">
        <v>0</v>
      </c>
      <c r="I30" s="86">
        <v>0</v>
      </c>
      <c r="J30" s="86">
        <v>0</v>
      </c>
      <c r="K30" s="86">
        <v>0</v>
      </c>
      <c r="L30" s="86">
        <v>0</v>
      </c>
      <c r="M30" s="86">
        <v>0</v>
      </c>
      <c r="N30" s="93">
        <v>1000</v>
      </c>
    </row>
    <row r="31" spans="1:14" ht="12.75">
      <c r="A31" s="95" t="s">
        <v>61</v>
      </c>
      <c r="B31" s="86">
        <v>1850</v>
      </c>
      <c r="C31" s="86">
        <v>0</v>
      </c>
      <c r="D31" s="86">
        <v>0</v>
      </c>
      <c r="E31" s="86">
        <v>0</v>
      </c>
      <c r="F31" s="86">
        <v>0</v>
      </c>
      <c r="G31" s="86">
        <v>0</v>
      </c>
      <c r="H31" s="86">
        <v>1850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96">
        <v>3700</v>
      </c>
    </row>
    <row r="32" spans="1:14" ht="12.75">
      <c r="A32" s="95"/>
      <c r="N32" s="96"/>
    </row>
    <row r="33" spans="1:14" ht="12.75">
      <c r="A33" s="95"/>
      <c r="N33" s="96">
        <v>0</v>
      </c>
    </row>
    <row r="34" spans="1:15" ht="12.75" customHeight="1">
      <c r="A34" s="97" t="s">
        <v>16</v>
      </c>
      <c r="B34" s="98">
        <v>16184.1489858775</v>
      </c>
      <c r="C34" s="98">
        <v>6784.1489858775</v>
      </c>
      <c r="D34" s="98">
        <v>8736.8089858775</v>
      </c>
      <c r="E34" s="98">
        <v>9174.1489858775</v>
      </c>
      <c r="F34" s="98">
        <v>10526.8089858775</v>
      </c>
      <c r="G34" s="98">
        <v>24866.8089858775</v>
      </c>
      <c r="H34" s="98">
        <v>14264.1489858775</v>
      </c>
      <c r="I34" s="98">
        <v>6796.8089858775</v>
      </c>
      <c r="J34" s="98">
        <v>7604.1489858775</v>
      </c>
      <c r="K34" s="98">
        <v>7164.1489858775</v>
      </c>
      <c r="L34" s="98">
        <v>14061.8089858775</v>
      </c>
      <c r="M34" s="98">
        <v>10201.8089858775</v>
      </c>
      <c r="N34" s="98">
        <v>136365.74783053002</v>
      </c>
      <c r="O34" s="86">
        <f>SUM(B34:M34)</f>
        <v>136365.74783053002</v>
      </c>
    </row>
    <row r="36" spans="1:14" ht="13.5">
      <c r="A36" s="99" t="s">
        <v>29</v>
      </c>
      <c r="N36" s="91" t="s">
        <v>30</v>
      </c>
    </row>
    <row r="38" spans="1:14" ht="12.75">
      <c r="A38" s="14"/>
      <c r="B38" s="92" t="s">
        <v>4</v>
      </c>
      <c r="C38" s="92" t="s">
        <v>5</v>
      </c>
      <c r="D38" s="92" t="s">
        <v>6</v>
      </c>
      <c r="E38" s="92" t="s">
        <v>7</v>
      </c>
      <c r="F38" s="92" t="s">
        <v>8</v>
      </c>
      <c r="G38" s="92" t="s">
        <v>9</v>
      </c>
      <c r="H38" s="92" t="s">
        <v>10</v>
      </c>
      <c r="I38" s="92" t="s">
        <v>11</v>
      </c>
      <c r="J38" s="92" t="s">
        <v>12</v>
      </c>
      <c r="K38" s="92" t="s">
        <v>13</v>
      </c>
      <c r="L38" s="92" t="s">
        <v>14</v>
      </c>
      <c r="M38" s="92" t="s">
        <v>15</v>
      </c>
      <c r="N38" s="92" t="s">
        <v>16</v>
      </c>
    </row>
    <row r="39" spans="1:14" ht="12.75">
      <c r="A39" s="144" t="s">
        <v>62</v>
      </c>
      <c r="B39" s="86">
        <v>1110</v>
      </c>
      <c r="C39" s="86">
        <v>1110</v>
      </c>
      <c r="D39" s="86">
        <v>1045</v>
      </c>
      <c r="E39" s="86">
        <v>915</v>
      </c>
      <c r="F39" s="86">
        <v>1150</v>
      </c>
      <c r="G39" s="86">
        <v>910</v>
      </c>
      <c r="H39" s="86">
        <v>1725</v>
      </c>
      <c r="I39" s="86">
        <v>910</v>
      </c>
      <c r="J39" s="86">
        <v>1075</v>
      </c>
      <c r="K39" s="86">
        <v>960</v>
      </c>
      <c r="L39" s="86">
        <v>1045</v>
      </c>
      <c r="M39" s="86">
        <v>1000</v>
      </c>
      <c r="N39" s="93">
        <v>12955</v>
      </c>
    </row>
    <row r="40" spans="1:14" ht="12.75">
      <c r="A40" s="144" t="s">
        <v>63</v>
      </c>
      <c r="B40" s="86">
        <v>320</v>
      </c>
      <c r="C40" s="86">
        <v>275</v>
      </c>
      <c r="D40" s="86">
        <v>560</v>
      </c>
      <c r="E40" s="86">
        <v>520</v>
      </c>
      <c r="F40" s="86">
        <v>395</v>
      </c>
      <c r="G40" s="86">
        <v>290</v>
      </c>
      <c r="H40" s="86">
        <v>240</v>
      </c>
      <c r="I40" s="86">
        <v>320</v>
      </c>
      <c r="J40" s="86">
        <v>655</v>
      </c>
      <c r="K40" s="86">
        <v>380</v>
      </c>
      <c r="L40" s="86">
        <v>310</v>
      </c>
      <c r="M40" s="86">
        <v>360</v>
      </c>
      <c r="N40" s="93">
        <v>4625</v>
      </c>
    </row>
    <row r="41" spans="1:19" ht="12.75">
      <c r="A41" s="144" t="s">
        <v>64</v>
      </c>
      <c r="B41" s="86">
        <v>1385</v>
      </c>
      <c r="C41" s="86">
        <v>1305</v>
      </c>
      <c r="D41" s="86">
        <v>1315</v>
      </c>
      <c r="E41" s="86">
        <v>1310</v>
      </c>
      <c r="F41" s="86">
        <v>1605</v>
      </c>
      <c r="G41" s="86">
        <v>1305</v>
      </c>
      <c r="H41" s="86">
        <v>1335</v>
      </c>
      <c r="I41" s="86">
        <v>1580</v>
      </c>
      <c r="J41" s="86">
        <v>1110</v>
      </c>
      <c r="K41" s="86">
        <v>1545</v>
      </c>
      <c r="L41" s="86">
        <v>1225</v>
      </c>
      <c r="M41" s="86">
        <v>1130</v>
      </c>
      <c r="N41" s="93">
        <v>16150</v>
      </c>
      <c r="O41" s="100"/>
      <c r="P41" s="100"/>
      <c r="Q41" s="100"/>
      <c r="R41" s="100"/>
      <c r="S41" s="100"/>
    </row>
    <row r="42" spans="1:14" ht="12.75">
      <c r="A42" s="144" t="s">
        <v>65</v>
      </c>
      <c r="B42" s="86">
        <v>1445</v>
      </c>
      <c r="C42" s="86">
        <v>1130</v>
      </c>
      <c r="D42" s="86">
        <v>1225</v>
      </c>
      <c r="E42" s="86">
        <v>1235</v>
      </c>
      <c r="F42" s="86">
        <v>1200</v>
      </c>
      <c r="G42" s="86">
        <v>1300</v>
      </c>
      <c r="H42" s="86">
        <v>1200</v>
      </c>
      <c r="I42" s="86">
        <v>1285</v>
      </c>
      <c r="J42" s="86">
        <v>1240</v>
      </c>
      <c r="K42" s="86">
        <v>1305</v>
      </c>
      <c r="L42" s="86">
        <v>1255</v>
      </c>
      <c r="M42" s="86">
        <v>1140</v>
      </c>
      <c r="N42" s="93">
        <v>14960</v>
      </c>
    </row>
    <row r="43" spans="1:14" ht="12.75">
      <c r="A43" s="107" t="s">
        <v>66</v>
      </c>
      <c r="B43" s="86">
        <v>300</v>
      </c>
      <c r="C43" s="86">
        <v>300</v>
      </c>
      <c r="D43" s="86">
        <v>300</v>
      </c>
      <c r="E43" s="86">
        <v>300</v>
      </c>
      <c r="F43" s="86">
        <v>300</v>
      </c>
      <c r="G43" s="86">
        <v>300</v>
      </c>
      <c r="H43" s="86">
        <v>300</v>
      </c>
      <c r="I43" s="86">
        <v>300</v>
      </c>
      <c r="J43" s="86">
        <v>300</v>
      </c>
      <c r="K43" s="86">
        <v>300</v>
      </c>
      <c r="L43" s="86">
        <v>300</v>
      </c>
      <c r="M43" s="86">
        <v>300</v>
      </c>
      <c r="N43" s="145">
        <v>3600</v>
      </c>
    </row>
    <row r="44" spans="1:14" ht="12.75">
      <c r="A44" s="107" t="s">
        <v>67</v>
      </c>
      <c r="B44" s="86">
        <v>230</v>
      </c>
      <c r="C44" s="86">
        <v>350</v>
      </c>
      <c r="D44" s="86">
        <v>250</v>
      </c>
      <c r="E44" s="86">
        <v>230</v>
      </c>
      <c r="F44" s="86">
        <v>340</v>
      </c>
      <c r="G44" s="86">
        <v>500</v>
      </c>
      <c r="H44" s="86">
        <v>300</v>
      </c>
      <c r="I44" s="86">
        <v>200</v>
      </c>
      <c r="J44" s="86">
        <v>350</v>
      </c>
      <c r="K44" s="86">
        <v>250</v>
      </c>
      <c r="L44" s="86">
        <v>400</v>
      </c>
      <c r="M44" s="86">
        <v>300</v>
      </c>
      <c r="N44" s="93">
        <v>3700</v>
      </c>
    </row>
    <row r="45" spans="1:14" ht="12.75">
      <c r="A45" s="107" t="s">
        <v>68</v>
      </c>
      <c r="B45" s="86">
        <v>485</v>
      </c>
      <c r="C45" s="86">
        <v>360</v>
      </c>
      <c r="D45" s="86">
        <v>605</v>
      </c>
      <c r="E45" s="86">
        <v>310</v>
      </c>
      <c r="F45" s="86">
        <v>930</v>
      </c>
      <c r="G45" s="86">
        <v>285</v>
      </c>
      <c r="H45" s="86">
        <v>375</v>
      </c>
      <c r="I45" s="86">
        <v>245</v>
      </c>
      <c r="J45" s="86">
        <v>310</v>
      </c>
      <c r="K45" s="86">
        <v>285</v>
      </c>
      <c r="L45" s="86">
        <v>310</v>
      </c>
      <c r="M45" s="86">
        <v>300</v>
      </c>
      <c r="N45" s="93">
        <v>4800</v>
      </c>
    </row>
    <row r="46" ht="12.75">
      <c r="N46" s="93">
        <v>0</v>
      </c>
    </row>
    <row r="47" ht="12.75">
      <c r="N47" s="96">
        <v>0</v>
      </c>
    </row>
    <row r="48" spans="1:15" ht="12.75">
      <c r="A48" s="97" t="s">
        <v>16</v>
      </c>
      <c r="B48" s="101">
        <v>5275</v>
      </c>
      <c r="C48" s="101">
        <v>4830</v>
      </c>
      <c r="D48" s="101">
        <v>5300</v>
      </c>
      <c r="E48" s="101">
        <v>4820</v>
      </c>
      <c r="F48" s="101">
        <v>5920</v>
      </c>
      <c r="G48" s="101">
        <v>4890</v>
      </c>
      <c r="H48" s="101">
        <v>5475</v>
      </c>
      <c r="I48" s="101">
        <v>4840</v>
      </c>
      <c r="J48" s="101">
        <v>5040</v>
      </c>
      <c r="K48" s="101">
        <v>5025</v>
      </c>
      <c r="L48" s="101">
        <v>4845</v>
      </c>
      <c r="M48" s="101">
        <v>4530</v>
      </c>
      <c r="N48" s="101">
        <v>60790</v>
      </c>
      <c r="O48" s="86">
        <f>SUM(B48:M48)</f>
        <v>60790</v>
      </c>
    </row>
    <row r="49" spans="1:14" ht="13.5" thickBot="1">
      <c r="A49" s="102" t="s">
        <v>31</v>
      </c>
      <c r="B49" s="103">
        <v>21459.148985877502</v>
      </c>
      <c r="C49" s="103">
        <v>11614.1489858775</v>
      </c>
      <c r="D49" s="103">
        <v>14036.8089858775</v>
      </c>
      <c r="E49" s="103">
        <v>13994.1489858775</v>
      </c>
      <c r="F49" s="103">
        <v>16446.8089858775</v>
      </c>
      <c r="G49" s="103">
        <v>29756.8089858775</v>
      </c>
      <c r="H49" s="103">
        <v>19739.148985877502</v>
      </c>
      <c r="I49" s="103">
        <v>11636.8089858775</v>
      </c>
      <c r="J49" s="103">
        <v>12644.1489858775</v>
      </c>
      <c r="K49" s="103">
        <v>12189.1489858775</v>
      </c>
      <c r="L49" s="103">
        <v>18906.8089858775</v>
      </c>
      <c r="M49" s="103">
        <v>14731.8089858775</v>
      </c>
      <c r="N49" s="103">
        <v>197155.74783053002</v>
      </c>
    </row>
    <row r="50" ht="13.5" thickTop="1"/>
    <row r="53" spans="1:14" ht="12.75">
      <c r="A53" s="86" t="str">
        <f>+A1</f>
        <v>SUORE FRANCESCANE DEI POVERI</v>
      </c>
      <c r="N53" s="104" t="s">
        <v>1</v>
      </c>
    </row>
    <row r="54" ht="12.75">
      <c r="A54" s="105" t="str">
        <f>+A2</f>
        <v>UFFICIO AREA ITALIANA</v>
      </c>
    </row>
    <row r="56" ht="12.75">
      <c r="A56" s="86" t="str">
        <f>+A4</f>
        <v>Largo Berchet, 2 - ROMA</v>
      </c>
    </row>
    <row r="58" spans="1:14" ht="13.5">
      <c r="A58" s="90" t="s">
        <v>32</v>
      </c>
      <c r="N58" s="91" t="s">
        <v>33</v>
      </c>
    </row>
    <row r="60" spans="1:14" ht="12.75">
      <c r="A60" s="14"/>
      <c r="B60" s="92" t="s">
        <v>4</v>
      </c>
      <c r="C60" s="92" t="s">
        <v>5</v>
      </c>
      <c r="D60" s="92" t="s">
        <v>6</v>
      </c>
      <c r="E60" s="92" t="s">
        <v>7</v>
      </c>
      <c r="F60" s="92" t="s">
        <v>8</v>
      </c>
      <c r="G60" s="92" t="s">
        <v>9</v>
      </c>
      <c r="H60" s="92" t="s">
        <v>10</v>
      </c>
      <c r="I60" s="92" t="s">
        <v>11</v>
      </c>
      <c r="J60" s="92" t="s">
        <v>12</v>
      </c>
      <c r="K60" s="92" t="s">
        <v>13</v>
      </c>
      <c r="L60" s="92" t="s">
        <v>14</v>
      </c>
      <c r="M60" s="92" t="s">
        <v>15</v>
      </c>
      <c r="N60" s="106" t="s">
        <v>16</v>
      </c>
    </row>
    <row r="61" spans="1:14" ht="12.75">
      <c r="A61" s="107" t="s">
        <v>69</v>
      </c>
      <c r="B61" s="86">
        <v>0</v>
      </c>
      <c r="C61" s="86">
        <v>0</v>
      </c>
      <c r="D61" s="86">
        <v>0</v>
      </c>
      <c r="E61" s="86">
        <v>0</v>
      </c>
      <c r="F61" s="86">
        <v>0</v>
      </c>
      <c r="G61" s="86">
        <v>0</v>
      </c>
      <c r="H61" s="86">
        <v>0</v>
      </c>
      <c r="I61" s="86">
        <v>0</v>
      </c>
      <c r="J61" s="86">
        <v>0</v>
      </c>
      <c r="K61" s="86">
        <v>0</v>
      </c>
      <c r="L61" s="86">
        <v>0</v>
      </c>
      <c r="M61" s="86">
        <v>2500</v>
      </c>
      <c r="N61" s="108">
        <v>2500</v>
      </c>
    </row>
    <row r="62" spans="1:14" ht="12.75">
      <c r="A62" s="86" t="s">
        <v>70</v>
      </c>
      <c r="B62" s="86">
        <v>0</v>
      </c>
      <c r="C62" s="86">
        <v>0</v>
      </c>
      <c r="D62" s="86">
        <v>0</v>
      </c>
      <c r="E62" s="86">
        <v>0</v>
      </c>
      <c r="F62" s="86">
        <v>0</v>
      </c>
      <c r="G62" s="86">
        <v>25</v>
      </c>
      <c r="H62" s="86">
        <v>0</v>
      </c>
      <c r="I62" s="86">
        <v>0</v>
      </c>
      <c r="J62" s="86">
        <v>0</v>
      </c>
      <c r="K62" s="86">
        <v>0</v>
      </c>
      <c r="L62" s="86">
        <v>0</v>
      </c>
      <c r="M62" s="86">
        <v>45</v>
      </c>
      <c r="N62" s="109">
        <v>70</v>
      </c>
    </row>
    <row r="63" spans="1:14" ht="12.75">
      <c r="A63" s="86" t="s">
        <v>34</v>
      </c>
      <c r="B63" s="86">
        <v>500</v>
      </c>
      <c r="C63" s="86">
        <v>500</v>
      </c>
      <c r="D63" s="86">
        <v>500</v>
      </c>
      <c r="E63" s="86">
        <v>500</v>
      </c>
      <c r="F63" s="86">
        <v>500</v>
      </c>
      <c r="G63" s="86">
        <v>500</v>
      </c>
      <c r="H63" s="86">
        <v>500</v>
      </c>
      <c r="I63" s="86">
        <v>500</v>
      </c>
      <c r="J63" s="86">
        <v>500</v>
      </c>
      <c r="K63" s="86">
        <v>500</v>
      </c>
      <c r="L63" s="86">
        <v>500</v>
      </c>
      <c r="M63" s="86">
        <v>500</v>
      </c>
      <c r="N63" s="109">
        <v>6000</v>
      </c>
    </row>
    <row r="64" spans="1:14" ht="13.5" thickBot="1">
      <c r="A64" s="110"/>
      <c r="N64" s="109">
        <v>0</v>
      </c>
    </row>
    <row r="65" spans="1:15" ht="14.25" thickBot="1">
      <c r="A65" s="111" t="s">
        <v>35</v>
      </c>
      <c r="B65" s="112">
        <v>500</v>
      </c>
      <c r="C65" s="112">
        <v>500</v>
      </c>
      <c r="D65" s="112">
        <v>500</v>
      </c>
      <c r="E65" s="112">
        <v>500</v>
      </c>
      <c r="F65" s="112">
        <v>500</v>
      </c>
      <c r="G65" s="112">
        <v>525</v>
      </c>
      <c r="H65" s="112">
        <v>500</v>
      </c>
      <c r="I65" s="112">
        <v>500</v>
      </c>
      <c r="J65" s="112">
        <v>500</v>
      </c>
      <c r="K65" s="112">
        <v>500</v>
      </c>
      <c r="L65" s="112">
        <v>500</v>
      </c>
      <c r="M65" s="112">
        <v>3045</v>
      </c>
      <c r="N65" s="112">
        <v>8570</v>
      </c>
      <c r="O65" s="86">
        <f>SUM(B65:M65)</f>
        <v>8570</v>
      </c>
    </row>
    <row r="66" spans="1:14" ht="12.75">
      <c r="A66" s="1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14"/>
    </row>
    <row r="67" spans="1:14" ht="12.75">
      <c r="A67" s="115" t="s">
        <v>36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08"/>
    </row>
    <row r="68" spans="1:14" ht="12.75">
      <c r="A68" s="116" t="s">
        <v>72</v>
      </c>
      <c r="B68" s="13">
        <v>850</v>
      </c>
      <c r="C68" s="13">
        <v>850</v>
      </c>
      <c r="D68" s="13">
        <v>850</v>
      </c>
      <c r="E68" s="13">
        <v>850</v>
      </c>
      <c r="F68" s="13">
        <v>850</v>
      </c>
      <c r="G68" s="13">
        <v>850</v>
      </c>
      <c r="H68" s="13">
        <v>850</v>
      </c>
      <c r="I68" s="13">
        <v>850</v>
      </c>
      <c r="J68" s="13">
        <v>850</v>
      </c>
      <c r="K68" s="13">
        <v>850</v>
      </c>
      <c r="L68" s="13">
        <v>850</v>
      </c>
      <c r="M68" s="13">
        <v>850</v>
      </c>
      <c r="N68" s="108">
        <v>10200</v>
      </c>
    </row>
    <row r="69" spans="1:14" ht="12.75">
      <c r="A69" s="110" t="s">
        <v>73</v>
      </c>
      <c r="B69" s="13">
        <v>800</v>
      </c>
      <c r="C69" s="13">
        <v>800</v>
      </c>
      <c r="D69" s="13">
        <v>800</v>
      </c>
      <c r="E69" s="13">
        <v>800</v>
      </c>
      <c r="F69" s="13">
        <v>800</v>
      </c>
      <c r="G69" s="13">
        <v>800</v>
      </c>
      <c r="H69" s="13">
        <v>800</v>
      </c>
      <c r="I69" s="13">
        <v>800</v>
      </c>
      <c r="J69" s="13">
        <v>800</v>
      </c>
      <c r="K69" s="13">
        <v>800</v>
      </c>
      <c r="L69" s="13">
        <v>800</v>
      </c>
      <c r="M69" s="13">
        <v>1500</v>
      </c>
      <c r="N69" s="108">
        <v>10300</v>
      </c>
    </row>
    <row r="70" spans="1:14" ht="12.75">
      <c r="A70" s="116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08">
        <v>0</v>
      </c>
    </row>
    <row r="71" spans="1:14" ht="12.75">
      <c r="A71" s="117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09">
        <v>0</v>
      </c>
    </row>
    <row r="72" spans="1:14" s="100" customFormat="1" ht="12.75">
      <c r="A72" s="118" t="s">
        <v>48</v>
      </c>
      <c r="B72" s="118">
        <v>1650</v>
      </c>
      <c r="C72" s="118">
        <v>1650</v>
      </c>
      <c r="D72" s="118">
        <v>1650</v>
      </c>
      <c r="E72" s="118">
        <v>1650</v>
      </c>
      <c r="F72" s="118">
        <v>1650</v>
      </c>
      <c r="G72" s="118">
        <v>1650</v>
      </c>
      <c r="H72" s="118">
        <v>1650</v>
      </c>
      <c r="I72" s="118">
        <v>1650</v>
      </c>
      <c r="J72" s="118">
        <v>1650</v>
      </c>
      <c r="K72" s="118">
        <v>1650</v>
      </c>
      <c r="L72" s="118">
        <v>1650</v>
      </c>
      <c r="M72" s="118">
        <v>2350</v>
      </c>
      <c r="N72" s="118">
        <v>20500</v>
      </c>
    </row>
    <row r="73" spans="1:14" ht="12.75">
      <c r="A73" s="119" t="s">
        <v>71</v>
      </c>
      <c r="B73" s="13">
        <v>3260</v>
      </c>
      <c r="C73" s="13">
        <v>0</v>
      </c>
      <c r="D73" s="13">
        <v>0</v>
      </c>
      <c r="E73" s="13">
        <v>3260</v>
      </c>
      <c r="F73" s="13">
        <v>0</v>
      </c>
      <c r="G73" s="13">
        <v>0</v>
      </c>
      <c r="H73" s="13">
        <v>3260</v>
      </c>
      <c r="I73" s="13">
        <v>0</v>
      </c>
      <c r="J73" s="13">
        <v>0</v>
      </c>
      <c r="K73" s="13">
        <v>3260</v>
      </c>
      <c r="L73" s="13">
        <v>0</v>
      </c>
      <c r="M73" s="13">
        <v>0</v>
      </c>
      <c r="N73" s="114">
        <v>13040</v>
      </c>
    </row>
    <row r="74" spans="1:14" ht="12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08">
        <v>0</v>
      </c>
    </row>
    <row r="75" spans="1:14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09">
        <v>0</v>
      </c>
    </row>
    <row r="76" spans="1:14" ht="13.5" thickBot="1">
      <c r="A76" s="120" t="s">
        <v>47</v>
      </c>
      <c r="B76" s="120">
        <v>3260</v>
      </c>
      <c r="C76" s="120">
        <v>0</v>
      </c>
      <c r="D76" s="120">
        <v>0</v>
      </c>
      <c r="E76" s="120">
        <v>3260</v>
      </c>
      <c r="F76" s="120">
        <v>0</v>
      </c>
      <c r="G76" s="120">
        <v>0</v>
      </c>
      <c r="H76" s="120">
        <v>3260</v>
      </c>
      <c r="I76" s="120">
        <v>0</v>
      </c>
      <c r="J76" s="120">
        <v>0</v>
      </c>
      <c r="K76" s="120">
        <v>3260</v>
      </c>
      <c r="L76" s="120">
        <v>0</v>
      </c>
      <c r="M76" s="120">
        <v>0</v>
      </c>
      <c r="N76" s="121">
        <v>13040</v>
      </c>
    </row>
    <row r="77" spans="1:15" ht="14.25" thickBot="1">
      <c r="A77" s="122" t="s">
        <v>37</v>
      </c>
      <c r="B77" s="123">
        <v>4910</v>
      </c>
      <c r="C77" s="123">
        <v>1650</v>
      </c>
      <c r="D77" s="123">
        <v>1650</v>
      </c>
      <c r="E77" s="123">
        <v>4910</v>
      </c>
      <c r="F77" s="123">
        <v>1650</v>
      </c>
      <c r="G77" s="123">
        <v>1650</v>
      </c>
      <c r="H77" s="123">
        <v>4910</v>
      </c>
      <c r="I77" s="123">
        <v>1650</v>
      </c>
      <c r="J77" s="123">
        <v>1650</v>
      </c>
      <c r="K77" s="123">
        <v>4910</v>
      </c>
      <c r="L77" s="123">
        <v>1650</v>
      </c>
      <c r="M77" s="123">
        <v>2350</v>
      </c>
      <c r="N77" s="123">
        <v>33540</v>
      </c>
      <c r="O77" s="86">
        <f>SUM(B77:M77)</f>
        <v>33540</v>
      </c>
    </row>
    <row r="78" spans="1:14" ht="12.75">
      <c r="A78" s="124" t="s">
        <v>38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08"/>
    </row>
    <row r="79" spans="1:14" ht="12.75">
      <c r="A79" s="125" t="s">
        <v>74</v>
      </c>
      <c r="B79" s="13">
        <v>267</v>
      </c>
      <c r="C79" s="13">
        <v>267</v>
      </c>
      <c r="D79" s="13">
        <v>267</v>
      </c>
      <c r="E79" s="13">
        <v>267</v>
      </c>
      <c r="F79" s="13">
        <v>267</v>
      </c>
      <c r="G79" s="13">
        <v>267</v>
      </c>
      <c r="H79" s="13">
        <v>267</v>
      </c>
      <c r="I79" s="13">
        <v>267</v>
      </c>
      <c r="J79" s="13">
        <v>267</v>
      </c>
      <c r="K79" s="13">
        <v>267</v>
      </c>
      <c r="L79" s="13">
        <v>267</v>
      </c>
      <c r="M79" s="13">
        <v>523</v>
      </c>
      <c r="N79" s="126">
        <v>3460</v>
      </c>
    </row>
    <row r="80" spans="1:14" ht="12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26">
        <v>0</v>
      </c>
    </row>
    <row r="81" spans="1:14" ht="12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26"/>
    </row>
    <row r="82" spans="1:15" ht="12.75">
      <c r="A82" s="2" t="s">
        <v>39</v>
      </c>
      <c r="B82" s="2">
        <v>267</v>
      </c>
      <c r="C82" s="2">
        <v>267</v>
      </c>
      <c r="D82" s="2">
        <v>267</v>
      </c>
      <c r="E82" s="2">
        <v>267</v>
      </c>
      <c r="F82" s="2">
        <v>267</v>
      </c>
      <c r="G82" s="2">
        <v>267</v>
      </c>
      <c r="H82" s="2">
        <v>267</v>
      </c>
      <c r="I82" s="2">
        <v>267</v>
      </c>
      <c r="J82" s="2">
        <v>267</v>
      </c>
      <c r="K82" s="2">
        <v>267</v>
      </c>
      <c r="L82" s="2">
        <v>267</v>
      </c>
      <c r="M82" s="2">
        <v>523</v>
      </c>
      <c r="N82" s="2">
        <v>3460</v>
      </c>
      <c r="O82" s="86">
        <f>SUM(B82:M82)</f>
        <v>3460</v>
      </c>
    </row>
    <row r="83" spans="1:14" ht="12.75">
      <c r="A83" s="125" t="s">
        <v>75</v>
      </c>
      <c r="B83" s="13">
        <v>4350</v>
      </c>
      <c r="C83" s="13"/>
      <c r="D83" s="13"/>
      <c r="E83" s="13">
        <v>4350</v>
      </c>
      <c r="F83" s="13"/>
      <c r="G83" s="13"/>
      <c r="H83" s="13">
        <v>4350</v>
      </c>
      <c r="I83" s="13"/>
      <c r="J83" s="13"/>
      <c r="K83" s="13">
        <v>4350</v>
      </c>
      <c r="L83" s="13"/>
      <c r="M83" s="13"/>
      <c r="N83" s="126">
        <v>17400</v>
      </c>
    </row>
    <row r="84" spans="1:14" ht="12.75">
      <c r="A84" s="119" t="s">
        <v>76</v>
      </c>
      <c r="B84" s="13">
        <v>4350</v>
      </c>
      <c r="C84" s="13"/>
      <c r="D84" s="13"/>
      <c r="E84" s="13">
        <v>4350</v>
      </c>
      <c r="F84" s="13"/>
      <c r="G84" s="13"/>
      <c r="H84" s="13">
        <v>4350</v>
      </c>
      <c r="I84" s="13"/>
      <c r="J84" s="13"/>
      <c r="K84" s="13">
        <v>4350</v>
      </c>
      <c r="L84" s="13"/>
      <c r="M84" s="13"/>
      <c r="N84" s="126">
        <v>17400</v>
      </c>
    </row>
    <row r="85" spans="1:14" ht="12.75">
      <c r="A85" s="119" t="s">
        <v>77</v>
      </c>
      <c r="B85" s="13">
        <v>4350</v>
      </c>
      <c r="C85" s="13"/>
      <c r="D85" s="13"/>
      <c r="E85" s="13">
        <v>4350</v>
      </c>
      <c r="F85" s="13"/>
      <c r="G85" s="13"/>
      <c r="H85" s="13">
        <v>4350</v>
      </c>
      <c r="I85" s="13"/>
      <c r="J85" s="13"/>
      <c r="K85" s="13">
        <v>4350</v>
      </c>
      <c r="L85" s="13"/>
      <c r="M85" s="13"/>
      <c r="N85" s="126">
        <v>17400</v>
      </c>
    </row>
    <row r="86" spans="1:14" ht="12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27">
        <v>0</v>
      </c>
    </row>
    <row r="87" spans="1:15" ht="13.5" thickBot="1">
      <c r="A87" s="4" t="s">
        <v>40</v>
      </c>
      <c r="B87" s="5">
        <v>13050</v>
      </c>
      <c r="C87" s="5">
        <v>0</v>
      </c>
      <c r="D87" s="5">
        <v>0</v>
      </c>
      <c r="E87" s="5">
        <v>13050</v>
      </c>
      <c r="F87" s="5">
        <v>0</v>
      </c>
      <c r="G87" s="5">
        <v>0</v>
      </c>
      <c r="H87" s="5">
        <v>13050</v>
      </c>
      <c r="I87" s="5">
        <v>0</v>
      </c>
      <c r="J87" s="5">
        <v>0</v>
      </c>
      <c r="K87" s="5">
        <v>13050</v>
      </c>
      <c r="L87" s="5">
        <v>0</v>
      </c>
      <c r="M87" s="5">
        <v>0</v>
      </c>
      <c r="N87" s="6">
        <v>52200</v>
      </c>
      <c r="O87" s="86">
        <f>SUM(B87:M87)</f>
        <v>52200</v>
      </c>
    </row>
    <row r="88" spans="1:15" ht="13.5">
      <c r="A88" s="128" t="s">
        <v>41</v>
      </c>
      <c r="B88" s="129">
        <v>13317</v>
      </c>
      <c r="C88" s="129">
        <v>267</v>
      </c>
      <c r="D88" s="129">
        <v>267</v>
      </c>
      <c r="E88" s="129">
        <v>13317</v>
      </c>
      <c r="F88" s="129">
        <v>267</v>
      </c>
      <c r="G88" s="129">
        <v>267</v>
      </c>
      <c r="H88" s="129">
        <v>13317</v>
      </c>
      <c r="I88" s="129">
        <v>267</v>
      </c>
      <c r="J88" s="129">
        <v>267</v>
      </c>
      <c r="K88" s="129">
        <v>13317</v>
      </c>
      <c r="L88" s="129">
        <v>267</v>
      </c>
      <c r="M88" s="129">
        <v>523</v>
      </c>
      <c r="N88" s="129">
        <v>55660</v>
      </c>
      <c r="O88" s="86">
        <f>SUM(B88:M88)</f>
        <v>55660</v>
      </c>
    </row>
    <row r="89" spans="1:15" ht="13.5" thickBot="1">
      <c r="A89" s="130" t="s">
        <v>42</v>
      </c>
      <c r="B89" s="131">
        <v>18727</v>
      </c>
      <c r="C89" s="131">
        <v>2417</v>
      </c>
      <c r="D89" s="131">
        <v>2417</v>
      </c>
      <c r="E89" s="131">
        <v>18727</v>
      </c>
      <c r="F89" s="131">
        <v>2417</v>
      </c>
      <c r="G89" s="131">
        <v>2442</v>
      </c>
      <c r="H89" s="131">
        <v>18727</v>
      </c>
      <c r="I89" s="131">
        <v>2417</v>
      </c>
      <c r="J89" s="131">
        <v>2417</v>
      </c>
      <c r="K89" s="131">
        <v>18727</v>
      </c>
      <c r="L89" s="131">
        <v>2417</v>
      </c>
      <c r="M89" s="131">
        <v>5918</v>
      </c>
      <c r="N89" s="131">
        <v>97770</v>
      </c>
      <c r="O89" s="86">
        <f>SUM(B89:M89)</f>
        <v>97770</v>
      </c>
    </row>
    <row r="90" ht="14.25" thickBot="1" thickTop="1"/>
    <row r="91" spans="1:15" ht="14.25" thickBot="1" thickTop="1">
      <c r="A91" s="132" t="s">
        <v>43</v>
      </c>
      <c r="B91" s="132">
        <v>-2732.148985877502</v>
      </c>
      <c r="C91" s="132">
        <v>-9197.1489858775</v>
      </c>
      <c r="D91" s="132">
        <v>-11619.8089858775</v>
      </c>
      <c r="E91" s="132">
        <v>4732.8510141225</v>
      </c>
      <c r="F91" s="132">
        <v>-14029.808985877498</v>
      </c>
      <c r="G91" s="132">
        <v>-27314.8089858775</v>
      </c>
      <c r="H91" s="132">
        <v>-1012.1489858775021</v>
      </c>
      <c r="I91" s="132">
        <v>-9219.8089858775</v>
      </c>
      <c r="J91" s="132">
        <v>-10227.1489858775</v>
      </c>
      <c r="K91" s="132">
        <v>6537.8510141225</v>
      </c>
      <c r="L91" s="132">
        <v>-16489.8089858775</v>
      </c>
      <c r="M91" s="132">
        <v>-8813.8089858775</v>
      </c>
      <c r="N91" s="132">
        <v>-99385.74783053002</v>
      </c>
      <c r="O91" s="86">
        <f>SUM(B91:M91)</f>
        <v>-99385.74783053</v>
      </c>
    </row>
    <row r="92" ht="13.5" thickTop="1"/>
    <row r="93" ht="13.5">
      <c r="A93" s="99" t="s">
        <v>44</v>
      </c>
    </row>
    <row r="94" spans="1:14" ht="13.5">
      <c r="A94" s="99"/>
      <c r="B94" s="133" t="s">
        <v>4</v>
      </c>
      <c r="C94" s="133" t="s">
        <v>5</v>
      </c>
      <c r="D94" s="133" t="s">
        <v>6</v>
      </c>
      <c r="E94" s="133" t="s">
        <v>7</v>
      </c>
      <c r="F94" s="133" t="s">
        <v>8</v>
      </c>
      <c r="G94" s="133" t="s">
        <v>9</v>
      </c>
      <c r="H94" s="133" t="s">
        <v>10</v>
      </c>
      <c r="I94" s="133" t="s">
        <v>11</v>
      </c>
      <c r="J94" s="133" t="s">
        <v>12</v>
      </c>
      <c r="K94" s="133" t="s">
        <v>13</v>
      </c>
      <c r="L94" s="133" t="s">
        <v>14</v>
      </c>
      <c r="M94" s="133" t="s">
        <v>15</v>
      </c>
      <c r="N94" s="133" t="s">
        <v>16</v>
      </c>
    </row>
    <row r="95" spans="1:14" ht="19.5" customHeight="1">
      <c r="A95" s="134" t="s">
        <v>2</v>
      </c>
      <c r="B95" s="135">
        <v>16184.1489858775</v>
      </c>
      <c r="C95" s="135">
        <v>6784.1489858775</v>
      </c>
      <c r="D95" s="135">
        <v>8736.8089858775</v>
      </c>
      <c r="E95" s="135">
        <v>9174.1489858775</v>
      </c>
      <c r="F95" s="135">
        <v>10526.8089858775</v>
      </c>
      <c r="G95" s="135">
        <v>24866.8089858775</v>
      </c>
      <c r="H95" s="135">
        <v>14264.1489858775</v>
      </c>
      <c r="I95" s="135">
        <v>6796.8089858775</v>
      </c>
      <c r="J95" s="135">
        <v>7604.1489858775</v>
      </c>
      <c r="K95" s="135">
        <v>7164.1489858775</v>
      </c>
      <c r="L95" s="135">
        <v>14061.8089858775</v>
      </c>
      <c r="M95" s="135">
        <v>10201.8089858775</v>
      </c>
      <c r="N95" s="135">
        <v>136365.74783053002</v>
      </c>
    </row>
    <row r="96" spans="1:14" ht="19.5" customHeight="1">
      <c r="A96" s="136" t="s">
        <v>29</v>
      </c>
      <c r="B96" s="137">
        <v>5275</v>
      </c>
      <c r="C96" s="137">
        <v>4830</v>
      </c>
      <c r="D96" s="137">
        <v>5300</v>
      </c>
      <c r="E96" s="137">
        <v>4820</v>
      </c>
      <c r="F96" s="137">
        <v>5920</v>
      </c>
      <c r="G96" s="137">
        <v>4890</v>
      </c>
      <c r="H96" s="137">
        <v>5475</v>
      </c>
      <c r="I96" s="137">
        <v>4840</v>
      </c>
      <c r="J96" s="137">
        <v>5040</v>
      </c>
      <c r="K96" s="137">
        <v>5025</v>
      </c>
      <c r="L96" s="137">
        <v>4845</v>
      </c>
      <c r="M96" s="137">
        <v>4530</v>
      </c>
      <c r="N96" s="137">
        <v>60790</v>
      </c>
    </row>
    <row r="97" spans="1:14" ht="19.5" customHeight="1">
      <c r="A97" s="138" t="s">
        <v>31</v>
      </c>
      <c r="B97" s="139">
        <v>21459.148985877502</v>
      </c>
      <c r="C97" s="139">
        <v>11614.1489858775</v>
      </c>
      <c r="D97" s="139">
        <v>14036.8089858775</v>
      </c>
      <c r="E97" s="139">
        <v>13994.1489858775</v>
      </c>
      <c r="F97" s="139">
        <v>16446.8089858775</v>
      </c>
      <c r="G97" s="139">
        <v>29756.8089858775</v>
      </c>
      <c r="H97" s="139">
        <v>19739.148985877502</v>
      </c>
      <c r="I97" s="139">
        <v>11636.8089858775</v>
      </c>
      <c r="J97" s="139">
        <v>12644.1489858775</v>
      </c>
      <c r="K97" s="139">
        <v>12189.1489858775</v>
      </c>
      <c r="L97" s="139">
        <v>18906.8089858775</v>
      </c>
      <c r="M97" s="139">
        <v>14731.8089858775</v>
      </c>
      <c r="N97" s="139">
        <v>197155.74783053002</v>
      </c>
    </row>
    <row r="98" spans="1:14" ht="19.5" customHeight="1">
      <c r="A98" s="140" t="s">
        <v>42</v>
      </c>
      <c r="B98" s="141">
        <v>18727</v>
      </c>
      <c r="C98" s="141">
        <v>2417</v>
      </c>
      <c r="D98" s="141">
        <v>2417</v>
      </c>
      <c r="E98" s="141">
        <v>18727</v>
      </c>
      <c r="F98" s="141">
        <v>2417</v>
      </c>
      <c r="G98" s="141">
        <v>2442</v>
      </c>
      <c r="H98" s="141">
        <v>18727</v>
      </c>
      <c r="I98" s="141">
        <v>2417</v>
      </c>
      <c r="J98" s="141">
        <v>2417</v>
      </c>
      <c r="K98" s="141">
        <v>18727</v>
      </c>
      <c r="L98" s="141">
        <v>2417</v>
      </c>
      <c r="M98" s="141">
        <v>5918</v>
      </c>
      <c r="N98" s="141">
        <v>97770</v>
      </c>
    </row>
    <row r="99" spans="1:14" ht="19.5" customHeight="1" thickBot="1">
      <c r="A99" s="102" t="s">
        <v>45</v>
      </c>
      <c r="B99" s="142">
        <v>2732.148985877502</v>
      </c>
      <c r="C99" s="142">
        <v>9197.1489858775</v>
      </c>
      <c r="D99" s="142">
        <v>11619.8089858775</v>
      </c>
      <c r="E99" s="142">
        <v>-4732.8510141225</v>
      </c>
      <c r="F99" s="142">
        <v>14029.808985877498</v>
      </c>
      <c r="G99" s="142">
        <v>27314.8089858775</v>
      </c>
      <c r="H99" s="142">
        <v>1012.1489858775021</v>
      </c>
      <c r="I99" s="142">
        <v>9219.8089858775</v>
      </c>
      <c r="J99" s="142">
        <v>10227.1489858775</v>
      </c>
      <c r="K99" s="142">
        <v>-6537.8510141225</v>
      </c>
      <c r="L99" s="142">
        <v>16489.8089858775</v>
      </c>
      <c r="M99" s="142">
        <v>8813.8089858775</v>
      </c>
      <c r="N99" s="142">
        <v>99385.74783053002</v>
      </c>
    </row>
    <row r="100" spans="1:14" ht="24.75" customHeight="1" thickTop="1">
      <c r="A100" s="143"/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</row>
    <row r="101" spans="1:14" ht="24.75" customHeight="1">
      <c r="A101" s="143" t="s">
        <v>46</v>
      </c>
      <c r="B101" s="143">
        <f>+B91+B99</f>
        <v>0</v>
      </c>
      <c r="C101" s="143">
        <f aca="true" t="shared" si="0" ref="C101:N101">+C91+C99</f>
        <v>0</v>
      </c>
      <c r="D101" s="143">
        <f t="shared" si="0"/>
        <v>0</v>
      </c>
      <c r="E101" s="143">
        <f t="shared" si="0"/>
        <v>0</v>
      </c>
      <c r="F101" s="143">
        <f t="shared" si="0"/>
        <v>0</v>
      </c>
      <c r="G101" s="143">
        <f t="shared" si="0"/>
        <v>0</v>
      </c>
      <c r="H101" s="143">
        <f t="shared" si="0"/>
        <v>0</v>
      </c>
      <c r="I101" s="143">
        <f t="shared" si="0"/>
        <v>0</v>
      </c>
      <c r="J101" s="143">
        <f t="shared" si="0"/>
        <v>0</v>
      </c>
      <c r="K101" s="143">
        <f t="shared" si="0"/>
        <v>0</v>
      </c>
      <c r="L101" s="143">
        <f t="shared" si="0"/>
        <v>0</v>
      </c>
      <c r="M101" s="143">
        <f t="shared" si="0"/>
        <v>0</v>
      </c>
      <c r="N101" s="143">
        <f t="shared" si="0"/>
        <v>0</v>
      </c>
    </row>
    <row r="102" spans="1:14" ht="24.75" customHeight="1">
      <c r="A102" s="143"/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>
        <f>+'2022 BUDGET'!N107-'M-BUDGET'!N99</f>
        <v>-109060.20783053001</v>
      </c>
    </row>
  </sheetData>
  <sheetProtection password="C0EA" sheet="1" objects="1" scenarios="1"/>
  <printOptions/>
  <pageMargins left="0.1968503937007874" right="0.1968503937007874" top="0.3937007874015748" bottom="0.3937007874015748" header="0.5118110236220472" footer="0.31496062992125984"/>
  <pageSetup fitToHeight="2" fitToWidth="2" horizontalDpi="360" verticalDpi="360" orientation="landscape" paperSize="9" scale="77" r:id="rId1"/>
  <headerFooter alignWithMargins="0">
    <oddFooter>&amp;CPagina &amp;P</oddFooter>
  </headerFooter>
  <rowBreaks count="1" manualBreakCount="1">
    <brk id="50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116"/>
  <sheetViews>
    <sheetView view="pageBreakPreview" zoomScaleSheetLayoutView="100" zoomScalePageLayoutView="0" workbookViewId="0" topLeftCell="A15">
      <selection activeCell="H36" sqref="H36"/>
    </sheetView>
  </sheetViews>
  <sheetFormatPr defaultColWidth="9.140625" defaultRowHeight="12.75"/>
  <cols>
    <col min="1" max="1" width="56.57421875" style="213" customWidth="1"/>
    <col min="2" max="2" width="10.421875" style="214" customWidth="1"/>
    <col min="3" max="3" width="9.8515625" style="214" bestFit="1" customWidth="1"/>
    <col min="4" max="4" width="9.7109375" style="214" bestFit="1" customWidth="1"/>
    <col min="5" max="5" width="10.57421875" style="214" bestFit="1" customWidth="1"/>
    <col min="6" max="6" width="9.8515625" style="214" bestFit="1" customWidth="1"/>
    <col min="7" max="7" width="9.7109375" style="214" bestFit="1" customWidth="1"/>
    <col min="8" max="8" width="10.57421875" style="214" bestFit="1" customWidth="1"/>
    <col min="9" max="9" width="9.8515625" style="214" bestFit="1" customWidth="1"/>
    <col min="10" max="10" width="9.7109375" style="214" bestFit="1" customWidth="1"/>
    <col min="11" max="11" width="10.57421875" style="214" bestFit="1" customWidth="1"/>
    <col min="12" max="12" width="10.421875" style="214" bestFit="1" customWidth="1"/>
    <col min="13" max="13" width="11.140625" style="214" bestFit="1" customWidth="1"/>
    <col min="14" max="14" width="10.57421875" style="214" bestFit="1" customWidth="1"/>
    <col min="15" max="15" width="10.421875" style="214" bestFit="1" customWidth="1"/>
    <col min="16" max="16" width="11.140625" style="214" bestFit="1" customWidth="1"/>
    <col min="17" max="16384" width="9.140625" style="213" customWidth="1"/>
  </cols>
  <sheetData>
    <row r="1" spans="1:16" ht="12.75">
      <c r="A1" s="213" t="str">
        <f>+'2022 BUDGET'!A1</f>
        <v>FRANCISCAN SISTERS OF THE POOR</v>
      </c>
      <c r="P1" s="215">
        <f>+'2022 BUDGET'!N1</f>
        <v>2022</v>
      </c>
    </row>
    <row r="2" ht="12.75">
      <c r="A2" s="216" t="str">
        <f>+'2022 BUDGET'!A2</f>
        <v>NAME OF THE MINISTRY -  HAIRCUTS FROM THE HEART</v>
      </c>
    </row>
    <row r="4" ht="12.75">
      <c r="A4" s="217" t="str">
        <f>'2022 BUDGET'!A4</f>
        <v>MINISTRY EXPENSES</v>
      </c>
    </row>
    <row r="5" ht="12.75">
      <c r="B5" s="340"/>
    </row>
    <row r="6" ht="13.5" thickBot="1">
      <c r="A6" s="218"/>
    </row>
    <row r="7" spans="1:16" ht="13.5" thickTop="1">
      <c r="A7" s="219" t="str">
        <f>'2022 BUDGET'!A7</f>
        <v>General expenses</v>
      </c>
      <c r="B7" s="220" t="s">
        <v>140</v>
      </c>
      <c r="C7" s="221"/>
      <c r="D7" s="222"/>
      <c r="E7" s="223" t="s">
        <v>141</v>
      </c>
      <c r="F7" s="221"/>
      <c r="G7" s="222"/>
      <c r="H7" s="220" t="s">
        <v>142</v>
      </c>
      <c r="I7" s="221"/>
      <c r="J7" s="222"/>
      <c r="K7" s="224" t="s">
        <v>143</v>
      </c>
      <c r="L7" s="221"/>
      <c r="M7" s="225"/>
      <c r="N7" s="224" t="s">
        <v>115</v>
      </c>
      <c r="O7" s="221"/>
      <c r="P7" s="226"/>
    </row>
    <row r="8" spans="1:16" ht="12.75">
      <c r="A8" s="218"/>
      <c r="B8" s="227" t="s">
        <v>126</v>
      </c>
      <c r="C8" s="228" t="s">
        <v>49</v>
      </c>
      <c r="D8" s="229" t="s">
        <v>50</v>
      </c>
      <c r="E8" s="230" t="s">
        <v>126</v>
      </c>
      <c r="F8" s="228" t="s">
        <v>49</v>
      </c>
      <c r="G8" s="229" t="s">
        <v>50</v>
      </c>
      <c r="H8" s="230" t="s">
        <v>126</v>
      </c>
      <c r="I8" s="228" t="s">
        <v>49</v>
      </c>
      <c r="J8" s="229" t="s">
        <v>50</v>
      </c>
      <c r="K8" s="231" t="s">
        <v>126</v>
      </c>
      <c r="L8" s="228" t="s">
        <v>49</v>
      </c>
      <c r="M8" s="229" t="s">
        <v>50</v>
      </c>
      <c r="N8" s="231" t="s">
        <v>126</v>
      </c>
      <c r="O8" s="228" t="s">
        <v>49</v>
      </c>
      <c r="P8" s="232" t="s">
        <v>50</v>
      </c>
    </row>
    <row r="9" spans="1:16" ht="12.75">
      <c r="A9" s="233" t="str">
        <f>+'2022 BUDGET'!A9</f>
        <v>Rent</v>
      </c>
      <c r="B9" s="234"/>
      <c r="C9" s="235">
        <f>+'2022 BUDGET'!K9</f>
        <v>0</v>
      </c>
      <c r="D9" s="236">
        <f>+B9-C9</f>
        <v>0</v>
      </c>
      <c r="E9" s="234"/>
      <c r="F9" s="235">
        <f>+'2022 BUDGET'!L9</f>
        <v>0</v>
      </c>
      <c r="G9" s="236">
        <f>+E9-F9</f>
        <v>0</v>
      </c>
      <c r="H9" s="234">
        <v>163.19</v>
      </c>
      <c r="I9" s="235">
        <f>+'2022 BUDGET'!M9</f>
        <v>0</v>
      </c>
      <c r="J9" s="236">
        <f>+H9-I9</f>
        <v>163.19</v>
      </c>
      <c r="K9" s="237">
        <f>+B9+E9+H9</f>
        <v>163.19</v>
      </c>
      <c r="L9" s="235">
        <f>+C9+F9+I9</f>
        <v>0</v>
      </c>
      <c r="M9" s="236">
        <f>D9+G9+J9</f>
        <v>163.19</v>
      </c>
      <c r="N9" s="237">
        <f>+K9+'TRIM 3'!N9</f>
        <v>163.19</v>
      </c>
      <c r="O9" s="235">
        <f>+L9+'TRIM 3'!O9</f>
        <v>0</v>
      </c>
      <c r="P9" s="236">
        <f>+M9+'TRIM 3'!P9</f>
        <v>163.19</v>
      </c>
    </row>
    <row r="10" spans="1:16" ht="12.75">
      <c r="A10" s="233" t="str">
        <f>+'2022 BUDGET'!A10</f>
        <v>Bank expenses</v>
      </c>
      <c r="B10" s="234"/>
      <c r="C10" s="235">
        <f>+'2022 BUDGET'!K10</f>
        <v>0</v>
      </c>
      <c r="D10" s="236">
        <f aca="true" t="shared" si="0" ref="D10:D41">+B10-C10</f>
        <v>0</v>
      </c>
      <c r="E10" s="234"/>
      <c r="F10" s="235">
        <f>+'2022 BUDGET'!L10</f>
        <v>0</v>
      </c>
      <c r="G10" s="236">
        <f aca="true" t="shared" si="1" ref="G10:G41">+E10-F10</f>
        <v>0</v>
      </c>
      <c r="H10" s="234"/>
      <c r="I10" s="235">
        <f>+'2022 BUDGET'!M10</f>
        <v>0</v>
      </c>
      <c r="J10" s="236">
        <f aca="true" t="shared" si="2" ref="J10:J41">+H10-I10</f>
        <v>0</v>
      </c>
      <c r="K10" s="237">
        <f aca="true" t="shared" si="3" ref="K10:L25">+B10+E10+H10</f>
        <v>0</v>
      </c>
      <c r="L10" s="235">
        <f t="shared" si="3"/>
        <v>0</v>
      </c>
      <c r="M10" s="236">
        <f aca="true" t="shared" si="4" ref="M10:M40">D10+G10+J10</f>
        <v>0</v>
      </c>
      <c r="N10" s="237">
        <f>+K10+'TRIM 3'!N10</f>
        <v>0</v>
      </c>
      <c r="O10" s="235">
        <f>+L10+'TRIM 3'!O10</f>
        <v>0</v>
      </c>
      <c r="P10" s="236">
        <f>+M10+'TRIM 3'!P10</f>
        <v>0</v>
      </c>
    </row>
    <row r="11" spans="1:16" ht="12.75">
      <c r="A11" s="233" t="str">
        <f>+'2022 BUDGET'!A11</f>
        <v>Utility</v>
      </c>
      <c r="B11" s="234"/>
      <c r="C11" s="235">
        <f>+'2022 BUDGET'!K11</f>
        <v>41</v>
      </c>
      <c r="D11" s="236">
        <f t="shared" si="0"/>
        <v>-41</v>
      </c>
      <c r="E11" s="234"/>
      <c r="F11" s="235">
        <f>+'2022 BUDGET'!L11</f>
        <v>42</v>
      </c>
      <c r="G11" s="236">
        <f t="shared" si="1"/>
        <v>-42</v>
      </c>
      <c r="H11" s="234">
        <v>74.86</v>
      </c>
      <c r="I11" s="235">
        <f>+'2022 BUDGET'!M11</f>
        <v>43</v>
      </c>
      <c r="J11" s="236">
        <f t="shared" si="2"/>
        <v>31.86</v>
      </c>
      <c r="K11" s="237">
        <f t="shared" si="3"/>
        <v>74.86</v>
      </c>
      <c r="L11" s="235">
        <f t="shared" si="3"/>
        <v>126</v>
      </c>
      <c r="M11" s="236">
        <f t="shared" si="4"/>
        <v>-51.14</v>
      </c>
      <c r="N11" s="237">
        <f>+K11+'TRIM 3'!N11</f>
        <v>196.76999999999998</v>
      </c>
      <c r="O11" s="235">
        <f>+L11+'TRIM 3'!O11</f>
        <v>500</v>
      </c>
      <c r="P11" s="236">
        <f>+M11+'TRIM 3'!P11</f>
        <v>-303.23</v>
      </c>
    </row>
    <row r="12" spans="1:16" ht="12.75">
      <c r="A12" s="233" t="str">
        <f>+'2022 BUDGET'!A12</f>
        <v>Telephone</v>
      </c>
      <c r="B12" s="234"/>
      <c r="C12" s="235">
        <f>+'2022 BUDGET'!K12</f>
        <v>0</v>
      </c>
      <c r="D12" s="236">
        <f t="shared" si="0"/>
        <v>0</v>
      </c>
      <c r="E12" s="234">
        <v>40</v>
      </c>
      <c r="F12" s="235">
        <f>+'2022 BUDGET'!L12</f>
        <v>0</v>
      </c>
      <c r="G12" s="236">
        <f t="shared" si="1"/>
        <v>40</v>
      </c>
      <c r="H12" s="234"/>
      <c r="I12" s="235">
        <f>+'2022 BUDGET'!M12</f>
        <v>0</v>
      </c>
      <c r="J12" s="236">
        <f t="shared" si="2"/>
        <v>0</v>
      </c>
      <c r="K12" s="237">
        <f t="shared" si="3"/>
        <v>40</v>
      </c>
      <c r="L12" s="235">
        <f t="shared" si="3"/>
        <v>0</v>
      </c>
      <c r="M12" s="236">
        <f t="shared" si="4"/>
        <v>40</v>
      </c>
      <c r="N12" s="237">
        <f>+K12+'TRIM 3'!N12</f>
        <v>60</v>
      </c>
      <c r="O12" s="235">
        <f>+L12+'TRIM 3'!O12</f>
        <v>0</v>
      </c>
      <c r="P12" s="236">
        <f>+M12+'TRIM 3'!P12</f>
        <v>60</v>
      </c>
    </row>
    <row r="13" spans="1:16" ht="12.75">
      <c r="A13" s="233" t="str">
        <f>+'2022 BUDGET'!A13</f>
        <v>Subscription</v>
      </c>
      <c r="B13" s="234"/>
      <c r="C13" s="235">
        <f>+'2022 BUDGET'!K13</f>
        <v>0</v>
      </c>
      <c r="D13" s="236">
        <f t="shared" si="0"/>
        <v>0</v>
      </c>
      <c r="E13" s="234"/>
      <c r="F13" s="235">
        <f>+'2022 BUDGET'!L13</f>
        <v>0</v>
      </c>
      <c r="G13" s="236">
        <f t="shared" si="1"/>
        <v>0</v>
      </c>
      <c r="H13" s="234"/>
      <c r="I13" s="235">
        <f>+'2022 BUDGET'!M13</f>
        <v>0</v>
      </c>
      <c r="J13" s="236">
        <f t="shared" si="2"/>
        <v>0</v>
      </c>
      <c r="K13" s="237">
        <f t="shared" si="3"/>
        <v>0</v>
      </c>
      <c r="L13" s="235">
        <f t="shared" si="3"/>
        <v>0</v>
      </c>
      <c r="M13" s="236">
        <f t="shared" si="4"/>
        <v>0</v>
      </c>
      <c r="N13" s="237">
        <f>+K13+'TRIM 3'!N13</f>
        <v>1350</v>
      </c>
      <c r="O13" s="235">
        <f>+L13+'TRIM 3'!O13</f>
        <v>0</v>
      </c>
      <c r="P13" s="236">
        <f>+M13+'TRIM 3'!P13</f>
        <v>1350</v>
      </c>
    </row>
    <row r="14" spans="1:16" ht="12.75">
      <c r="A14" s="233" t="str">
        <f>+'2022 BUDGET'!A14</f>
        <v>Appliances</v>
      </c>
      <c r="B14" s="234"/>
      <c r="C14" s="235">
        <f>+'2022 BUDGET'!K14</f>
        <v>0</v>
      </c>
      <c r="D14" s="236">
        <f t="shared" si="0"/>
        <v>0</v>
      </c>
      <c r="E14" s="234"/>
      <c r="F14" s="235">
        <f>+'2022 BUDGET'!L14</f>
        <v>0</v>
      </c>
      <c r="G14" s="236">
        <f t="shared" si="1"/>
        <v>0</v>
      </c>
      <c r="H14" s="234"/>
      <c r="I14" s="235">
        <f>+'2022 BUDGET'!M14</f>
        <v>0</v>
      </c>
      <c r="J14" s="236">
        <f t="shared" si="2"/>
        <v>0</v>
      </c>
      <c r="K14" s="237">
        <f t="shared" si="3"/>
        <v>0</v>
      </c>
      <c r="L14" s="235">
        <f t="shared" si="3"/>
        <v>0</v>
      </c>
      <c r="M14" s="236">
        <f t="shared" si="4"/>
        <v>0</v>
      </c>
      <c r="N14" s="237">
        <f>+K14+'TRIM 3'!N14</f>
        <v>0</v>
      </c>
      <c r="O14" s="235">
        <f>+L14+'TRIM 3'!O14</f>
        <v>0</v>
      </c>
      <c r="P14" s="236">
        <f>+M14+'TRIM 3'!P14</f>
        <v>0</v>
      </c>
    </row>
    <row r="15" spans="1:16" ht="12.75">
      <c r="A15" s="233" t="str">
        <f>+'2022 BUDGET'!A15</f>
        <v>Furnishings</v>
      </c>
      <c r="B15" s="234"/>
      <c r="C15" s="235">
        <f>+'2022 BUDGET'!K15</f>
        <v>0</v>
      </c>
      <c r="D15" s="236">
        <f t="shared" si="0"/>
        <v>0</v>
      </c>
      <c r="E15" s="234"/>
      <c r="F15" s="235">
        <f>+'2022 BUDGET'!L15</f>
        <v>0</v>
      </c>
      <c r="G15" s="236">
        <f t="shared" si="1"/>
        <v>0</v>
      </c>
      <c r="H15" s="234"/>
      <c r="I15" s="235">
        <f>+'2022 BUDGET'!M15</f>
        <v>0</v>
      </c>
      <c r="J15" s="236">
        <f t="shared" si="2"/>
        <v>0</v>
      </c>
      <c r="K15" s="237">
        <f t="shared" si="3"/>
        <v>0</v>
      </c>
      <c r="L15" s="235">
        <f t="shared" si="3"/>
        <v>0</v>
      </c>
      <c r="M15" s="236">
        <f t="shared" si="4"/>
        <v>0</v>
      </c>
      <c r="N15" s="237">
        <f>+K15+'TRIM 3'!N15</f>
        <v>0</v>
      </c>
      <c r="O15" s="235">
        <f>+L15+'TRIM 3'!O15</f>
        <v>0</v>
      </c>
      <c r="P15" s="236">
        <f>+M15+'TRIM 3'!P15</f>
        <v>0</v>
      </c>
    </row>
    <row r="16" spans="1:16" ht="12.75">
      <c r="A16" s="233" t="str">
        <f>+'2022 BUDGET'!A16</f>
        <v>Food</v>
      </c>
      <c r="B16" s="234">
        <v>2.58</v>
      </c>
      <c r="C16" s="235">
        <f>+'2022 BUDGET'!K16</f>
        <v>0</v>
      </c>
      <c r="D16" s="236">
        <f t="shared" si="0"/>
        <v>2.58</v>
      </c>
      <c r="E16" s="234"/>
      <c r="F16" s="235">
        <f>+'2022 BUDGET'!L16</f>
        <v>0</v>
      </c>
      <c r="G16" s="236">
        <f t="shared" si="1"/>
        <v>0</v>
      </c>
      <c r="H16" s="234"/>
      <c r="I16" s="235">
        <f>+'2022 BUDGET'!M16</f>
        <v>12.5</v>
      </c>
      <c r="J16" s="236">
        <f t="shared" si="2"/>
        <v>-12.5</v>
      </c>
      <c r="K16" s="237">
        <f t="shared" si="3"/>
        <v>2.58</v>
      </c>
      <c r="L16" s="235">
        <f t="shared" si="3"/>
        <v>12.5</v>
      </c>
      <c r="M16" s="236">
        <f t="shared" si="4"/>
        <v>-9.92</v>
      </c>
      <c r="N16" s="237">
        <f>+K16+'TRIM 3'!N16</f>
        <v>57.04</v>
      </c>
      <c r="O16" s="235">
        <f>+L16+'TRIM 3'!O16</f>
        <v>50</v>
      </c>
      <c r="P16" s="236">
        <f>+M16+'TRIM 3'!P16</f>
        <v>7.040000000000001</v>
      </c>
    </row>
    <row r="17" spans="1:16" ht="12.75">
      <c r="A17" s="233" t="str">
        <f>+'2022 BUDGET'!A17</f>
        <v>Transportation/Travel</v>
      </c>
      <c r="B17" s="234">
        <v>49.13</v>
      </c>
      <c r="C17" s="235">
        <f>+'2022 BUDGET'!K17</f>
        <v>25</v>
      </c>
      <c r="D17" s="236">
        <f t="shared" si="0"/>
        <v>24.130000000000003</v>
      </c>
      <c r="E17" s="234">
        <v>137.87</v>
      </c>
      <c r="F17" s="235">
        <f>+'2022 BUDGET'!L17</f>
        <v>25</v>
      </c>
      <c r="G17" s="236">
        <f t="shared" si="1"/>
        <v>112.87</v>
      </c>
      <c r="H17" s="234">
        <v>119</v>
      </c>
      <c r="I17" s="235">
        <f>+'2022 BUDGET'!M17</f>
        <v>25</v>
      </c>
      <c r="J17" s="236">
        <f t="shared" si="2"/>
        <v>94</v>
      </c>
      <c r="K17" s="237">
        <f t="shared" si="3"/>
        <v>306</v>
      </c>
      <c r="L17" s="235">
        <f t="shared" si="3"/>
        <v>75</v>
      </c>
      <c r="M17" s="236">
        <f t="shared" si="4"/>
        <v>231</v>
      </c>
      <c r="N17" s="237">
        <f>+K17+'TRIM 3'!N17</f>
        <v>522.74</v>
      </c>
      <c r="O17" s="235">
        <f>+L17+'TRIM 3'!O17</f>
        <v>300</v>
      </c>
      <c r="P17" s="236">
        <f>+M17+'TRIM 3'!P17</f>
        <v>222.74</v>
      </c>
    </row>
    <row r="18" spans="1:16" ht="12.75">
      <c r="A18" s="233" t="str">
        <f>+'2022 BUDGET'!A18</f>
        <v>Car Expenses</v>
      </c>
      <c r="B18" s="234"/>
      <c r="C18" s="235">
        <f>+'2022 BUDGET'!K18</f>
        <v>29</v>
      </c>
      <c r="D18" s="236">
        <f t="shared" si="0"/>
        <v>-29</v>
      </c>
      <c r="E18" s="234">
        <v>66.47</v>
      </c>
      <c r="F18" s="235">
        <f>+'2022 BUDGET'!L18</f>
        <v>29</v>
      </c>
      <c r="G18" s="236">
        <f t="shared" si="1"/>
        <v>37.47</v>
      </c>
      <c r="H18" s="234"/>
      <c r="I18" s="235">
        <f>+'2022 BUDGET'!M18</f>
        <v>31</v>
      </c>
      <c r="J18" s="236">
        <f t="shared" si="2"/>
        <v>-31</v>
      </c>
      <c r="K18" s="237">
        <f t="shared" si="3"/>
        <v>66.47</v>
      </c>
      <c r="L18" s="235">
        <f t="shared" si="3"/>
        <v>89</v>
      </c>
      <c r="M18" s="236">
        <f t="shared" si="4"/>
        <v>-22.53</v>
      </c>
      <c r="N18" s="237">
        <f>+K18+'TRIM 3'!N18</f>
        <v>123.38</v>
      </c>
      <c r="O18" s="235">
        <f>+L18+'TRIM 3'!O18</f>
        <v>350</v>
      </c>
      <c r="P18" s="236">
        <f>+M18+'TRIM 3'!P18</f>
        <v>-226.62</v>
      </c>
    </row>
    <row r="19" spans="1:16" ht="12.75">
      <c r="A19" s="233" t="str">
        <f>+'2022 BUDGET'!A19</f>
        <v>Legal</v>
      </c>
      <c r="B19" s="234"/>
      <c r="C19" s="235">
        <f>+'2022 BUDGET'!K19</f>
        <v>0</v>
      </c>
      <c r="D19" s="236">
        <f t="shared" si="0"/>
        <v>0</v>
      </c>
      <c r="E19" s="234"/>
      <c r="F19" s="235">
        <f>+'2022 BUDGET'!L19</f>
        <v>0</v>
      </c>
      <c r="G19" s="236">
        <f t="shared" si="1"/>
        <v>0</v>
      </c>
      <c r="H19" s="234"/>
      <c r="I19" s="235">
        <f>+'2022 BUDGET'!M19</f>
        <v>0</v>
      </c>
      <c r="J19" s="236">
        <f t="shared" si="2"/>
        <v>0</v>
      </c>
      <c r="K19" s="237">
        <f t="shared" si="3"/>
        <v>0</v>
      </c>
      <c r="L19" s="235">
        <f t="shared" si="3"/>
        <v>0</v>
      </c>
      <c r="M19" s="236">
        <f t="shared" si="4"/>
        <v>0</v>
      </c>
      <c r="N19" s="237">
        <f>+K19+'TRIM 3'!N19</f>
        <v>0</v>
      </c>
      <c r="O19" s="235">
        <f>+L19+'TRIM 3'!O19</f>
        <v>0</v>
      </c>
      <c r="P19" s="236">
        <f>+M19+'TRIM 3'!P19</f>
        <v>0</v>
      </c>
    </row>
    <row r="20" spans="1:16" ht="12.75">
      <c r="A20" s="233" t="str">
        <f>+'2022 BUDGET'!A20</f>
        <v>Maintenance </v>
      </c>
      <c r="B20" s="234"/>
      <c r="C20" s="235">
        <f>+'2022 BUDGET'!K20</f>
        <v>20</v>
      </c>
      <c r="D20" s="236">
        <f t="shared" si="0"/>
        <v>-20</v>
      </c>
      <c r="E20" s="234"/>
      <c r="F20" s="235">
        <f>+'2022 BUDGET'!L20</f>
        <v>21</v>
      </c>
      <c r="G20" s="236">
        <f t="shared" si="1"/>
        <v>-21</v>
      </c>
      <c r="H20" s="234"/>
      <c r="I20" s="235">
        <f>+'2022 BUDGET'!M20</f>
        <v>24</v>
      </c>
      <c r="J20" s="236">
        <f t="shared" si="2"/>
        <v>-24</v>
      </c>
      <c r="K20" s="237">
        <f t="shared" si="3"/>
        <v>0</v>
      </c>
      <c r="L20" s="235">
        <f t="shared" si="3"/>
        <v>65</v>
      </c>
      <c r="M20" s="236">
        <f t="shared" si="4"/>
        <v>-65</v>
      </c>
      <c r="N20" s="237">
        <f>+K20+'TRIM 3'!N20</f>
        <v>105</v>
      </c>
      <c r="O20" s="235">
        <f>+L20+'TRIM 3'!O20</f>
        <v>250</v>
      </c>
      <c r="P20" s="236">
        <f>+M20+'TRIM 3'!P20</f>
        <v>-145</v>
      </c>
    </row>
    <row r="21" spans="1:16" ht="12.75">
      <c r="A21" s="233" t="str">
        <f>+'2022 BUDGET'!A21</f>
        <v>Minor Equipment</v>
      </c>
      <c r="B21" s="234"/>
      <c r="C21" s="235">
        <f>+'2022 BUDGET'!K21</f>
        <v>0</v>
      </c>
      <c r="D21" s="236">
        <f t="shared" si="0"/>
        <v>0</v>
      </c>
      <c r="E21" s="234"/>
      <c r="F21" s="235">
        <f>+'2022 BUDGET'!L21</f>
        <v>0</v>
      </c>
      <c r="G21" s="236">
        <f t="shared" si="1"/>
        <v>0</v>
      </c>
      <c r="H21" s="234"/>
      <c r="I21" s="235">
        <f>+'2022 BUDGET'!M21</f>
        <v>0</v>
      </c>
      <c r="J21" s="236">
        <f t="shared" si="2"/>
        <v>0</v>
      </c>
      <c r="K21" s="237">
        <f t="shared" si="3"/>
        <v>0</v>
      </c>
      <c r="L21" s="235">
        <f t="shared" si="3"/>
        <v>0</v>
      </c>
      <c r="M21" s="236">
        <f t="shared" si="4"/>
        <v>0</v>
      </c>
      <c r="N21" s="237">
        <f>+K21+'TRIM 3'!N21</f>
        <v>0</v>
      </c>
      <c r="O21" s="235">
        <f>+L21+'TRIM 3'!O21</f>
        <v>0</v>
      </c>
      <c r="P21" s="236">
        <f>+M21+'TRIM 3'!P21</f>
        <v>0</v>
      </c>
    </row>
    <row r="22" spans="1:16" ht="12.75">
      <c r="A22" s="233" t="str">
        <f>+'2022 BUDGET'!A22</f>
        <v>Properties  Taxes</v>
      </c>
      <c r="B22" s="234"/>
      <c r="C22" s="235">
        <f>+'2022 BUDGET'!K22</f>
        <v>0</v>
      </c>
      <c r="D22" s="236">
        <f t="shared" si="0"/>
        <v>0</v>
      </c>
      <c r="E22" s="234"/>
      <c r="F22" s="235">
        <f>+'2022 BUDGET'!L22</f>
        <v>0</v>
      </c>
      <c r="G22" s="236">
        <f t="shared" si="1"/>
        <v>0</v>
      </c>
      <c r="H22" s="234"/>
      <c r="I22" s="235">
        <f>+'2022 BUDGET'!M22</f>
        <v>0</v>
      </c>
      <c r="J22" s="236">
        <f t="shared" si="2"/>
        <v>0</v>
      </c>
      <c r="K22" s="237">
        <f t="shared" si="3"/>
        <v>0</v>
      </c>
      <c r="L22" s="235">
        <f t="shared" si="3"/>
        <v>0</v>
      </c>
      <c r="M22" s="236">
        <f t="shared" si="4"/>
        <v>0</v>
      </c>
      <c r="N22" s="237">
        <f>+K22+'TRIM 3'!N22</f>
        <v>0</v>
      </c>
      <c r="O22" s="235">
        <f>+L22+'TRIM 3'!O22</f>
        <v>0</v>
      </c>
      <c r="P22" s="236">
        <f>+M22+'TRIM 3'!P22</f>
        <v>0</v>
      </c>
    </row>
    <row r="23" spans="1:16" ht="12.75">
      <c r="A23" s="233" t="str">
        <f>+'2022 BUDGET'!A23</f>
        <v>Supplies </v>
      </c>
      <c r="B23" s="234"/>
      <c r="C23" s="235">
        <f>+'2022 BUDGET'!K23</f>
        <v>84</v>
      </c>
      <c r="D23" s="236">
        <f t="shared" si="0"/>
        <v>-84</v>
      </c>
      <c r="E23" s="234">
        <v>17.57</v>
      </c>
      <c r="F23" s="235">
        <f>+'2022 BUDGET'!L23</f>
        <v>83</v>
      </c>
      <c r="G23" s="236">
        <f t="shared" si="1"/>
        <v>-65.43</v>
      </c>
      <c r="H23" s="234">
        <v>52.01</v>
      </c>
      <c r="I23" s="235">
        <f>+'2022 BUDGET'!M23</f>
        <v>82</v>
      </c>
      <c r="J23" s="236">
        <f t="shared" si="2"/>
        <v>-29.990000000000002</v>
      </c>
      <c r="K23" s="237">
        <f t="shared" si="3"/>
        <v>69.58</v>
      </c>
      <c r="L23" s="235">
        <f t="shared" si="3"/>
        <v>249</v>
      </c>
      <c r="M23" s="236">
        <f t="shared" si="4"/>
        <v>-179.42000000000002</v>
      </c>
      <c r="N23" s="237">
        <f>+K23+'TRIM 3'!N23</f>
        <v>689.0300000000001</v>
      </c>
      <c r="O23" s="235">
        <f>+L23+'TRIM 3'!O23</f>
        <v>1000</v>
      </c>
      <c r="P23" s="236">
        <f>+M23+'TRIM 3'!P23</f>
        <v>-310.96999999999997</v>
      </c>
    </row>
    <row r="24" spans="1:16" ht="12.75">
      <c r="A24" s="233" t="str">
        <f>+'2022 BUDGET'!A24</f>
        <v>Insurance</v>
      </c>
      <c r="B24" s="234"/>
      <c r="C24" s="235">
        <f>+'2022 BUDGET'!K24</f>
        <v>300</v>
      </c>
      <c r="D24" s="236">
        <f t="shared" si="0"/>
        <v>-300</v>
      </c>
      <c r="E24" s="234"/>
      <c r="F24" s="235">
        <f>+'2022 BUDGET'!L24</f>
        <v>0</v>
      </c>
      <c r="G24" s="236">
        <f t="shared" si="1"/>
        <v>0</v>
      </c>
      <c r="H24" s="234"/>
      <c r="I24" s="235">
        <f>+'2022 BUDGET'!M24</f>
        <v>0</v>
      </c>
      <c r="J24" s="236">
        <f t="shared" si="2"/>
        <v>0</v>
      </c>
      <c r="K24" s="237">
        <f t="shared" si="3"/>
        <v>0</v>
      </c>
      <c r="L24" s="235">
        <f t="shared" si="3"/>
        <v>300</v>
      </c>
      <c r="M24" s="236">
        <f t="shared" si="4"/>
        <v>-300</v>
      </c>
      <c r="N24" s="237">
        <f>+K24+'TRIM 3'!N24</f>
        <v>1191.65</v>
      </c>
      <c r="O24" s="235">
        <f>+L24+'TRIM 3'!O24</f>
        <v>1200</v>
      </c>
      <c r="P24" s="236">
        <f>+M24+'TRIM 3'!P24</f>
        <v>-8.349999999999909</v>
      </c>
    </row>
    <row r="25" spans="1:16" ht="12.75">
      <c r="A25" s="233" t="str">
        <f>+'2022 BUDGET'!A25</f>
        <v>Fund raiser &amp; Advertising &amp; Events</v>
      </c>
      <c r="B25" s="234"/>
      <c r="C25" s="235">
        <f>+'2022 BUDGET'!K25</f>
        <v>0</v>
      </c>
      <c r="D25" s="236">
        <f t="shared" si="0"/>
        <v>0</v>
      </c>
      <c r="E25" s="234"/>
      <c r="F25" s="235">
        <f>+'2022 BUDGET'!L25</f>
        <v>0</v>
      </c>
      <c r="G25" s="236">
        <f t="shared" si="1"/>
        <v>0</v>
      </c>
      <c r="H25" s="234"/>
      <c r="I25" s="235">
        <f>+'2022 BUDGET'!M25</f>
        <v>0</v>
      </c>
      <c r="J25" s="236">
        <f t="shared" si="2"/>
        <v>0</v>
      </c>
      <c r="K25" s="237">
        <f t="shared" si="3"/>
        <v>0</v>
      </c>
      <c r="L25" s="235">
        <f t="shared" si="3"/>
        <v>0</v>
      </c>
      <c r="M25" s="236">
        <f t="shared" si="4"/>
        <v>0</v>
      </c>
      <c r="N25" s="237">
        <f>+K25+'TRIM 3'!N25</f>
        <v>216.79</v>
      </c>
      <c r="O25" s="235">
        <f>+L25+'TRIM 3'!O25</f>
        <v>0</v>
      </c>
      <c r="P25" s="236">
        <f>+M25+'TRIM 3'!P25</f>
        <v>216.79</v>
      </c>
    </row>
    <row r="26" spans="1:16" ht="12.75">
      <c r="A26" s="233" t="str">
        <f>+'2022 BUDGET'!A26</f>
        <v>Postage &amp; freight</v>
      </c>
      <c r="B26" s="234"/>
      <c r="C26" s="235">
        <f>+'2022 BUDGET'!K26</f>
        <v>0</v>
      </c>
      <c r="D26" s="236">
        <f t="shared" si="0"/>
        <v>0</v>
      </c>
      <c r="E26" s="234"/>
      <c r="F26" s="235">
        <f>+'2022 BUDGET'!L26</f>
        <v>0</v>
      </c>
      <c r="G26" s="236">
        <f t="shared" si="1"/>
        <v>0</v>
      </c>
      <c r="H26" s="234"/>
      <c r="I26" s="235">
        <f>+'2022 BUDGET'!M26</f>
        <v>0</v>
      </c>
      <c r="J26" s="236">
        <f t="shared" si="2"/>
        <v>0</v>
      </c>
      <c r="K26" s="237">
        <f aca="true" t="shared" si="5" ref="K26:L40">+B26+E26+H26</f>
        <v>0</v>
      </c>
      <c r="L26" s="235">
        <f t="shared" si="5"/>
        <v>0</v>
      </c>
      <c r="M26" s="236">
        <f t="shared" si="4"/>
        <v>0</v>
      </c>
      <c r="N26" s="237">
        <f>+K26+'TRIM 3'!N26</f>
        <v>0</v>
      </c>
      <c r="O26" s="235">
        <f>+L26+'TRIM 3'!O26</f>
        <v>0</v>
      </c>
      <c r="P26" s="236">
        <f>+M26+'TRIM 3'!P26</f>
        <v>0</v>
      </c>
    </row>
    <row r="27" spans="1:16" ht="12.75">
      <c r="A27" s="233" t="str">
        <f>+'2022 BUDGET'!A27</f>
        <v>Meeting &amp; seminars</v>
      </c>
      <c r="B27" s="234"/>
      <c r="C27" s="235">
        <f>+'2022 BUDGET'!K27</f>
        <v>9</v>
      </c>
      <c r="D27" s="236">
        <f t="shared" si="0"/>
        <v>-9</v>
      </c>
      <c r="E27" s="234"/>
      <c r="F27" s="235">
        <f>+'2022 BUDGET'!L27</f>
        <v>8</v>
      </c>
      <c r="G27" s="236">
        <f t="shared" si="1"/>
        <v>-8</v>
      </c>
      <c r="H27" s="234"/>
      <c r="I27" s="235">
        <f>+'2022 BUDGET'!M27</f>
        <v>7</v>
      </c>
      <c r="J27" s="236">
        <f t="shared" si="2"/>
        <v>-7</v>
      </c>
      <c r="K27" s="237">
        <f t="shared" si="5"/>
        <v>0</v>
      </c>
      <c r="L27" s="235">
        <f t="shared" si="5"/>
        <v>24</v>
      </c>
      <c r="M27" s="236">
        <f t="shared" si="4"/>
        <v>-24</v>
      </c>
      <c r="N27" s="237">
        <f>+K27+'TRIM 3'!N27</f>
        <v>0</v>
      </c>
      <c r="O27" s="235">
        <f>+L27+'TRIM 3'!O27</f>
        <v>100</v>
      </c>
      <c r="P27" s="236">
        <f>+M27+'TRIM 3'!P27</f>
        <v>-100</v>
      </c>
    </row>
    <row r="28" spans="1:16" ht="12.75">
      <c r="A28" s="233" t="str">
        <f>+'2022 BUDGET'!A28</f>
        <v>Contributions to people served</v>
      </c>
      <c r="B28" s="234"/>
      <c r="C28" s="235">
        <f>+'2022 BUDGET'!K28</f>
        <v>0</v>
      </c>
      <c r="D28" s="236">
        <f t="shared" si="0"/>
        <v>0</v>
      </c>
      <c r="E28" s="234"/>
      <c r="F28" s="235">
        <f>+'2022 BUDGET'!L28</f>
        <v>0</v>
      </c>
      <c r="G28" s="236">
        <f t="shared" si="1"/>
        <v>0</v>
      </c>
      <c r="H28" s="234"/>
      <c r="I28" s="235">
        <f>+'2022 BUDGET'!M28</f>
        <v>0</v>
      </c>
      <c r="J28" s="236">
        <f t="shared" si="2"/>
        <v>0</v>
      </c>
      <c r="K28" s="237">
        <f t="shared" si="5"/>
        <v>0</v>
      </c>
      <c r="L28" s="235">
        <f t="shared" si="5"/>
        <v>0</v>
      </c>
      <c r="M28" s="236">
        <f t="shared" si="4"/>
        <v>0</v>
      </c>
      <c r="N28" s="237">
        <f>+K28+'TRIM 3'!N28</f>
        <v>0</v>
      </c>
      <c r="O28" s="235">
        <f>+L28+'TRIM 3'!O28</f>
        <v>0</v>
      </c>
      <c r="P28" s="236">
        <f>+M28+'TRIM 3'!P28</f>
        <v>0</v>
      </c>
    </row>
    <row r="29" spans="1:16" ht="12.75">
      <c r="A29" s="233" t="str">
        <f>+'2022 BUDGET'!A29</f>
        <v>Depreciation</v>
      </c>
      <c r="B29" s="234">
        <v>-486.69</v>
      </c>
      <c r="C29" s="235">
        <f>+'2022 BUDGET'!K29</f>
        <v>42</v>
      </c>
      <c r="D29" s="236">
        <f t="shared" si="0"/>
        <v>-528.69</v>
      </c>
      <c r="E29" s="234">
        <v>-486.69</v>
      </c>
      <c r="F29" s="235">
        <f>+'2022 BUDGET'!L29</f>
        <v>43</v>
      </c>
      <c r="G29" s="236">
        <f t="shared" si="1"/>
        <v>-529.69</v>
      </c>
      <c r="H29" s="234">
        <f>-486.68+59.2</f>
        <v>-427.48</v>
      </c>
      <c r="I29" s="235">
        <f>+'2022 BUDGET'!M29</f>
        <v>44.3</v>
      </c>
      <c r="J29" s="236">
        <f t="shared" si="2"/>
        <v>-471.78000000000003</v>
      </c>
      <c r="K29" s="237">
        <f t="shared" si="5"/>
        <v>-1400.8600000000001</v>
      </c>
      <c r="L29" s="235">
        <f t="shared" si="5"/>
        <v>129.3</v>
      </c>
      <c r="M29" s="236">
        <f t="shared" si="4"/>
        <v>-1530.16</v>
      </c>
      <c r="N29" s="237">
        <f>+K29+'TRIM 3'!N29</f>
        <v>571.5</v>
      </c>
      <c r="O29" s="235">
        <f>+L29+'TRIM 3'!O29</f>
        <v>512.3</v>
      </c>
      <c r="P29" s="236">
        <f>+M29+'TRIM 3'!P29</f>
        <v>59.19999999999982</v>
      </c>
    </row>
    <row r="30" spans="1:16" ht="12.75">
      <c r="A30" s="233" t="str">
        <f>+'2022 BUDGET'!A30</f>
        <v>Computer Costs</v>
      </c>
      <c r="B30" s="234"/>
      <c r="C30" s="235">
        <f>+'2022 BUDGET'!K30</f>
        <v>84</v>
      </c>
      <c r="D30" s="236">
        <f t="shared" si="0"/>
        <v>-84</v>
      </c>
      <c r="E30" s="234"/>
      <c r="F30" s="235">
        <f>+'2022 BUDGET'!L30</f>
        <v>83</v>
      </c>
      <c r="G30" s="236">
        <f t="shared" si="1"/>
        <v>-83</v>
      </c>
      <c r="H30" s="234"/>
      <c r="I30" s="235">
        <f>+'2022 BUDGET'!M30</f>
        <v>82</v>
      </c>
      <c r="J30" s="236">
        <f t="shared" si="2"/>
        <v>-82</v>
      </c>
      <c r="K30" s="237">
        <f t="shared" si="5"/>
        <v>0</v>
      </c>
      <c r="L30" s="235">
        <f t="shared" si="5"/>
        <v>249</v>
      </c>
      <c r="M30" s="236">
        <f t="shared" si="4"/>
        <v>-249</v>
      </c>
      <c r="N30" s="237">
        <f>+K30+'TRIM 3'!N30</f>
        <v>1142</v>
      </c>
      <c r="O30" s="235">
        <f>+L30+'TRIM 3'!O30</f>
        <v>1000</v>
      </c>
      <c r="P30" s="236">
        <f>+M30+'TRIM 3'!P30</f>
        <v>142</v>
      </c>
    </row>
    <row r="31" spans="1:16" ht="12.75">
      <c r="A31" s="233" t="str">
        <f>+'2022 BUDGET'!A31</f>
        <v>Brochure &amp; Printing</v>
      </c>
      <c r="B31" s="234"/>
      <c r="C31" s="235">
        <f>+'2022 BUDGET'!K31</f>
        <v>17</v>
      </c>
      <c r="D31" s="236">
        <f t="shared" si="0"/>
        <v>-17</v>
      </c>
      <c r="E31" s="234"/>
      <c r="F31" s="235">
        <f>+'2022 BUDGET'!L31</f>
        <v>16</v>
      </c>
      <c r="G31" s="236">
        <f t="shared" si="1"/>
        <v>-16</v>
      </c>
      <c r="H31" s="234"/>
      <c r="I31" s="235">
        <f>+'2022 BUDGET'!M31</f>
        <v>19</v>
      </c>
      <c r="J31" s="236">
        <f t="shared" si="2"/>
        <v>-19</v>
      </c>
      <c r="K31" s="237">
        <f t="shared" si="5"/>
        <v>0</v>
      </c>
      <c r="L31" s="235">
        <f t="shared" si="5"/>
        <v>52</v>
      </c>
      <c r="M31" s="236">
        <f t="shared" si="4"/>
        <v>-52</v>
      </c>
      <c r="N31" s="237">
        <f>+K31+'TRIM 3'!N31</f>
        <v>0</v>
      </c>
      <c r="O31" s="235">
        <f>+L31+'TRIM 3'!O31</f>
        <v>200</v>
      </c>
      <c r="P31" s="236">
        <f>+M31+'TRIM 3'!P31</f>
        <v>-200</v>
      </c>
    </row>
    <row r="32" spans="1:16" ht="12.75">
      <c r="A32" s="233" t="str">
        <f>+'2022 BUDGET'!A32</f>
        <v>Due To/From Other Ministries</v>
      </c>
      <c r="B32" s="234">
        <v>-2138.24</v>
      </c>
      <c r="C32" s="235">
        <f>+'2022 BUDGET'!K32</f>
        <v>0</v>
      </c>
      <c r="D32" s="236">
        <f t="shared" si="0"/>
        <v>-2138.24</v>
      </c>
      <c r="E32" s="234">
        <v>-2345.83</v>
      </c>
      <c r="F32" s="235">
        <f>+'2022 BUDGET'!L32</f>
        <v>0</v>
      </c>
      <c r="G32" s="236">
        <f t="shared" si="1"/>
        <v>-2345.83</v>
      </c>
      <c r="H32" s="234">
        <v>-2483.18</v>
      </c>
      <c r="I32" s="235">
        <f>+'2022 BUDGET'!M32</f>
        <v>0</v>
      </c>
      <c r="J32" s="236">
        <f t="shared" si="2"/>
        <v>-2483.18</v>
      </c>
      <c r="K32" s="237">
        <f t="shared" si="5"/>
        <v>-6967.25</v>
      </c>
      <c r="L32" s="235">
        <f t="shared" si="5"/>
        <v>0</v>
      </c>
      <c r="M32" s="236">
        <f t="shared" si="4"/>
        <v>-6967.25</v>
      </c>
      <c r="N32" s="237">
        <f>+K32+'TRIM 3'!N32</f>
        <v>-17932.559999999998</v>
      </c>
      <c r="O32" s="235">
        <f>+L32+'TRIM 3'!O32</f>
        <v>0</v>
      </c>
      <c r="P32" s="236">
        <f>+M32+'TRIM 3'!P32</f>
        <v>-17932.559999999998</v>
      </c>
    </row>
    <row r="33" spans="1:16" ht="12.75">
      <c r="A33" s="233" t="str">
        <f>+'2022 BUDGET'!A33</f>
        <v>Bureau of Workers Compensation</v>
      </c>
      <c r="B33" s="234"/>
      <c r="C33" s="235">
        <f>+'2022 BUDGET'!K33</f>
        <v>0</v>
      </c>
      <c r="D33" s="236">
        <f t="shared" si="0"/>
        <v>0</v>
      </c>
      <c r="E33" s="234"/>
      <c r="F33" s="235">
        <f>+'2022 BUDGET'!L33</f>
        <v>0</v>
      </c>
      <c r="G33" s="236">
        <f t="shared" si="1"/>
        <v>0</v>
      </c>
      <c r="H33" s="234"/>
      <c r="I33" s="235">
        <f>+'2022 BUDGET'!M33</f>
        <v>0</v>
      </c>
      <c r="J33" s="236">
        <f t="shared" si="2"/>
        <v>0</v>
      </c>
      <c r="K33" s="237">
        <f t="shared" si="5"/>
        <v>0</v>
      </c>
      <c r="L33" s="235">
        <f t="shared" si="5"/>
        <v>0</v>
      </c>
      <c r="M33" s="236">
        <f t="shared" si="4"/>
        <v>0</v>
      </c>
      <c r="N33" s="237">
        <f>+K33+'TRIM 3'!N33</f>
        <v>0</v>
      </c>
      <c r="O33" s="235">
        <f>+L33+'TRIM 3'!O33</f>
        <v>0</v>
      </c>
      <c r="P33" s="236">
        <f>+M33+'TRIM 3'!P33</f>
        <v>0</v>
      </c>
    </row>
    <row r="34" spans="1:16" ht="12.75">
      <c r="A34" s="233">
        <f>+'2022 BUDGET'!A34</f>
        <v>0</v>
      </c>
      <c r="B34" s="234"/>
      <c r="C34" s="235">
        <f>+'2022 BUDGET'!K34</f>
        <v>0</v>
      </c>
      <c r="D34" s="236">
        <f t="shared" si="0"/>
        <v>0</v>
      </c>
      <c r="E34" s="234">
        <v>75</v>
      </c>
      <c r="F34" s="235">
        <f>+'2022 BUDGET'!L34</f>
        <v>0</v>
      </c>
      <c r="G34" s="236">
        <f t="shared" si="1"/>
        <v>75</v>
      </c>
      <c r="H34" s="234"/>
      <c r="I34" s="235">
        <f>+'2022 BUDGET'!M34</f>
        <v>0</v>
      </c>
      <c r="J34" s="236">
        <f t="shared" si="2"/>
        <v>0</v>
      </c>
      <c r="K34" s="237">
        <f t="shared" si="5"/>
        <v>75</v>
      </c>
      <c r="L34" s="235">
        <f t="shared" si="5"/>
        <v>0</v>
      </c>
      <c r="M34" s="236">
        <f t="shared" si="4"/>
        <v>75</v>
      </c>
      <c r="N34" s="237">
        <f>+K34+'TRIM 3'!N34</f>
        <v>282.06</v>
      </c>
      <c r="O34" s="235">
        <f>+L34+'TRIM 3'!O34</f>
        <v>0</v>
      </c>
      <c r="P34" s="236">
        <f>+M34+'TRIM 3'!P34</f>
        <v>282.06</v>
      </c>
    </row>
    <row r="35" spans="1:16" ht="12.75">
      <c r="A35" s="233">
        <f>+'2022 BUDGET'!A35</f>
        <v>0</v>
      </c>
      <c r="B35" s="234"/>
      <c r="C35" s="235">
        <f>+'2022 BUDGET'!K35</f>
        <v>0</v>
      </c>
      <c r="D35" s="236">
        <f t="shared" si="0"/>
        <v>0</v>
      </c>
      <c r="E35" s="234"/>
      <c r="F35" s="235">
        <f>+'2022 BUDGET'!L35</f>
        <v>0</v>
      </c>
      <c r="G35" s="236">
        <f t="shared" si="1"/>
        <v>0</v>
      </c>
      <c r="H35" s="234"/>
      <c r="I35" s="235">
        <f>+'2022 BUDGET'!M35</f>
        <v>0</v>
      </c>
      <c r="J35" s="236">
        <f t="shared" si="2"/>
        <v>0</v>
      </c>
      <c r="K35" s="237">
        <f t="shared" si="5"/>
        <v>0</v>
      </c>
      <c r="L35" s="235">
        <f t="shared" si="5"/>
        <v>0</v>
      </c>
      <c r="M35" s="236">
        <f t="shared" si="4"/>
        <v>0</v>
      </c>
      <c r="N35" s="237">
        <f>+K35+'TRIM 3'!N35</f>
        <v>0</v>
      </c>
      <c r="O35" s="235">
        <f>+L35+'TRIM 3'!O35</f>
        <v>0</v>
      </c>
      <c r="P35" s="236">
        <f>+M35+'TRIM 3'!P35</f>
        <v>0</v>
      </c>
    </row>
    <row r="36" spans="1:16" ht="12.75">
      <c r="A36" s="233">
        <f>+'2022 BUDGET'!A36</f>
        <v>0</v>
      </c>
      <c r="B36" s="234"/>
      <c r="C36" s="235">
        <f>+'2022 BUDGET'!K36</f>
        <v>0</v>
      </c>
      <c r="D36" s="236">
        <f t="shared" si="0"/>
        <v>0</v>
      </c>
      <c r="E36" s="234"/>
      <c r="F36" s="235">
        <f>+'2022 BUDGET'!L36</f>
        <v>0</v>
      </c>
      <c r="G36" s="236">
        <f t="shared" si="1"/>
        <v>0</v>
      </c>
      <c r="H36" s="234"/>
      <c r="I36" s="235">
        <f>+'2022 BUDGET'!M36</f>
        <v>0</v>
      </c>
      <c r="J36" s="236">
        <f t="shared" si="2"/>
        <v>0</v>
      </c>
      <c r="K36" s="237">
        <f t="shared" si="5"/>
        <v>0</v>
      </c>
      <c r="L36" s="235">
        <f t="shared" si="5"/>
        <v>0</v>
      </c>
      <c r="M36" s="236">
        <f t="shared" si="4"/>
        <v>0</v>
      </c>
      <c r="N36" s="237">
        <f>+K36+'TRIM 3'!N36</f>
        <v>0</v>
      </c>
      <c r="O36" s="235">
        <f>+L36+'TRIM 3'!O36</f>
        <v>0</v>
      </c>
      <c r="P36" s="236">
        <f>+M36+'TRIM 3'!P36</f>
        <v>0</v>
      </c>
    </row>
    <row r="37" spans="1:16" ht="12.75">
      <c r="A37" s="233">
        <f>+'2022 BUDGET'!A37</f>
        <v>0</v>
      </c>
      <c r="B37" s="234"/>
      <c r="C37" s="235">
        <f>+'2022 BUDGET'!K37</f>
        <v>0</v>
      </c>
      <c r="D37" s="236">
        <f t="shared" si="0"/>
        <v>0</v>
      </c>
      <c r="E37" s="234"/>
      <c r="F37" s="235">
        <f>+'2022 BUDGET'!L37</f>
        <v>0</v>
      </c>
      <c r="G37" s="236">
        <f t="shared" si="1"/>
        <v>0</v>
      </c>
      <c r="H37" s="234"/>
      <c r="I37" s="235">
        <f>+'2022 BUDGET'!M37</f>
        <v>0</v>
      </c>
      <c r="J37" s="236">
        <f t="shared" si="2"/>
        <v>0</v>
      </c>
      <c r="K37" s="237">
        <f t="shared" si="5"/>
        <v>0</v>
      </c>
      <c r="L37" s="235">
        <f t="shared" si="5"/>
        <v>0</v>
      </c>
      <c r="M37" s="236">
        <f t="shared" si="4"/>
        <v>0</v>
      </c>
      <c r="N37" s="237">
        <f>+K37+'TRIM 3'!N37</f>
        <v>0</v>
      </c>
      <c r="O37" s="235">
        <f>+L37+'TRIM 3'!O37</f>
        <v>0</v>
      </c>
      <c r="P37" s="236">
        <f>+M37+'TRIM 3'!P37</f>
        <v>0</v>
      </c>
    </row>
    <row r="38" spans="1:16" ht="12.75">
      <c r="A38" s="233">
        <f>+'2022 BUDGET'!A38</f>
        <v>0</v>
      </c>
      <c r="B38" s="234"/>
      <c r="C38" s="235">
        <f>+'2022 BUDGET'!K38</f>
        <v>0</v>
      </c>
      <c r="D38" s="236">
        <f t="shared" si="0"/>
        <v>0</v>
      </c>
      <c r="E38" s="234"/>
      <c r="F38" s="235">
        <f>+'2022 BUDGET'!L38</f>
        <v>0</v>
      </c>
      <c r="G38" s="236">
        <f t="shared" si="1"/>
        <v>0</v>
      </c>
      <c r="H38" s="234"/>
      <c r="I38" s="235">
        <f>+'2022 BUDGET'!M38</f>
        <v>0</v>
      </c>
      <c r="J38" s="236">
        <f t="shared" si="2"/>
        <v>0</v>
      </c>
      <c r="K38" s="237">
        <f t="shared" si="5"/>
        <v>0</v>
      </c>
      <c r="L38" s="235">
        <f t="shared" si="5"/>
        <v>0</v>
      </c>
      <c r="M38" s="236">
        <f t="shared" si="4"/>
        <v>0</v>
      </c>
      <c r="N38" s="237">
        <f>+K38+'TRIM 3'!N38</f>
        <v>0</v>
      </c>
      <c r="O38" s="235">
        <f>+L38+'TRIM 3'!O38</f>
        <v>0</v>
      </c>
      <c r="P38" s="236">
        <f>+M38+'TRIM 3'!P38</f>
        <v>0</v>
      </c>
    </row>
    <row r="39" spans="1:16" ht="12.75">
      <c r="A39" s="233">
        <f>+'2022 BUDGET'!A39</f>
        <v>0</v>
      </c>
      <c r="B39" s="234"/>
      <c r="C39" s="235">
        <f>+'2022 BUDGET'!K39</f>
        <v>0</v>
      </c>
      <c r="D39" s="236">
        <f t="shared" si="0"/>
        <v>0</v>
      </c>
      <c r="E39" s="234"/>
      <c r="F39" s="235">
        <f>+'2022 BUDGET'!L39</f>
        <v>0</v>
      </c>
      <c r="G39" s="236">
        <f t="shared" si="1"/>
        <v>0</v>
      </c>
      <c r="H39" s="234"/>
      <c r="I39" s="235">
        <f>+'2022 BUDGET'!M39</f>
        <v>0</v>
      </c>
      <c r="J39" s="236">
        <f t="shared" si="2"/>
        <v>0</v>
      </c>
      <c r="K39" s="237">
        <f t="shared" si="5"/>
        <v>0</v>
      </c>
      <c r="L39" s="235">
        <f t="shared" si="5"/>
        <v>0</v>
      </c>
      <c r="M39" s="236">
        <f t="shared" si="4"/>
        <v>0</v>
      </c>
      <c r="N39" s="237">
        <f>+K39+'TRIM 3'!N39</f>
        <v>0</v>
      </c>
      <c r="O39" s="235">
        <f>+L39+'TRIM 3'!O39</f>
        <v>0</v>
      </c>
      <c r="P39" s="236">
        <f>+M39+'TRIM 3'!P39</f>
        <v>0</v>
      </c>
    </row>
    <row r="40" spans="1:16" ht="12.75">
      <c r="A40" s="233">
        <f>+'2022 BUDGET'!A40</f>
        <v>0</v>
      </c>
      <c r="B40" s="234"/>
      <c r="C40" s="235">
        <f>+'2022 BUDGET'!K40</f>
        <v>0</v>
      </c>
      <c r="D40" s="236">
        <f t="shared" si="0"/>
        <v>0</v>
      </c>
      <c r="E40" s="234"/>
      <c r="F40" s="235">
        <f>+'2022 BUDGET'!L40</f>
        <v>0</v>
      </c>
      <c r="G40" s="236">
        <f t="shared" si="1"/>
        <v>0</v>
      </c>
      <c r="H40" s="234"/>
      <c r="I40" s="235">
        <f>+'2022 BUDGET'!M40</f>
        <v>0</v>
      </c>
      <c r="J40" s="236">
        <f t="shared" si="2"/>
        <v>0</v>
      </c>
      <c r="K40" s="237">
        <f t="shared" si="5"/>
        <v>0</v>
      </c>
      <c r="L40" s="235">
        <f t="shared" si="5"/>
        <v>0</v>
      </c>
      <c r="M40" s="236">
        <f t="shared" si="4"/>
        <v>0</v>
      </c>
      <c r="N40" s="237">
        <f>+K40+'TRIM 3'!N40</f>
        <v>0</v>
      </c>
      <c r="O40" s="235">
        <f>+L40+'TRIM 3'!O40</f>
        <v>0</v>
      </c>
      <c r="P40" s="236">
        <f>+M40+'TRIM 3'!P40</f>
        <v>0</v>
      </c>
    </row>
    <row r="41" spans="1:16" ht="12.75">
      <c r="A41" s="233">
        <f>+'2022 BUDGET'!A41</f>
        <v>0</v>
      </c>
      <c r="B41" s="234"/>
      <c r="C41" s="235">
        <f>+'2022 BUDGET'!K41</f>
        <v>0</v>
      </c>
      <c r="D41" s="236">
        <f t="shared" si="0"/>
        <v>0</v>
      </c>
      <c r="E41" s="234"/>
      <c r="F41" s="235">
        <f>+'2022 BUDGET'!L41</f>
        <v>0</v>
      </c>
      <c r="G41" s="236">
        <f t="shared" si="1"/>
        <v>0</v>
      </c>
      <c r="H41" s="234"/>
      <c r="I41" s="235">
        <f>+'2022 BUDGET'!M41</f>
        <v>0</v>
      </c>
      <c r="J41" s="236">
        <f t="shared" si="2"/>
        <v>0</v>
      </c>
      <c r="K41" s="237">
        <f>+B41+E41+H41</f>
        <v>0</v>
      </c>
      <c r="L41" s="235">
        <f>+C41+F41+I41</f>
        <v>0</v>
      </c>
      <c r="M41" s="236">
        <f>D41+G41+J41</f>
        <v>0</v>
      </c>
      <c r="N41" s="237">
        <f>+K41+'TRIM 3'!N41</f>
        <v>0</v>
      </c>
      <c r="O41" s="235">
        <f>+L41+'TRIM 3'!O41</f>
        <v>0</v>
      </c>
      <c r="P41" s="236">
        <f>+M41+'TRIM 3'!P41</f>
        <v>0</v>
      </c>
    </row>
    <row r="42" spans="1:16" ht="12.75" customHeight="1">
      <c r="A42" s="239" t="s">
        <v>180</v>
      </c>
      <c r="B42" s="240">
        <f>SUM(B9:B41)</f>
        <v>-2573.22</v>
      </c>
      <c r="C42" s="240">
        <f aca="true" t="shared" si="6" ref="C42:M42">SUM(C9:C41)</f>
        <v>651</v>
      </c>
      <c r="D42" s="240">
        <f t="shared" si="6"/>
        <v>-3224.22</v>
      </c>
      <c r="E42" s="240">
        <f t="shared" si="6"/>
        <v>-2495.6099999999997</v>
      </c>
      <c r="F42" s="240">
        <f t="shared" si="6"/>
        <v>350</v>
      </c>
      <c r="G42" s="240">
        <f t="shared" si="6"/>
        <v>-2845.61</v>
      </c>
      <c r="H42" s="240">
        <f t="shared" si="6"/>
        <v>-2501.6</v>
      </c>
      <c r="I42" s="240">
        <f t="shared" si="6"/>
        <v>369.8</v>
      </c>
      <c r="J42" s="240">
        <f t="shared" si="6"/>
        <v>-2871.3999999999996</v>
      </c>
      <c r="K42" s="240">
        <f t="shared" si="6"/>
        <v>-7570.43</v>
      </c>
      <c r="L42" s="240">
        <f t="shared" si="6"/>
        <v>1370.8</v>
      </c>
      <c r="M42" s="240">
        <f t="shared" si="6"/>
        <v>-8941.23</v>
      </c>
      <c r="N42" s="240">
        <f>SUM(N9:N41)</f>
        <v>-11261.409999999998</v>
      </c>
      <c r="O42" s="240">
        <f>SUM(O9:O41)</f>
        <v>5462.3</v>
      </c>
      <c r="P42" s="240">
        <f>SUM(P9:P41)</f>
        <v>-16723.709999999995</v>
      </c>
    </row>
    <row r="43" spans="1:16" ht="12.75" customHeight="1">
      <c r="A43" s="241"/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</row>
    <row r="44" spans="1:16" ht="12.75">
      <c r="A44" s="243"/>
      <c r="B44" s="244"/>
      <c r="C44" s="245"/>
      <c r="D44" s="246"/>
      <c r="E44" s="247"/>
      <c r="F44" s="248"/>
      <c r="G44" s="249"/>
      <c r="H44" s="247"/>
      <c r="I44" s="248"/>
      <c r="J44" s="249"/>
      <c r="K44" s="250"/>
      <c r="L44" s="248"/>
      <c r="M44" s="249"/>
      <c r="N44" s="250"/>
      <c r="O44" s="248"/>
      <c r="P44" s="251"/>
    </row>
    <row r="45" spans="1:16" ht="12.75">
      <c r="A45" s="252" t="str">
        <f>'2022 BUDGET'!A45</f>
        <v>Staff expenses</v>
      </c>
      <c r="B45" s="244"/>
      <c r="C45" s="245"/>
      <c r="D45" s="246"/>
      <c r="E45" s="247"/>
      <c r="F45" s="248"/>
      <c r="G45" s="249"/>
      <c r="H45" s="247"/>
      <c r="I45" s="248"/>
      <c r="J45" s="249"/>
      <c r="K45" s="250"/>
      <c r="L45" s="248"/>
      <c r="M45" s="249"/>
      <c r="N45" s="250"/>
      <c r="O45" s="248"/>
      <c r="P45" s="251"/>
    </row>
    <row r="46" spans="1:16" ht="12.75">
      <c r="A46" s="253"/>
      <c r="B46" s="227" t="str">
        <f>+B8</f>
        <v>ACTUALS</v>
      </c>
      <c r="C46" s="228" t="str">
        <f>+C8</f>
        <v>BUDGET</v>
      </c>
      <c r="D46" s="229" t="str">
        <f>+D8</f>
        <v>DIFF.</v>
      </c>
      <c r="E46" s="234" t="str">
        <f>E8</f>
        <v>ACTUALS</v>
      </c>
      <c r="F46" s="254" t="str">
        <f aca="true" t="shared" si="7" ref="F46:P46">+F8</f>
        <v>BUDGET</v>
      </c>
      <c r="G46" s="255" t="str">
        <f t="shared" si="7"/>
        <v>DIFF.</v>
      </c>
      <c r="H46" s="256" t="str">
        <f t="shared" si="7"/>
        <v>ACTUALS</v>
      </c>
      <c r="I46" s="254" t="str">
        <f t="shared" si="7"/>
        <v>BUDGET</v>
      </c>
      <c r="J46" s="255" t="str">
        <f t="shared" si="7"/>
        <v>DIFF.</v>
      </c>
      <c r="K46" s="257" t="str">
        <f t="shared" si="7"/>
        <v>ACTUALS</v>
      </c>
      <c r="L46" s="254" t="str">
        <f t="shared" si="7"/>
        <v>BUDGET</v>
      </c>
      <c r="M46" s="255" t="str">
        <f t="shared" si="7"/>
        <v>DIFF.</v>
      </c>
      <c r="N46" s="257" t="str">
        <f t="shared" si="7"/>
        <v>ACTUALS</v>
      </c>
      <c r="O46" s="254" t="str">
        <f t="shared" si="7"/>
        <v>BUDGET</v>
      </c>
      <c r="P46" s="258" t="str">
        <f t="shared" si="7"/>
        <v>DIFF.</v>
      </c>
    </row>
    <row r="47" spans="1:16" ht="12.75">
      <c r="A47" s="259" t="str">
        <f>+'2022 BUDGET'!A47</f>
        <v>Salaries</v>
      </c>
      <c r="B47" s="234">
        <v>1863.44</v>
      </c>
      <c r="C47" s="235">
        <f>+'2022 BUDGET'!K47</f>
        <v>3165.63</v>
      </c>
      <c r="D47" s="236">
        <f>+B47-C47</f>
        <v>-1302.19</v>
      </c>
      <c r="E47" s="234">
        <v>1982.04</v>
      </c>
      <c r="F47" s="235">
        <f>+'2022 BUDGET'!L47</f>
        <v>3165.63</v>
      </c>
      <c r="G47" s="236">
        <f>+E47-F47</f>
        <v>-1183.5900000000001</v>
      </c>
      <c r="H47" s="234">
        <v>2089.3</v>
      </c>
      <c r="I47" s="235">
        <f>+'2022 BUDGET'!M47</f>
        <v>3165.63</v>
      </c>
      <c r="J47" s="236">
        <f>+H47-I47</f>
        <v>-1076.33</v>
      </c>
      <c r="K47" s="237">
        <f>+B47+E47+H47</f>
        <v>5934.780000000001</v>
      </c>
      <c r="L47" s="235">
        <f>+C47+F47+I47</f>
        <v>9496.89</v>
      </c>
      <c r="M47" s="236">
        <f>D47+G47+J47</f>
        <v>-3562.11</v>
      </c>
      <c r="N47" s="237">
        <f>+K47+'TRIM 3'!N47</f>
        <v>13804.79</v>
      </c>
      <c r="O47" s="235">
        <f>+L47+'TRIM 3'!O47</f>
        <v>41153.130000000005</v>
      </c>
      <c r="P47" s="236">
        <f>+M47+'TRIM 3'!P47</f>
        <v>-27348.340000000004</v>
      </c>
    </row>
    <row r="48" spans="1:16" ht="12.75">
      <c r="A48" s="259" t="str">
        <f>+'2022 BUDGET'!A48</f>
        <v>Employees Benefits</v>
      </c>
      <c r="B48" s="234">
        <v>108.67</v>
      </c>
      <c r="C48" s="235">
        <f>+'2022 BUDGET'!K48</f>
        <v>585.54</v>
      </c>
      <c r="D48" s="236">
        <f aca="true" t="shared" si="8" ref="D48:D55">+B48-C48</f>
        <v>-476.86999999999995</v>
      </c>
      <c r="E48" s="234">
        <v>113.72</v>
      </c>
      <c r="F48" s="235">
        <f>+'2022 BUDGET'!L48</f>
        <v>585.55</v>
      </c>
      <c r="G48" s="236">
        <f aca="true" t="shared" si="9" ref="G48:G55">+E48-F48</f>
        <v>-471.8299999999999</v>
      </c>
      <c r="H48" s="234">
        <v>103.62</v>
      </c>
      <c r="I48" s="235">
        <f>+'2022 BUDGET'!M48</f>
        <v>585.54</v>
      </c>
      <c r="J48" s="236">
        <f aca="true" t="shared" si="10" ref="J48:J55">+H48-I48</f>
        <v>-481.91999999999996</v>
      </c>
      <c r="K48" s="237">
        <f aca="true" t="shared" si="11" ref="K48:L55">+B48+E48+H48</f>
        <v>326.01</v>
      </c>
      <c r="L48" s="235">
        <f t="shared" si="11"/>
        <v>1756.6299999999999</v>
      </c>
      <c r="M48" s="236">
        <f aca="true" t="shared" si="12" ref="M48:M55">D48+G48+J48</f>
        <v>-1430.62</v>
      </c>
      <c r="N48" s="237">
        <f>+K48+'TRIM 3'!N48</f>
        <v>1939.68</v>
      </c>
      <c r="O48" s="235">
        <f>+L48+'TRIM 3'!O48</f>
        <v>7026.54</v>
      </c>
      <c r="P48" s="236">
        <f>+M48+'TRIM 3'!P48</f>
        <v>-5086.86</v>
      </c>
    </row>
    <row r="49" spans="1:16" ht="12.75">
      <c r="A49" s="259" t="str">
        <f>+'2022 BUDGET'!A49</f>
        <v>Pension Contribution</v>
      </c>
      <c r="B49" s="234"/>
      <c r="C49" s="235">
        <f>+'2022 BUDGET'!K49</f>
        <v>0</v>
      </c>
      <c r="D49" s="236">
        <f t="shared" si="8"/>
        <v>0</v>
      </c>
      <c r="E49" s="234"/>
      <c r="F49" s="235">
        <f>+'2022 BUDGET'!L49</f>
        <v>0</v>
      </c>
      <c r="G49" s="236">
        <f t="shared" si="9"/>
        <v>0</v>
      </c>
      <c r="H49" s="234"/>
      <c r="I49" s="235">
        <f>+'2022 BUDGET'!M49</f>
        <v>0</v>
      </c>
      <c r="J49" s="236">
        <f t="shared" si="10"/>
        <v>0</v>
      </c>
      <c r="K49" s="237">
        <f t="shared" si="11"/>
        <v>0</v>
      </c>
      <c r="L49" s="235">
        <f t="shared" si="11"/>
        <v>0</v>
      </c>
      <c r="M49" s="236">
        <f t="shared" si="12"/>
        <v>0</v>
      </c>
      <c r="N49" s="237">
        <f>+K49+'TRIM 3'!N49</f>
        <v>-0.36999999999999744</v>
      </c>
      <c r="O49" s="235">
        <f>+L49+'TRIM 3'!O49</f>
        <v>0</v>
      </c>
      <c r="P49" s="236">
        <f>+M49+'TRIM 3'!P49</f>
        <v>-0.36999999999999744</v>
      </c>
    </row>
    <row r="50" spans="1:16" ht="12.75">
      <c r="A50" s="259" t="str">
        <f>+'2022 BUDGET'!A50</f>
        <v>Payroll taxes</v>
      </c>
      <c r="B50" s="234">
        <v>138.55</v>
      </c>
      <c r="C50" s="235">
        <f>+'2022 BUDGET'!K50</f>
        <v>277.5</v>
      </c>
      <c r="D50" s="236">
        <f t="shared" si="8"/>
        <v>-138.95</v>
      </c>
      <c r="E50" s="234">
        <v>147.5</v>
      </c>
      <c r="F50" s="235">
        <f>+'2022 BUDGET'!L50</f>
        <v>277.5</v>
      </c>
      <c r="G50" s="236">
        <f t="shared" si="9"/>
        <v>-130</v>
      </c>
      <c r="H50" s="234">
        <v>155.26</v>
      </c>
      <c r="I50" s="235">
        <f>+'2022 BUDGET'!M50</f>
        <v>277.5</v>
      </c>
      <c r="J50" s="236">
        <f t="shared" si="10"/>
        <v>-122.24000000000001</v>
      </c>
      <c r="K50" s="237">
        <f t="shared" si="11"/>
        <v>441.31</v>
      </c>
      <c r="L50" s="235">
        <f t="shared" si="11"/>
        <v>832.5</v>
      </c>
      <c r="M50" s="236">
        <f t="shared" si="12"/>
        <v>-391.19</v>
      </c>
      <c r="N50" s="237">
        <f>+K50+'TRIM 3'!N50</f>
        <v>1017.1400000000001</v>
      </c>
      <c r="O50" s="235">
        <f>+L50+'TRIM 3'!O50</f>
        <v>3607.49</v>
      </c>
      <c r="P50" s="236">
        <f>+M50+'TRIM 3'!P50</f>
        <v>-2590.35</v>
      </c>
    </row>
    <row r="51" spans="1:16" ht="12.75">
      <c r="A51" s="259" t="str">
        <f>+'2022 BUDGET'!A51</f>
        <v>Formation for employees</v>
      </c>
      <c r="B51" s="234"/>
      <c r="C51" s="235">
        <f>+'2022 BUDGET'!K51</f>
        <v>0</v>
      </c>
      <c r="D51" s="236">
        <f t="shared" si="8"/>
        <v>0</v>
      </c>
      <c r="E51" s="234"/>
      <c r="F51" s="235">
        <f>+'2022 BUDGET'!L51</f>
        <v>0</v>
      </c>
      <c r="G51" s="236">
        <f t="shared" si="9"/>
        <v>0</v>
      </c>
      <c r="H51" s="234"/>
      <c r="I51" s="235">
        <f>+'2022 BUDGET'!M51</f>
        <v>0</v>
      </c>
      <c r="J51" s="236">
        <f t="shared" si="10"/>
        <v>0</v>
      </c>
      <c r="K51" s="237">
        <f t="shared" si="11"/>
        <v>0</v>
      </c>
      <c r="L51" s="235">
        <f t="shared" si="11"/>
        <v>0</v>
      </c>
      <c r="M51" s="236">
        <f t="shared" si="12"/>
        <v>0</v>
      </c>
      <c r="N51" s="237">
        <f>+K51+'TRIM 3'!N51</f>
        <v>0</v>
      </c>
      <c r="O51" s="235">
        <f>+L51+'TRIM 3'!O51</f>
        <v>0</v>
      </c>
      <c r="P51" s="236">
        <f>+M51+'TRIM 3'!P51</f>
        <v>0</v>
      </c>
    </row>
    <row r="52" spans="1:16" ht="12.75">
      <c r="A52" s="259" t="str">
        <f>+'2022 BUDGET'!A52</f>
        <v>SFP mission orientation programs</v>
      </c>
      <c r="B52" s="234"/>
      <c r="C52" s="235">
        <f>+'2022 BUDGET'!K52</f>
        <v>0</v>
      </c>
      <c r="D52" s="236">
        <f t="shared" si="8"/>
        <v>0</v>
      </c>
      <c r="E52" s="234"/>
      <c r="F52" s="235">
        <f>+'2022 BUDGET'!L52</f>
        <v>0</v>
      </c>
      <c r="G52" s="236">
        <f t="shared" si="9"/>
        <v>0</v>
      </c>
      <c r="H52" s="234"/>
      <c r="I52" s="235">
        <f>+'2022 BUDGET'!M52</f>
        <v>0</v>
      </c>
      <c r="J52" s="236">
        <f t="shared" si="10"/>
        <v>0</v>
      </c>
      <c r="K52" s="237">
        <f t="shared" si="11"/>
        <v>0</v>
      </c>
      <c r="L52" s="235">
        <f t="shared" si="11"/>
        <v>0</v>
      </c>
      <c r="M52" s="236">
        <f t="shared" si="12"/>
        <v>0</v>
      </c>
      <c r="N52" s="237">
        <f>+K52+'TRIM 3'!N52</f>
        <v>0</v>
      </c>
      <c r="O52" s="235">
        <f>+L52+'TRIM 3'!O52</f>
        <v>0</v>
      </c>
      <c r="P52" s="236">
        <f>+M52+'TRIM 3'!P52</f>
        <v>0</v>
      </c>
    </row>
    <row r="53" spans="1:16" ht="12.75">
      <c r="A53" s="259" t="str">
        <f>+'2022 BUDGET'!A53</f>
        <v>Consultants</v>
      </c>
      <c r="B53" s="234">
        <v>122</v>
      </c>
      <c r="C53" s="235">
        <f>+'2022 BUDGET'!K53</f>
        <v>300</v>
      </c>
      <c r="D53" s="236">
        <f t="shared" si="8"/>
        <v>-178</v>
      </c>
      <c r="E53" s="234"/>
      <c r="F53" s="235">
        <f>+'2022 BUDGET'!L53</f>
        <v>300</v>
      </c>
      <c r="G53" s="236">
        <f t="shared" si="9"/>
        <v>-300</v>
      </c>
      <c r="H53" s="234">
        <v>175</v>
      </c>
      <c r="I53" s="235">
        <f>+'2022 BUDGET'!M53</f>
        <v>300</v>
      </c>
      <c r="J53" s="236">
        <f t="shared" si="10"/>
        <v>-125</v>
      </c>
      <c r="K53" s="237">
        <f t="shared" si="11"/>
        <v>297</v>
      </c>
      <c r="L53" s="235">
        <f t="shared" si="11"/>
        <v>900</v>
      </c>
      <c r="M53" s="236">
        <f t="shared" si="12"/>
        <v>-603</v>
      </c>
      <c r="N53" s="237">
        <f>+K53+'TRIM 3'!N53</f>
        <v>781</v>
      </c>
      <c r="O53" s="235">
        <f>+L53+'TRIM 3'!O53</f>
        <v>3600</v>
      </c>
      <c r="P53" s="236">
        <f>+M53+'TRIM 3'!P53</f>
        <v>-2819</v>
      </c>
    </row>
    <row r="54" spans="1:16" ht="12.75">
      <c r="A54" s="259">
        <f>+'2022 BUDGET'!A54</f>
        <v>0</v>
      </c>
      <c r="B54" s="234"/>
      <c r="C54" s="235">
        <f>+'2022 BUDGET'!K54</f>
        <v>0</v>
      </c>
      <c r="D54" s="236">
        <f t="shared" si="8"/>
        <v>0</v>
      </c>
      <c r="E54" s="234"/>
      <c r="F54" s="235">
        <f>+'2022 BUDGET'!L54</f>
        <v>0</v>
      </c>
      <c r="G54" s="236">
        <f t="shared" si="9"/>
        <v>0</v>
      </c>
      <c r="H54" s="234"/>
      <c r="I54" s="235">
        <f>+'2022 BUDGET'!M54</f>
        <v>0</v>
      </c>
      <c r="J54" s="236">
        <f t="shared" si="10"/>
        <v>0</v>
      </c>
      <c r="K54" s="237">
        <f t="shared" si="11"/>
        <v>0</v>
      </c>
      <c r="L54" s="235">
        <f t="shared" si="11"/>
        <v>0</v>
      </c>
      <c r="M54" s="236">
        <f t="shared" si="12"/>
        <v>0</v>
      </c>
      <c r="N54" s="237">
        <f>+K54+'TRIM 3'!N54</f>
        <v>0</v>
      </c>
      <c r="O54" s="235">
        <f>+L54+'TRIM 3'!O54</f>
        <v>0</v>
      </c>
      <c r="P54" s="236">
        <f>+M54+'TRIM 3'!P54</f>
        <v>0</v>
      </c>
    </row>
    <row r="55" spans="1:16" ht="12.75">
      <c r="A55" s="259">
        <f>+'2022 BUDGET'!A55</f>
        <v>0</v>
      </c>
      <c r="B55" s="234"/>
      <c r="C55" s="235">
        <f>+'2022 BUDGET'!K55</f>
        <v>0</v>
      </c>
      <c r="D55" s="236">
        <f t="shared" si="8"/>
        <v>0</v>
      </c>
      <c r="E55" s="234"/>
      <c r="F55" s="235">
        <f>+'2022 BUDGET'!L55</f>
        <v>0</v>
      </c>
      <c r="G55" s="236">
        <f t="shared" si="9"/>
        <v>0</v>
      </c>
      <c r="H55" s="234"/>
      <c r="I55" s="235">
        <f>+'2022 BUDGET'!M55</f>
        <v>0</v>
      </c>
      <c r="J55" s="236">
        <f t="shared" si="10"/>
        <v>0</v>
      </c>
      <c r="K55" s="237">
        <f t="shared" si="11"/>
        <v>0</v>
      </c>
      <c r="L55" s="235">
        <f t="shared" si="11"/>
        <v>0</v>
      </c>
      <c r="M55" s="236">
        <f t="shared" si="12"/>
        <v>0</v>
      </c>
      <c r="N55" s="237">
        <f>+K55+'TRIM 3'!N55</f>
        <v>0</v>
      </c>
      <c r="O55" s="235">
        <f>+L55+'TRIM 3'!O55</f>
        <v>0</v>
      </c>
      <c r="P55" s="236">
        <f>+M55+'TRIM 3'!P55</f>
        <v>0</v>
      </c>
    </row>
    <row r="56" spans="1:16" s="262" customFormat="1" ht="12.75">
      <c r="A56" s="239" t="s">
        <v>181</v>
      </c>
      <c r="B56" s="260">
        <f aca="true" t="shared" si="13" ref="B56:P56">SUM(B47:B55)</f>
        <v>2232.6600000000003</v>
      </c>
      <c r="C56" s="261">
        <f t="shared" si="13"/>
        <v>4328.67</v>
      </c>
      <c r="D56" s="261">
        <f t="shared" si="13"/>
        <v>-2096.01</v>
      </c>
      <c r="E56" s="260">
        <f t="shared" si="13"/>
        <v>2243.2599999999998</v>
      </c>
      <c r="F56" s="261">
        <f t="shared" si="13"/>
        <v>4328.68</v>
      </c>
      <c r="G56" s="261">
        <f t="shared" si="13"/>
        <v>-2085.42</v>
      </c>
      <c r="H56" s="260">
        <f t="shared" si="13"/>
        <v>2523.1800000000003</v>
      </c>
      <c r="I56" s="261">
        <f t="shared" si="13"/>
        <v>4328.67</v>
      </c>
      <c r="J56" s="261">
        <f t="shared" si="13"/>
        <v>-1805.49</v>
      </c>
      <c r="K56" s="260">
        <f t="shared" si="13"/>
        <v>6999.100000000001</v>
      </c>
      <c r="L56" s="261">
        <f t="shared" si="13"/>
        <v>12986.019999999999</v>
      </c>
      <c r="M56" s="261">
        <f t="shared" si="13"/>
        <v>-5986.919999999999</v>
      </c>
      <c r="N56" s="260">
        <f t="shared" si="13"/>
        <v>17542.24</v>
      </c>
      <c r="O56" s="261">
        <f t="shared" si="13"/>
        <v>55387.16</v>
      </c>
      <c r="P56" s="261">
        <f t="shared" si="13"/>
        <v>-37844.920000000006</v>
      </c>
    </row>
    <row r="57" spans="1:16" s="267" customFormat="1" ht="12.75">
      <c r="A57" s="263"/>
      <c r="B57" s="264"/>
      <c r="C57" s="265"/>
      <c r="D57" s="265"/>
      <c r="E57" s="266"/>
      <c r="F57" s="265"/>
      <c r="G57" s="265"/>
      <c r="H57" s="266"/>
      <c r="I57" s="265"/>
      <c r="J57" s="265"/>
      <c r="K57" s="265"/>
      <c r="L57" s="265"/>
      <c r="M57" s="265"/>
      <c r="N57" s="265"/>
      <c r="O57" s="265"/>
      <c r="P57" s="265"/>
    </row>
    <row r="58" spans="1:16" s="267" customFormat="1" ht="12.75">
      <c r="A58" s="268" t="s">
        <v>120</v>
      </c>
      <c r="B58" s="269">
        <f aca="true" t="shared" si="14" ref="B58:P58">B42+B56</f>
        <v>-340.5599999999995</v>
      </c>
      <c r="C58" s="269">
        <f t="shared" si="14"/>
        <v>4979.67</v>
      </c>
      <c r="D58" s="269">
        <f t="shared" si="14"/>
        <v>-5320.23</v>
      </c>
      <c r="E58" s="269">
        <f t="shared" si="14"/>
        <v>-252.3499999999999</v>
      </c>
      <c r="F58" s="269">
        <f t="shared" si="14"/>
        <v>4678.68</v>
      </c>
      <c r="G58" s="269">
        <f t="shared" si="14"/>
        <v>-4931.030000000001</v>
      </c>
      <c r="H58" s="269">
        <f t="shared" si="14"/>
        <v>21.580000000000382</v>
      </c>
      <c r="I58" s="269">
        <f t="shared" si="14"/>
        <v>4698.47</v>
      </c>
      <c r="J58" s="269">
        <f t="shared" si="14"/>
        <v>-4676.889999999999</v>
      </c>
      <c r="K58" s="269">
        <f t="shared" si="14"/>
        <v>-571.329999999999</v>
      </c>
      <c r="L58" s="269">
        <f t="shared" si="14"/>
        <v>14356.819999999998</v>
      </c>
      <c r="M58" s="269">
        <f t="shared" si="14"/>
        <v>-14928.149999999998</v>
      </c>
      <c r="N58" s="269">
        <f t="shared" si="14"/>
        <v>6280.830000000004</v>
      </c>
      <c r="O58" s="269">
        <f t="shared" si="14"/>
        <v>60849.46000000001</v>
      </c>
      <c r="P58" s="269">
        <f t="shared" si="14"/>
        <v>-54568.630000000005</v>
      </c>
    </row>
    <row r="59" spans="1:16" ht="12.75">
      <c r="A59" s="270"/>
      <c r="B59" s="244"/>
      <c r="C59" s="248"/>
      <c r="D59" s="249"/>
      <c r="E59" s="247"/>
      <c r="F59" s="248"/>
      <c r="G59" s="249"/>
      <c r="H59" s="247"/>
      <c r="I59" s="248"/>
      <c r="J59" s="249"/>
      <c r="K59" s="250"/>
      <c r="L59" s="248"/>
      <c r="M59" s="249"/>
      <c r="N59" s="250"/>
      <c r="O59" s="248"/>
      <c r="P59" s="251"/>
    </row>
    <row r="60" spans="1:16" ht="12.75">
      <c r="A60" s="271" t="str">
        <f>'2022 BUDGET'!A64</f>
        <v>MINISTRY INCOME</v>
      </c>
      <c r="B60" s="272"/>
      <c r="C60" s="248"/>
      <c r="D60" s="249"/>
      <c r="E60" s="247"/>
      <c r="F60" s="248"/>
      <c r="G60" s="249"/>
      <c r="H60" s="247"/>
      <c r="I60" s="248"/>
      <c r="J60" s="249"/>
      <c r="K60" s="250"/>
      <c r="L60" s="248"/>
      <c r="M60" s="249"/>
      <c r="N60" s="250"/>
      <c r="O60" s="248"/>
      <c r="P60" s="251"/>
    </row>
    <row r="61" spans="1:16" ht="12.75">
      <c r="A61" s="273"/>
      <c r="B61" s="274" t="str">
        <f aca="true" t="shared" si="15" ref="B61:P61">+B8</f>
        <v>ACTUALS</v>
      </c>
      <c r="C61" s="254" t="str">
        <f t="shared" si="15"/>
        <v>BUDGET</v>
      </c>
      <c r="D61" s="255" t="str">
        <f t="shared" si="15"/>
        <v>DIFF.</v>
      </c>
      <c r="E61" s="256" t="str">
        <f t="shared" si="15"/>
        <v>ACTUALS</v>
      </c>
      <c r="F61" s="254" t="str">
        <f t="shared" si="15"/>
        <v>BUDGET</v>
      </c>
      <c r="G61" s="255" t="str">
        <f t="shared" si="15"/>
        <v>DIFF.</v>
      </c>
      <c r="H61" s="256" t="str">
        <f t="shared" si="15"/>
        <v>ACTUALS</v>
      </c>
      <c r="I61" s="254" t="str">
        <f t="shared" si="15"/>
        <v>BUDGET</v>
      </c>
      <c r="J61" s="255" t="str">
        <f t="shared" si="15"/>
        <v>DIFF.</v>
      </c>
      <c r="K61" s="257" t="str">
        <f t="shared" si="15"/>
        <v>ACTUALS</v>
      </c>
      <c r="L61" s="254" t="str">
        <f t="shared" si="15"/>
        <v>BUDGET</v>
      </c>
      <c r="M61" s="255" t="str">
        <f t="shared" si="15"/>
        <v>DIFF.</v>
      </c>
      <c r="N61" s="257" t="str">
        <f t="shared" si="15"/>
        <v>ACTUALS</v>
      </c>
      <c r="O61" s="254" t="str">
        <f t="shared" si="15"/>
        <v>BUDGET</v>
      </c>
      <c r="P61" s="258" t="str">
        <f t="shared" si="15"/>
        <v>DIFF.</v>
      </c>
    </row>
    <row r="62" spans="1:16" ht="12.75">
      <c r="A62" s="275" t="str">
        <f>'2022 BUDGET'!A67</f>
        <v>Previous Year balance 12/31/20xx</v>
      </c>
      <c r="B62" s="276"/>
      <c r="C62" s="277">
        <f>+'2022 BUDGET'!K67</f>
        <v>0</v>
      </c>
      <c r="D62" s="278">
        <f>+B62-C62</f>
        <v>0</v>
      </c>
      <c r="E62" s="279"/>
      <c r="F62" s="277">
        <f>+'2022 BUDGET'!L67</f>
        <v>0</v>
      </c>
      <c r="G62" s="278">
        <f aca="true" t="shared" si="16" ref="G62:G68">+E62-F62</f>
        <v>0</v>
      </c>
      <c r="H62" s="279"/>
      <c r="I62" s="277">
        <f>+'2022 BUDGET'!M67</f>
        <v>0</v>
      </c>
      <c r="J62" s="278">
        <f>+H62-I62</f>
        <v>0</v>
      </c>
      <c r="K62" s="280">
        <f>+B62+E62+H62</f>
        <v>0</v>
      </c>
      <c r="L62" s="277">
        <f>+C62+F62+I62</f>
        <v>0</v>
      </c>
      <c r="M62" s="278">
        <f>D62+G62+J62</f>
        <v>0</v>
      </c>
      <c r="N62" s="417">
        <f>+K62+'TRIM 3'!N62</f>
        <v>0</v>
      </c>
      <c r="O62" s="415">
        <f>+L62+'TRIM 3'!O62</f>
        <v>0</v>
      </c>
      <c r="P62" s="418">
        <f>+M62+'TRIM 3'!P62</f>
        <v>0</v>
      </c>
    </row>
    <row r="63" spans="1:16" ht="12.75">
      <c r="A63" s="275"/>
      <c r="B63" s="276"/>
      <c r="C63" s="277"/>
      <c r="D63" s="278"/>
      <c r="E63" s="279"/>
      <c r="F63" s="277"/>
      <c r="G63" s="278"/>
      <c r="H63" s="279"/>
      <c r="I63" s="277"/>
      <c r="J63" s="278"/>
      <c r="K63" s="280"/>
      <c r="L63" s="277"/>
      <c r="M63" s="278"/>
      <c r="N63" s="417"/>
      <c r="O63" s="415"/>
      <c r="P63" s="418"/>
    </row>
    <row r="64" spans="1:16" ht="12.75">
      <c r="A64" s="282" t="str">
        <f>'2022 BUDGET'!A69</f>
        <v>PEDDLER FUNDS</v>
      </c>
      <c r="B64" s="276"/>
      <c r="C64" s="235">
        <f>+'2022 BUDGET'!K69</f>
        <v>0</v>
      </c>
      <c r="D64" s="236">
        <f>+B64-C64</f>
        <v>0</v>
      </c>
      <c r="E64" s="276"/>
      <c r="F64" s="235">
        <f>+'2022 BUDGET'!L69</f>
        <v>0</v>
      </c>
      <c r="G64" s="236">
        <f>+E64-F64</f>
        <v>0</v>
      </c>
      <c r="H64" s="276"/>
      <c r="I64" s="235">
        <f>+'2022 BUDGET'!M69</f>
        <v>0</v>
      </c>
      <c r="J64" s="236">
        <f>+H64-I64</f>
        <v>0</v>
      </c>
      <c r="K64" s="237">
        <f>+B64+E64+H64</f>
        <v>0</v>
      </c>
      <c r="L64" s="235">
        <f>+C64+F64+I64</f>
        <v>0</v>
      </c>
      <c r="M64" s="236">
        <f>D64+G64+J64</f>
        <v>0</v>
      </c>
      <c r="N64" s="237">
        <f>+K64+'TRIM 3'!N64</f>
        <v>0</v>
      </c>
      <c r="O64" s="235">
        <f>+L64+'TRIM 3'!O64</f>
        <v>0</v>
      </c>
      <c r="P64" s="236">
        <f>+M64+'TRIM 3'!P64</f>
        <v>0</v>
      </c>
    </row>
    <row r="65" spans="1:16" ht="12.75">
      <c r="A65" s="282" t="str">
        <f>'2022 BUDGET'!A70</f>
        <v>FOUNDATION GRANT</v>
      </c>
      <c r="B65" s="276"/>
      <c r="C65" s="235">
        <f>+'2022 BUDGET'!K70</f>
        <v>10000</v>
      </c>
      <c r="D65" s="236">
        <f>+B65-C65</f>
        <v>-10000</v>
      </c>
      <c r="E65" s="276"/>
      <c r="F65" s="235">
        <f>+'2022 BUDGET'!L70</f>
        <v>0</v>
      </c>
      <c r="G65" s="236">
        <f t="shared" si="16"/>
        <v>0</v>
      </c>
      <c r="H65" s="276"/>
      <c r="I65" s="235">
        <f>+'2022 BUDGET'!M70</f>
        <v>0</v>
      </c>
      <c r="J65" s="236">
        <f>+H65-I65</f>
        <v>0</v>
      </c>
      <c r="K65" s="237">
        <f aca="true" t="shared" si="17" ref="K65:L68">+B65+E65+H65</f>
        <v>0</v>
      </c>
      <c r="L65" s="235">
        <f t="shared" si="17"/>
        <v>10000</v>
      </c>
      <c r="M65" s="236">
        <f>D65+G65+J65</f>
        <v>-10000</v>
      </c>
      <c r="N65" s="237">
        <f>+K65+'TRIM 3'!N65</f>
        <v>10000</v>
      </c>
      <c r="O65" s="235">
        <f>+L65+'TRIM 3'!O65</f>
        <v>40000</v>
      </c>
      <c r="P65" s="236">
        <f>+M65+'TRIM 3'!P65</f>
        <v>-30000</v>
      </c>
    </row>
    <row r="66" spans="1:16" ht="12.75">
      <c r="A66" s="282" t="str">
        <f>'2022 BUDGET'!A71</f>
        <v>CONGREG. ST.ELIZABETH MINISTRY FUND </v>
      </c>
      <c r="B66" s="276"/>
      <c r="C66" s="235">
        <f>+'2022 BUDGET'!K71</f>
        <v>0</v>
      </c>
      <c r="D66" s="236">
        <f>+B66-C66</f>
        <v>0</v>
      </c>
      <c r="E66" s="276"/>
      <c r="F66" s="235">
        <f>+'2022 BUDGET'!L71</f>
        <v>0</v>
      </c>
      <c r="G66" s="236">
        <f>+E66-F66</f>
        <v>0</v>
      </c>
      <c r="H66" s="276"/>
      <c r="I66" s="235">
        <f>+'2022 BUDGET'!M71</f>
        <v>0</v>
      </c>
      <c r="J66" s="236">
        <f>+H66-I66</f>
        <v>0</v>
      </c>
      <c r="K66" s="237">
        <f t="shared" si="17"/>
        <v>0</v>
      </c>
      <c r="L66" s="235">
        <f t="shared" si="17"/>
        <v>0</v>
      </c>
      <c r="M66" s="236">
        <f>D66+G66+J66</f>
        <v>0</v>
      </c>
      <c r="N66" s="237">
        <f>+K66+'TRIM 3'!N66</f>
        <v>0</v>
      </c>
      <c r="O66" s="235">
        <f>+L66+'TRIM 3'!O66</f>
        <v>0</v>
      </c>
      <c r="P66" s="236">
        <f>+M66+'TRIM 3'!P66</f>
        <v>0</v>
      </c>
    </row>
    <row r="67" spans="1:19" s="285" customFormat="1" ht="12.75">
      <c r="A67" s="283" t="str">
        <f>'2022 BUDGET'!A72</f>
        <v>TOTAL  PEDDLER &amp; FOUNDATION &amp; ST.ELIZABETH MINISTRY FUNDS</v>
      </c>
      <c r="B67" s="284">
        <f>SUM(B64:B66)</f>
        <v>0</v>
      </c>
      <c r="C67" s="284">
        <f aca="true" t="shared" si="18" ref="C67:P67">SUM(C64:C66)</f>
        <v>10000</v>
      </c>
      <c r="D67" s="284">
        <f t="shared" si="18"/>
        <v>-10000</v>
      </c>
      <c r="E67" s="284">
        <f t="shared" si="18"/>
        <v>0</v>
      </c>
      <c r="F67" s="284">
        <f t="shared" si="18"/>
        <v>0</v>
      </c>
      <c r="G67" s="284">
        <f t="shared" si="18"/>
        <v>0</v>
      </c>
      <c r="H67" s="284">
        <f t="shared" si="18"/>
        <v>0</v>
      </c>
      <c r="I67" s="284">
        <f t="shared" si="18"/>
        <v>0</v>
      </c>
      <c r="J67" s="284">
        <f t="shared" si="18"/>
        <v>0</v>
      </c>
      <c r="K67" s="284">
        <f t="shared" si="18"/>
        <v>0</v>
      </c>
      <c r="L67" s="284">
        <f t="shared" si="18"/>
        <v>10000</v>
      </c>
      <c r="M67" s="284">
        <f t="shared" si="18"/>
        <v>-10000</v>
      </c>
      <c r="N67" s="284">
        <f t="shared" si="18"/>
        <v>10000</v>
      </c>
      <c r="O67" s="284">
        <f t="shared" si="18"/>
        <v>40000</v>
      </c>
      <c r="P67" s="284">
        <f t="shared" si="18"/>
        <v>-30000</v>
      </c>
      <c r="Q67" s="291"/>
      <c r="R67" s="291"/>
      <c r="S67" s="291"/>
    </row>
    <row r="68" spans="1:19" s="285" customFormat="1" ht="12.75">
      <c r="A68" s="282" t="str">
        <f>'2022 BUDGET'!A74</f>
        <v>Rental Income</v>
      </c>
      <c r="B68" s="276"/>
      <c r="C68" s="235">
        <f>+'2022 BUDGET'!K74</f>
        <v>0</v>
      </c>
      <c r="D68" s="236">
        <f>+B68-C68</f>
        <v>0</v>
      </c>
      <c r="E68" s="276"/>
      <c r="F68" s="235">
        <f>+'2022 BUDGET'!L74</f>
        <v>0</v>
      </c>
      <c r="G68" s="236">
        <f t="shared" si="16"/>
        <v>0</v>
      </c>
      <c r="H68" s="276"/>
      <c r="I68" s="235">
        <f>+'2022 BUDGET'!M74</f>
        <v>0</v>
      </c>
      <c r="J68" s="236">
        <f>+H68-I68</f>
        <v>0</v>
      </c>
      <c r="K68" s="237">
        <f t="shared" si="17"/>
        <v>0</v>
      </c>
      <c r="L68" s="235">
        <f t="shared" si="17"/>
        <v>0</v>
      </c>
      <c r="M68" s="236">
        <f>D68+G68+J68</f>
        <v>0</v>
      </c>
      <c r="N68" s="237">
        <f>+K68+'TRIM 3'!N68</f>
        <v>0</v>
      </c>
      <c r="O68" s="235">
        <f>+L68+'TRIM 3'!O68</f>
        <v>0</v>
      </c>
      <c r="P68" s="236">
        <f>+M68+'TRIM 3'!P68</f>
        <v>0</v>
      </c>
      <c r="Q68" s="291"/>
      <c r="R68" s="291"/>
      <c r="S68" s="291"/>
    </row>
    <row r="69" spans="1:19" s="285" customFormat="1" ht="12.75">
      <c r="A69" s="282" t="str">
        <f>'2022 BUDGET'!A75</f>
        <v>Interest</v>
      </c>
      <c r="B69" s="276"/>
      <c r="C69" s="235">
        <f>+'2022 BUDGET'!K75</f>
        <v>0</v>
      </c>
      <c r="D69" s="236">
        <f aca="true" t="shared" si="19" ref="D69:D86">+B69-C69</f>
        <v>0</v>
      </c>
      <c r="E69" s="276"/>
      <c r="F69" s="235">
        <f>+'2022 BUDGET'!L75</f>
        <v>0</v>
      </c>
      <c r="G69" s="236">
        <f aca="true" t="shared" si="20" ref="G69:G86">+E69-F69</f>
        <v>0</v>
      </c>
      <c r="H69" s="276"/>
      <c r="I69" s="235">
        <f>+'2022 BUDGET'!M75</f>
        <v>0</v>
      </c>
      <c r="J69" s="236">
        <f aca="true" t="shared" si="21" ref="J69:J86">+H69-I69</f>
        <v>0</v>
      </c>
      <c r="K69" s="237">
        <f aca="true" t="shared" si="22" ref="K69:K86">+B69+E69+H69</f>
        <v>0</v>
      </c>
      <c r="L69" s="235">
        <f aca="true" t="shared" si="23" ref="L69:L86">+C69+F69+I69</f>
        <v>0</v>
      </c>
      <c r="M69" s="236">
        <f aca="true" t="shared" si="24" ref="M69:M86">D69+G69+J69</f>
        <v>0</v>
      </c>
      <c r="N69" s="237">
        <f>+K69+'TRIM 3'!N69</f>
        <v>0</v>
      </c>
      <c r="O69" s="235">
        <f>+L69+'TRIM 3'!O69</f>
        <v>0</v>
      </c>
      <c r="P69" s="236">
        <f>+M69+'TRIM 3'!P69</f>
        <v>0</v>
      </c>
      <c r="Q69" s="291"/>
      <c r="R69" s="291"/>
      <c r="S69" s="291"/>
    </row>
    <row r="70" spans="1:19" s="285" customFormat="1" ht="12.75">
      <c r="A70" s="282" t="str">
        <f>'2022 BUDGET'!A76</f>
        <v>Benefactors</v>
      </c>
      <c r="B70" s="276"/>
      <c r="C70" s="235">
        <f>+'2022 BUDGET'!K76</f>
        <v>0</v>
      </c>
      <c r="D70" s="236">
        <f t="shared" si="19"/>
        <v>0</v>
      </c>
      <c r="E70" s="276"/>
      <c r="F70" s="235">
        <f>+'2022 BUDGET'!L76</f>
        <v>0</v>
      </c>
      <c r="G70" s="236">
        <f t="shared" si="20"/>
        <v>0</v>
      </c>
      <c r="H70" s="276"/>
      <c r="I70" s="235">
        <f>+'2022 BUDGET'!M76</f>
        <v>0</v>
      </c>
      <c r="J70" s="236">
        <f t="shared" si="21"/>
        <v>0</v>
      </c>
      <c r="K70" s="237">
        <f t="shared" si="22"/>
        <v>0</v>
      </c>
      <c r="L70" s="235">
        <f t="shared" si="23"/>
        <v>0</v>
      </c>
      <c r="M70" s="236">
        <f t="shared" si="24"/>
        <v>0</v>
      </c>
      <c r="N70" s="237">
        <f>+K70+'TRIM 3'!N70</f>
        <v>0</v>
      </c>
      <c r="O70" s="235">
        <f>+L70+'TRIM 3'!O70</f>
        <v>0</v>
      </c>
      <c r="P70" s="236">
        <f>+M70+'TRIM 3'!P70</f>
        <v>0</v>
      </c>
      <c r="Q70" s="291"/>
      <c r="R70" s="291"/>
      <c r="S70" s="291"/>
    </row>
    <row r="71" spans="1:19" s="285" customFormat="1" ht="12.75">
      <c r="A71" s="282" t="str">
        <f>'2022 BUDGET'!A77</f>
        <v>Governmental Entities </v>
      </c>
      <c r="B71" s="276"/>
      <c r="C71" s="235">
        <f>+'2022 BUDGET'!K77</f>
        <v>0</v>
      </c>
      <c r="D71" s="236">
        <f t="shared" si="19"/>
        <v>0</v>
      </c>
      <c r="E71" s="276"/>
      <c r="F71" s="235">
        <f>+'2022 BUDGET'!L77</f>
        <v>0</v>
      </c>
      <c r="G71" s="236">
        <f t="shared" si="20"/>
        <v>0</v>
      </c>
      <c r="H71" s="276"/>
      <c r="I71" s="235">
        <f>+'2022 BUDGET'!M77</f>
        <v>0</v>
      </c>
      <c r="J71" s="236">
        <f t="shared" si="21"/>
        <v>0</v>
      </c>
      <c r="K71" s="237">
        <f t="shared" si="22"/>
        <v>0</v>
      </c>
      <c r="L71" s="235">
        <f t="shared" si="23"/>
        <v>0</v>
      </c>
      <c r="M71" s="236">
        <f t="shared" si="24"/>
        <v>0</v>
      </c>
      <c r="N71" s="237">
        <f>+K71+'TRIM 3'!N71</f>
        <v>0</v>
      </c>
      <c r="O71" s="235">
        <f>+L71+'TRIM 3'!O71</f>
        <v>0</v>
      </c>
      <c r="P71" s="236">
        <f>+M71+'TRIM 3'!P71</f>
        <v>0</v>
      </c>
      <c r="Q71" s="291"/>
      <c r="R71" s="291"/>
      <c r="S71" s="291"/>
    </row>
    <row r="72" spans="1:19" s="285" customFormat="1" ht="12.75">
      <c r="A72" s="282" t="str">
        <f>'2022 BUDGET'!A78</f>
        <v>Ministry's Events</v>
      </c>
      <c r="B72" s="276"/>
      <c r="C72" s="235">
        <f>+'2022 BUDGET'!K78</f>
        <v>263</v>
      </c>
      <c r="D72" s="236">
        <f t="shared" si="19"/>
        <v>-263</v>
      </c>
      <c r="E72" s="276"/>
      <c r="F72" s="235">
        <f>+'2022 BUDGET'!L78</f>
        <v>262</v>
      </c>
      <c r="G72" s="236">
        <f t="shared" si="20"/>
        <v>-262</v>
      </c>
      <c r="H72" s="276"/>
      <c r="I72" s="235">
        <f>+'2022 BUDGET'!M78</f>
        <v>263</v>
      </c>
      <c r="J72" s="236">
        <f t="shared" si="21"/>
        <v>-263</v>
      </c>
      <c r="K72" s="237">
        <f t="shared" si="22"/>
        <v>0</v>
      </c>
      <c r="L72" s="235">
        <f t="shared" si="23"/>
        <v>788</v>
      </c>
      <c r="M72" s="236">
        <f t="shared" si="24"/>
        <v>-788</v>
      </c>
      <c r="N72" s="237">
        <f>+K72+'TRIM 3'!N72</f>
        <v>0</v>
      </c>
      <c r="O72" s="235">
        <f>+L72+'TRIM 3'!O72</f>
        <v>2625</v>
      </c>
      <c r="P72" s="236">
        <f>+M72+'TRIM 3'!P72</f>
        <v>-2625</v>
      </c>
      <c r="Q72" s="291"/>
      <c r="R72" s="291"/>
      <c r="S72" s="291"/>
    </row>
    <row r="73" spans="1:19" s="285" customFormat="1" ht="12.75">
      <c r="A73" s="282" t="str">
        <f>'2022 BUDGET'!A79</f>
        <v>Contributions from people served</v>
      </c>
      <c r="B73" s="276"/>
      <c r="C73" s="235">
        <f>+'2022 BUDGET'!K79</f>
        <v>0</v>
      </c>
      <c r="D73" s="236">
        <f t="shared" si="19"/>
        <v>0</v>
      </c>
      <c r="E73" s="276"/>
      <c r="F73" s="235">
        <f>+'2022 BUDGET'!L79</f>
        <v>0</v>
      </c>
      <c r="G73" s="236">
        <f t="shared" si="20"/>
        <v>0</v>
      </c>
      <c r="H73" s="276"/>
      <c r="I73" s="235">
        <f>+'2022 BUDGET'!M79</f>
        <v>0</v>
      </c>
      <c r="J73" s="236">
        <f t="shared" si="21"/>
        <v>0</v>
      </c>
      <c r="K73" s="237">
        <f t="shared" si="22"/>
        <v>0</v>
      </c>
      <c r="L73" s="235">
        <f t="shared" si="23"/>
        <v>0</v>
      </c>
      <c r="M73" s="236">
        <f t="shared" si="24"/>
        <v>0</v>
      </c>
      <c r="N73" s="237">
        <f>+K73+'TRIM 3'!N73</f>
        <v>0</v>
      </c>
      <c r="O73" s="235">
        <f>+L73+'TRIM 3'!O73</f>
        <v>0</v>
      </c>
      <c r="P73" s="236">
        <f>+M73+'TRIM 3'!P73</f>
        <v>0</v>
      </c>
      <c r="Q73" s="291"/>
      <c r="R73" s="291"/>
      <c r="S73" s="291"/>
    </row>
    <row r="74" spans="1:19" s="285" customFormat="1" ht="12.75">
      <c r="A74" s="282" t="str">
        <f>'2022 BUDGET'!A80</f>
        <v>Sale of Ministry's products</v>
      </c>
      <c r="B74" s="276"/>
      <c r="C74" s="235">
        <f>+'2022 BUDGET'!K80</f>
        <v>0</v>
      </c>
      <c r="D74" s="236">
        <f t="shared" si="19"/>
        <v>0</v>
      </c>
      <c r="E74" s="276"/>
      <c r="F74" s="235">
        <f>+'2022 BUDGET'!L80</f>
        <v>0</v>
      </c>
      <c r="G74" s="236">
        <f t="shared" si="20"/>
        <v>0</v>
      </c>
      <c r="H74" s="276"/>
      <c r="I74" s="235">
        <f>+'2022 BUDGET'!M80</f>
        <v>0</v>
      </c>
      <c r="J74" s="236">
        <f t="shared" si="21"/>
        <v>0</v>
      </c>
      <c r="K74" s="237">
        <f t="shared" si="22"/>
        <v>0</v>
      </c>
      <c r="L74" s="235">
        <f t="shared" si="23"/>
        <v>0</v>
      </c>
      <c r="M74" s="236">
        <f t="shared" si="24"/>
        <v>0</v>
      </c>
      <c r="N74" s="237">
        <f>+K74+'TRIM 3'!N74</f>
        <v>0</v>
      </c>
      <c r="O74" s="235">
        <f>+L74+'TRIM 3'!O74</f>
        <v>0</v>
      </c>
      <c r="P74" s="236">
        <f>+M74+'TRIM 3'!P74</f>
        <v>0</v>
      </c>
      <c r="Q74" s="291"/>
      <c r="R74" s="291"/>
      <c r="S74" s="291"/>
    </row>
    <row r="75" spans="1:19" s="285" customFormat="1" ht="12.75">
      <c r="A75" s="282" t="str">
        <f>'2022 BUDGET'!A81</f>
        <v>Outside Grants</v>
      </c>
      <c r="B75" s="276"/>
      <c r="C75" s="235">
        <f>+'2022 BUDGET'!K81</f>
        <v>0</v>
      </c>
      <c r="D75" s="236">
        <f t="shared" si="19"/>
        <v>0</v>
      </c>
      <c r="E75" s="276"/>
      <c r="F75" s="235">
        <f>+'2022 BUDGET'!L81</f>
        <v>0</v>
      </c>
      <c r="G75" s="236">
        <f t="shared" si="20"/>
        <v>0</v>
      </c>
      <c r="H75" s="276">
        <v>1000</v>
      </c>
      <c r="I75" s="235">
        <f>+'2022 BUDGET'!M81</f>
        <v>2500</v>
      </c>
      <c r="J75" s="236">
        <f t="shared" si="21"/>
        <v>-1500</v>
      </c>
      <c r="K75" s="237">
        <f t="shared" si="22"/>
        <v>1000</v>
      </c>
      <c r="L75" s="235">
        <f t="shared" si="23"/>
        <v>2500</v>
      </c>
      <c r="M75" s="236">
        <f t="shared" si="24"/>
        <v>-1500</v>
      </c>
      <c r="N75" s="237">
        <f>+K75+'TRIM 3'!N75</f>
        <v>3100</v>
      </c>
      <c r="O75" s="235">
        <f>+L75+'TRIM 3'!O75</f>
        <v>5000</v>
      </c>
      <c r="P75" s="236">
        <f>+M75+'TRIM 3'!P75</f>
        <v>-1900</v>
      </c>
      <c r="Q75" s="291"/>
      <c r="R75" s="291"/>
      <c r="S75" s="291"/>
    </row>
    <row r="76" spans="1:19" s="285" customFormat="1" ht="12.75">
      <c r="A76" s="282" t="str">
        <f>'2022 BUDGET'!A82</f>
        <v>Contributions Individuals</v>
      </c>
      <c r="B76" s="276">
        <v>35</v>
      </c>
      <c r="C76" s="235">
        <f>+'2022 BUDGET'!K82</f>
        <v>150</v>
      </c>
      <c r="D76" s="236">
        <f t="shared" si="19"/>
        <v>-115</v>
      </c>
      <c r="E76" s="276">
        <v>20</v>
      </c>
      <c r="F76" s="235">
        <f>+'2022 BUDGET'!L82</f>
        <v>150</v>
      </c>
      <c r="G76" s="236">
        <f t="shared" si="20"/>
        <v>-130</v>
      </c>
      <c r="H76" s="276">
        <v>493</v>
      </c>
      <c r="I76" s="235">
        <f>+'2022 BUDGET'!M82</f>
        <v>150</v>
      </c>
      <c r="J76" s="236">
        <f t="shared" si="21"/>
        <v>343</v>
      </c>
      <c r="K76" s="237">
        <f t="shared" si="22"/>
        <v>548</v>
      </c>
      <c r="L76" s="235">
        <f t="shared" si="23"/>
        <v>450</v>
      </c>
      <c r="M76" s="236">
        <f t="shared" si="24"/>
        <v>98</v>
      </c>
      <c r="N76" s="237">
        <f>+K76+'TRIM 3'!N76</f>
        <v>2974.05</v>
      </c>
      <c r="O76" s="235">
        <f>+L76+'TRIM 3'!O76</f>
        <v>1800</v>
      </c>
      <c r="P76" s="236">
        <f>+M76+'TRIM 3'!P76</f>
        <v>1174.05</v>
      </c>
      <c r="Q76" s="291"/>
      <c r="R76" s="291"/>
      <c r="S76" s="291"/>
    </row>
    <row r="77" spans="1:19" s="285" customFormat="1" ht="12.75">
      <c r="A77" s="282" t="str">
        <f>'2022 BUDGET'!A83</f>
        <v>Contributions Businesses</v>
      </c>
      <c r="B77" s="276"/>
      <c r="C77" s="235">
        <f>+'2022 BUDGET'!K83</f>
        <v>0</v>
      </c>
      <c r="D77" s="236">
        <f t="shared" si="19"/>
        <v>0</v>
      </c>
      <c r="E77" s="276">
        <v>100</v>
      </c>
      <c r="F77" s="235">
        <f>+'2022 BUDGET'!L83</f>
        <v>0</v>
      </c>
      <c r="G77" s="236">
        <f t="shared" si="20"/>
        <v>100</v>
      </c>
      <c r="H77" s="276">
        <v>800</v>
      </c>
      <c r="I77" s="235">
        <f>+'2022 BUDGET'!M83</f>
        <v>875</v>
      </c>
      <c r="J77" s="236">
        <f t="shared" si="21"/>
        <v>-75</v>
      </c>
      <c r="K77" s="237">
        <f t="shared" si="22"/>
        <v>900</v>
      </c>
      <c r="L77" s="235">
        <f t="shared" si="23"/>
        <v>875</v>
      </c>
      <c r="M77" s="236">
        <f t="shared" si="24"/>
        <v>25</v>
      </c>
      <c r="N77" s="237">
        <f>+K77+'TRIM 3'!N77</f>
        <v>2987.5</v>
      </c>
      <c r="O77" s="235">
        <f>+L77+'TRIM 3'!O77</f>
        <v>1750</v>
      </c>
      <c r="P77" s="236">
        <f>+M77+'TRIM 3'!P77</f>
        <v>1237.5</v>
      </c>
      <c r="Q77" s="291"/>
      <c r="R77" s="291"/>
      <c r="S77" s="291"/>
    </row>
    <row r="78" spans="1:19" s="285" customFormat="1" ht="12.75">
      <c r="A78" s="282">
        <f>'2022 BUDGET'!A86</f>
        <v>0</v>
      </c>
      <c r="B78" s="276"/>
      <c r="C78" s="235">
        <f>+'2022 BUDGET'!K84</f>
        <v>0</v>
      </c>
      <c r="D78" s="236">
        <f t="shared" si="19"/>
        <v>0</v>
      </c>
      <c r="E78" s="276"/>
      <c r="F78" s="235">
        <f>+'2022 BUDGET'!L84</f>
        <v>0</v>
      </c>
      <c r="G78" s="236">
        <f t="shared" si="20"/>
        <v>0</v>
      </c>
      <c r="H78" s="276"/>
      <c r="I78" s="235">
        <f>+'2022 BUDGET'!M84</f>
        <v>0</v>
      </c>
      <c r="J78" s="236">
        <f t="shared" si="21"/>
        <v>0</v>
      </c>
      <c r="K78" s="237">
        <f t="shared" si="22"/>
        <v>0</v>
      </c>
      <c r="L78" s="235">
        <f t="shared" si="23"/>
        <v>0</v>
      </c>
      <c r="M78" s="236">
        <f t="shared" si="24"/>
        <v>0</v>
      </c>
      <c r="N78" s="237">
        <f>+K78+'TRIM 3'!N78</f>
        <v>0</v>
      </c>
      <c r="O78" s="235">
        <f>+L78+'TRIM 3'!O78</f>
        <v>0</v>
      </c>
      <c r="P78" s="236">
        <f>+M78+'TRIM 3'!P78</f>
        <v>0</v>
      </c>
      <c r="Q78" s="291"/>
      <c r="R78" s="291"/>
      <c r="S78" s="291"/>
    </row>
    <row r="79" spans="1:19" s="285" customFormat="1" ht="12.75">
      <c r="A79" s="282">
        <f>'2022 BUDGET'!A87</f>
        <v>0</v>
      </c>
      <c r="B79" s="276"/>
      <c r="C79" s="235">
        <f>+'2022 BUDGET'!K85</f>
        <v>0</v>
      </c>
      <c r="D79" s="236">
        <f t="shared" si="19"/>
        <v>0</v>
      </c>
      <c r="E79" s="276"/>
      <c r="F79" s="235">
        <f>+'2022 BUDGET'!L85</f>
        <v>0</v>
      </c>
      <c r="G79" s="236">
        <f t="shared" si="20"/>
        <v>0</v>
      </c>
      <c r="H79" s="276"/>
      <c r="I79" s="235">
        <f>+'2022 BUDGET'!M85</f>
        <v>0</v>
      </c>
      <c r="J79" s="236">
        <f t="shared" si="21"/>
        <v>0</v>
      </c>
      <c r="K79" s="237">
        <f t="shared" si="22"/>
        <v>0</v>
      </c>
      <c r="L79" s="235">
        <f t="shared" si="23"/>
        <v>0</v>
      </c>
      <c r="M79" s="236">
        <f t="shared" si="24"/>
        <v>0</v>
      </c>
      <c r="N79" s="237">
        <f>+K79+'TRIM 3'!N79</f>
        <v>0</v>
      </c>
      <c r="O79" s="235">
        <f>+L79+'TRIM 3'!O79</f>
        <v>0</v>
      </c>
      <c r="P79" s="236">
        <f>+M79+'TRIM 3'!P79</f>
        <v>0</v>
      </c>
      <c r="Q79" s="291"/>
      <c r="R79" s="291"/>
      <c r="S79" s="291"/>
    </row>
    <row r="80" spans="1:19" s="285" customFormat="1" ht="12.75">
      <c r="A80" s="282">
        <f>'2022 BUDGET'!A88</f>
        <v>0</v>
      </c>
      <c r="B80" s="276"/>
      <c r="C80" s="235">
        <f>+'2022 BUDGET'!K86</f>
        <v>0</v>
      </c>
      <c r="D80" s="236">
        <f t="shared" si="19"/>
        <v>0</v>
      </c>
      <c r="E80" s="276"/>
      <c r="F80" s="235">
        <f>+'2022 BUDGET'!L86</f>
        <v>0</v>
      </c>
      <c r="G80" s="236">
        <f t="shared" si="20"/>
        <v>0</v>
      </c>
      <c r="H80" s="276"/>
      <c r="I80" s="235">
        <f>+'2022 BUDGET'!M86</f>
        <v>0</v>
      </c>
      <c r="J80" s="236">
        <f t="shared" si="21"/>
        <v>0</v>
      </c>
      <c r="K80" s="237">
        <f t="shared" si="22"/>
        <v>0</v>
      </c>
      <c r="L80" s="235">
        <f t="shared" si="23"/>
        <v>0</v>
      </c>
      <c r="M80" s="236">
        <f t="shared" si="24"/>
        <v>0</v>
      </c>
      <c r="N80" s="237">
        <f>+K80+'TRIM 3'!N80</f>
        <v>0</v>
      </c>
      <c r="O80" s="235">
        <f>+L80+'TRIM 3'!O80</f>
        <v>0</v>
      </c>
      <c r="P80" s="236">
        <f>+M80+'TRIM 3'!P80</f>
        <v>0</v>
      </c>
      <c r="Q80" s="291"/>
      <c r="R80" s="291"/>
      <c r="S80" s="291"/>
    </row>
    <row r="81" spans="1:19" s="285" customFormat="1" ht="12.75">
      <c r="A81" s="282">
        <f>'2022 BUDGET'!A89</f>
        <v>0</v>
      </c>
      <c r="B81" s="276"/>
      <c r="C81" s="235">
        <f>+'2022 BUDGET'!K87</f>
        <v>0</v>
      </c>
      <c r="D81" s="236">
        <f t="shared" si="19"/>
        <v>0</v>
      </c>
      <c r="E81" s="276"/>
      <c r="F81" s="235">
        <f>+'2022 BUDGET'!L87</f>
        <v>0</v>
      </c>
      <c r="G81" s="236">
        <f t="shared" si="20"/>
        <v>0</v>
      </c>
      <c r="H81" s="276"/>
      <c r="I81" s="235">
        <f>+'2022 BUDGET'!M87</f>
        <v>0</v>
      </c>
      <c r="J81" s="236">
        <f t="shared" si="21"/>
        <v>0</v>
      </c>
      <c r="K81" s="237">
        <f t="shared" si="22"/>
        <v>0</v>
      </c>
      <c r="L81" s="235">
        <f t="shared" si="23"/>
        <v>0</v>
      </c>
      <c r="M81" s="236">
        <f t="shared" si="24"/>
        <v>0</v>
      </c>
      <c r="N81" s="237">
        <f>+K81+'TRIM 3'!N81</f>
        <v>0</v>
      </c>
      <c r="O81" s="235">
        <f>+L81+'TRIM 3'!O81</f>
        <v>0</v>
      </c>
      <c r="P81" s="236">
        <f>+M81+'TRIM 3'!P81</f>
        <v>0</v>
      </c>
      <c r="Q81" s="291"/>
      <c r="R81" s="291"/>
      <c r="S81" s="291"/>
    </row>
    <row r="82" spans="1:19" s="285" customFormat="1" ht="12.75">
      <c r="A82" s="282">
        <f>'2022 BUDGET'!A90</f>
        <v>0</v>
      </c>
      <c r="B82" s="276"/>
      <c r="C82" s="235">
        <f>+'2022 BUDGET'!K88</f>
        <v>0</v>
      </c>
      <c r="D82" s="236">
        <f t="shared" si="19"/>
        <v>0</v>
      </c>
      <c r="E82" s="276"/>
      <c r="F82" s="235">
        <f>+'2022 BUDGET'!L88</f>
        <v>0</v>
      </c>
      <c r="G82" s="236">
        <f t="shared" si="20"/>
        <v>0</v>
      </c>
      <c r="H82" s="276"/>
      <c r="I82" s="235">
        <f>+'2022 BUDGET'!M88</f>
        <v>0</v>
      </c>
      <c r="J82" s="236">
        <f t="shared" si="21"/>
        <v>0</v>
      </c>
      <c r="K82" s="237">
        <f t="shared" si="22"/>
        <v>0</v>
      </c>
      <c r="L82" s="235">
        <f t="shared" si="23"/>
        <v>0</v>
      </c>
      <c r="M82" s="236">
        <f t="shared" si="24"/>
        <v>0</v>
      </c>
      <c r="N82" s="237">
        <f>+K82+'TRIM 3'!N82</f>
        <v>0</v>
      </c>
      <c r="O82" s="235">
        <f>+L82+'TRIM 3'!O82</f>
        <v>0</v>
      </c>
      <c r="P82" s="236">
        <f>+M82+'TRIM 3'!P82</f>
        <v>0</v>
      </c>
      <c r="Q82" s="291"/>
      <c r="R82" s="291"/>
      <c r="S82" s="291"/>
    </row>
    <row r="83" spans="1:19" s="285" customFormat="1" ht="12.75">
      <c r="A83" s="282">
        <f>'2022 BUDGET'!A91</f>
        <v>0</v>
      </c>
      <c r="B83" s="276"/>
      <c r="C83" s="235">
        <f>+'2022 BUDGET'!K89</f>
        <v>0</v>
      </c>
      <c r="D83" s="236">
        <f t="shared" si="19"/>
        <v>0</v>
      </c>
      <c r="E83" s="276"/>
      <c r="F83" s="235">
        <f>+'2022 BUDGET'!L89</f>
        <v>0</v>
      </c>
      <c r="G83" s="236">
        <f t="shared" si="20"/>
        <v>0</v>
      </c>
      <c r="H83" s="276"/>
      <c r="I83" s="235">
        <f>+'2022 BUDGET'!M89</f>
        <v>0</v>
      </c>
      <c r="J83" s="236">
        <f t="shared" si="21"/>
        <v>0</v>
      </c>
      <c r="K83" s="237">
        <f t="shared" si="22"/>
        <v>0</v>
      </c>
      <c r="L83" s="235">
        <f t="shared" si="23"/>
        <v>0</v>
      </c>
      <c r="M83" s="236">
        <f t="shared" si="24"/>
        <v>0</v>
      </c>
      <c r="N83" s="237">
        <f>+K83+'TRIM 3'!N83</f>
        <v>0</v>
      </c>
      <c r="O83" s="235">
        <f>+L83+'TRIM 3'!O83</f>
        <v>0</v>
      </c>
      <c r="P83" s="236">
        <f>+M83+'TRIM 3'!P83</f>
        <v>0</v>
      </c>
      <c r="Q83" s="291"/>
      <c r="R83" s="291"/>
      <c r="S83" s="291"/>
    </row>
    <row r="84" spans="1:19" s="285" customFormat="1" ht="12.75">
      <c r="A84" s="282">
        <f>'2022 BUDGET'!A92</f>
        <v>0</v>
      </c>
      <c r="B84" s="276"/>
      <c r="C84" s="235">
        <f>+'2022 BUDGET'!K90</f>
        <v>0</v>
      </c>
      <c r="D84" s="236">
        <f t="shared" si="19"/>
        <v>0</v>
      </c>
      <c r="E84" s="276"/>
      <c r="F84" s="235">
        <f>+'2022 BUDGET'!L90</f>
        <v>0</v>
      </c>
      <c r="G84" s="236">
        <f t="shared" si="20"/>
        <v>0</v>
      </c>
      <c r="H84" s="276"/>
      <c r="I84" s="235">
        <f>+'2022 BUDGET'!M90</f>
        <v>0</v>
      </c>
      <c r="J84" s="236">
        <f t="shared" si="21"/>
        <v>0</v>
      </c>
      <c r="K84" s="237">
        <f t="shared" si="22"/>
        <v>0</v>
      </c>
      <c r="L84" s="235">
        <f t="shared" si="23"/>
        <v>0</v>
      </c>
      <c r="M84" s="236">
        <f t="shared" si="24"/>
        <v>0</v>
      </c>
      <c r="N84" s="237">
        <f>+K84+'TRIM 3'!N84</f>
        <v>0</v>
      </c>
      <c r="O84" s="235">
        <f>+L84+'TRIM 3'!O84</f>
        <v>0</v>
      </c>
      <c r="P84" s="236">
        <f>+M84+'TRIM 3'!P84</f>
        <v>0</v>
      </c>
      <c r="Q84" s="291"/>
      <c r="R84" s="291"/>
      <c r="S84" s="291"/>
    </row>
    <row r="85" spans="1:19" s="285" customFormat="1" ht="12.75">
      <c r="A85" s="282">
        <f>'2022 BUDGET'!A91</f>
        <v>0</v>
      </c>
      <c r="B85" s="276"/>
      <c r="C85" s="235">
        <f>+'2022 BUDGET'!K91</f>
        <v>0</v>
      </c>
      <c r="D85" s="236">
        <f t="shared" si="19"/>
        <v>0</v>
      </c>
      <c r="E85" s="276"/>
      <c r="F85" s="235">
        <f>+'2022 BUDGET'!L91</f>
        <v>0</v>
      </c>
      <c r="G85" s="236">
        <f t="shared" si="20"/>
        <v>0</v>
      </c>
      <c r="H85" s="276"/>
      <c r="I85" s="235">
        <f>+'2022 BUDGET'!M91</f>
        <v>0</v>
      </c>
      <c r="J85" s="236">
        <f t="shared" si="21"/>
        <v>0</v>
      </c>
      <c r="K85" s="237">
        <f t="shared" si="22"/>
        <v>0</v>
      </c>
      <c r="L85" s="235">
        <f t="shared" si="23"/>
        <v>0</v>
      </c>
      <c r="M85" s="236">
        <f t="shared" si="24"/>
        <v>0</v>
      </c>
      <c r="N85" s="237">
        <f>+K85+'TRIM 3'!N85</f>
        <v>0</v>
      </c>
      <c r="O85" s="235">
        <f>+L85+'TRIM 3'!O85</f>
        <v>0</v>
      </c>
      <c r="P85" s="236">
        <f>+M85+'TRIM 3'!P85</f>
        <v>0</v>
      </c>
      <c r="Q85" s="291"/>
      <c r="R85" s="291"/>
      <c r="S85" s="291"/>
    </row>
    <row r="86" spans="1:19" s="285" customFormat="1" ht="12.75">
      <c r="A86" s="282">
        <f>'2022 BUDGET'!A92</f>
        <v>0</v>
      </c>
      <c r="B86" s="276"/>
      <c r="C86" s="235">
        <f>+'2022 BUDGET'!K92</f>
        <v>0</v>
      </c>
      <c r="D86" s="236">
        <f t="shared" si="19"/>
        <v>0</v>
      </c>
      <c r="E86" s="276"/>
      <c r="F86" s="235">
        <f>+'2022 BUDGET'!L92</f>
        <v>0</v>
      </c>
      <c r="G86" s="236">
        <f t="shared" si="20"/>
        <v>0</v>
      </c>
      <c r="H86" s="276"/>
      <c r="I86" s="235">
        <f>+'2022 BUDGET'!M92</f>
        <v>0</v>
      </c>
      <c r="J86" s="236">
        <f t="shared" si="21"/>
        <v>0</v>
      </c>
      <c r="K86" s="237">
        <f t="shared" si="22"/>
        <v>0</v>
      </c>
      <c r="L86" s="235">
        <f t="shared" si="23"/>
        <v>0</v>
      </c>
      <c r="M86" s="236">
        <f t="shared" si="24"/>
        <v>0</v>
      </c>
      <c r="N86" s="237">
        <f>+K86+'TRIM 3'!N86</f>
        <v>0</v>
      </c>
      <c r="O86" s="235">
        <f>+L86+'TRIM 3'!O86</f>
        <v>0</v>
      </c>
      <c r="P86" s="236">
        <f>+M86+'TRIM 3'!P86</f>
        <v>0</v>
      </c>
      <c r="Q86" s="291"/>
      <c r="R86" s="291"/>
      <c r="S86" s="291"/>
    </row>
    <row r="87" spans="1:19" s="285" customFormat="1" ht="12.75">
      <c r="A87" s="286" t="str">
        <f>'2022 BUDGET'!A93</f>
        <v>TOTAL OTHER INCOME</v>
      </c>
      <c r="B87" s="284">
        <f aca="true" t="shared" si="25" ref="B87:P87">SUM(B68:B86)</f>
        <v>35</v>
      </c>
      <c r="C87" s="284">
        <f t="shared" si="25"/>
        <v>413</v>
      </c>
      <c r="D87" s="284">
        <f t="shared" si="25"/>
        <v>-378</v>
      </c>
      <c r="E87" s="284">
        <f t="shared" si="25"/>
        <v>120</v>
      </c>
      <c r="F87" s="284">
        <f t="shared" si="25"/>
        <v>412</v>
      </c>
      <c r="G87" s="284">
        <f t="shared" si="25"/>
        <v>-292</v>
      </c>
      <c r="H87" s="284">
        <f t="shared" si="25"/>
        <v>2293</v>
      </c>
      <c r="I87" s="284">
        <f t="shared" si="25"/>
        <v>3788</v>
      </c>
      <c r="J87" s="284">
        <f t="shared" si="25"/>
        <v>-1495</v>
      </c>
      <c r="K87" s="284">
        <f t="shared" si="25"/>
        <v>2448</v>
      </c>
      <c r="L87" s="284">
        <f t="shared" si="25"/>
        <v>4613</v>
      </c>
      <c r="M87" s="284">
        <f t="shared" si="25"/>
        <v>-2165</v>
      </c>
      <c r="N87" s="284">
        <f t="shared" si="25"/>
        <v>9061.55</v>
      </c>
      <c r="O87" s="284">
        <f t="shared" si="25"/>
        <v>11175</v>
      </c>
      <c r="P87" s="284">
        <f t="shared" si="25"/>
        <v>-2113.45</v>
      </c>
      <c r="Q87" s="291"/>
      <c r="R87" s="291"/>
      <c r="S87" s="291"/>
    </row>
    <row r="88" spans="1:19" s="285" customFormat="1" ht="12.75">
      <c r="A88" s="281">
        <f>'2022 BUDGET'!A94</f>
        <v>0</v>
      </c>
      <c r="B88" s="287"/>
      <c r="C88" s="248"/>
      <c r="D88" s="249"/>
      <c r="E88" s="287"/>
      <c r="F88" s="248"/>
      <c r="G88" s="249"/>
      <c r="H88" s="287"/>
      <c r="I88" s="248"/>
      <c r="J88" s="249"/>
      <c r="K88" s="250"/>
      <c r="L88" s="248"/>
      <c r="M88" s="249"/>
      <c r="N88" s="250"/>
      <c r="O88" s="248"/>
      <c r="P88" s="251"/>
      <c r="Q88" s="291"/>
      <c r="R88" s="291"/>
      <c r="S88" s="291"/>
    </row>
    <row r="89" spans="1:19" s="285" customFormat="1" ht="12.75">
      <c r="A89" s="286" t="str">
        <f>'2022 BUDGET'!A95</f>
        <v>TOTAL INCOME</v>
      </c>
      <c r="B89" s="269">
        <f aca="true" t="shared" si="26" ref="B89:P89">B87+B67+B62</f>
        <v>35</v>
      </c>
      <c r="C89" s="269">
        <f t="shared" si="26"/>
        <v>10413</v>
      </c>
      <c r="D89" s="269">
        <f t="shared" si="26"/>
        <v>-10378</v>
      </c>
      <c r="E89" s="269">
        <f t="shared" si="26"/>
        <v>120</v>
      </c>
      <c r="F89" s="269">
        <f t="shared" si="26"/>
        <v>412</v>
      </c>
      <c r="G89" s="269">
        <f t="shared" si="26"/>
        <v>-292</v>
      </c>
      <c r="H89" s="269">
        <f t="shared" si="26"/>
        <v>2293</v>
      </c>
      <c r="I89" s="269">
        <f t="shared" si="26"/>
        <v>3788</v>
      </c>
      <c r="J89" s="269">
        <f t="shared" si="26"/>
        <v>-1495</v>
      </c>
      <c r="K89" s="269">
        <f t="shared" si="26"/>
        <v>2448</v>
      </c>
      <c r="L89" s="269">
        <f t="shared" si="26"/>
        <v>14613</v>
      </c>
      <c r="M89" s="269">
        <f t="shared" si="26"/>
        <v>-12165</v>
      </c>
      <c r="N89" s="269">
        <f t="shared" si="26"/>
        <v>19061.55</v>
      </c>
      <c r="O89" s="269">
        <f t="shared" si="26"/>
        <v>51175</v>
      </c>
      <c r="P89" s="269">
        <f t="shared" si="26"/>
        <v>-32113.45</v>
      </c>
      <c r="Q89" s="291"/>
      <c r="R89" s="291"/>
      <c r="S89" s="291"/>
    </row>
    <row r="90" spans="1:19" s="285" customFormat="1" ht="13.5" thickBot="1">
      <c r="A90" s="282">
        <f>'2022 BUDGET'!A96</f>
        <v>0</v>
      </c>
      <c r="B90" s="288"/>
      <c r="C90" s="235"/>
      <c r="D90" s="236"/>
      <c r="E90" s="288"/>
      <c r="F90" s="235"/>
      <c r="G90" s="236"/>
      <c r="H90" s="288"/>
      <c r="I90" s="235"/>
      <c r="J90" s="236"/>
      <c r="K90" s="237"/>
      <c r="L90" s="235"/>
      <c r="M90" s="236"/>
      <c r="N90" s="237"/>
      <c r="O90" s="235"/>
      <c r="P90" s="238"/>
      <c r="Q90" s="291"/>
      <c r="R90" s="291"/>
      <c r="S90" s="291"/>
    </row>
    <row r="91" spans="1:16" ht="14.25" thickBot="1" thickTop="1">
      <c r="A91" s="289" t="s">
        <v>43</v>
      </c>
      <c r="B91" s="290">
        <f aca="true" t="shared" si="27" ref="B91:P91">B89-B58</f>
        <v>375.5599999999995</v>
      </c>
      <c r="C91" s="290">
        <f t="shared" si="27"/>
        <v>5433.33</v>
      </c>
      <c r="D91" s="290">
        <f t="shared" si="27"/>
        <v>-5057.77</v>
      </c>
      <c r="E91" s="290">
        <f t="shared" si="27"/>
        <v>372.3499999999999</v>
      </c>
      <c r="F91" s="290">
        <f t="shared" si="27"/>
        <v>-4266.68</v>
      </c>
      <c r="G91" s="290">
        <f t="shared" si="27"/>
        <v>4639.030000000001</v>
      </c>
      <c r="H91" s="290">
        <f t="shared" si="27"/>
        <v>2271.4199999999996</v>
      </c>
      <c r="I91" s="290">
        <f t="shared" si="27"/>
        <v>-910.4700000000003</v>
      </c>
      <c r="J91" s="290">
        <f t="shared" si="27"/>
        <v>3181.8899999999994</v>
      </c>
      <c r="K91" s="290">
        <f t="shared" si="27"/>
        <v>3019.329999999999</v>
      </c>
      <c r="L91" s="290">
        <f t="shared" si="27"/>
        <v>256.1800000000021</v>
      </c>
      <c r="M91" s="290">
        <f t="shared" si="27"/>
        <v>2763.149999999998</v>
      </c>
      <c r="N91" s="290">
        <f t="shared" si="27"/>
        <v>12780.719999999996</v>
      </c>
      <c r="O91" s="290">
        <f t="shared" si="27"/>
        <v>-9674.460000000006</v>
      </c>
      <c r="P91" s="290">
        <f t="shared" si="27"/>
        <v>22455.180000000004</v>
      </c>
    </row>
    <row r="92" spans="2:16" s="291" customFormat="1" ht="13.5" thickTop="1">
      <c r="B92" s="244"/>
      <c r="C92" s="245"/>
      <c r="D92" s="246"/>
      <c r="E92" s="244"/>
      <c r="F92" s="245"/>
      <c r="G92" s="246"/>
      <c r="H92" s="244"/>
      <c r="I92" s="245"/>
      <c r="J92" s="246"/>
      <c r="K92" s="250"/>
      <c r="L92" s="248"/>
      <c r="M92" s="249"/>
      <c r="N92" s="250"/>
      <c r="O92" s="248"/>
      <c r="P92" s="251"/>
    </row>
    <row r="93" spans="1:16" s="291" customFormat="1" ht="12.75">
      <c r="A93" s="292" t="s">
        <v>133</v>
      </c>
      <c r="B93" s="244"/>
      <c r="C93" s="245"/>
      <c r="D93" s="246"/>
      <c r="E93" s="244"/>
      <c r="F93" s="245"/>
      <c r="G93" s="246"/>
      <c r="H93" s="244"/>
      <c r="I93" s="245"/>
      <c r="J93" s="246"/>
      <c r="K93" s="250"/>
      <c r="L93" s="248"/>
      <c r="M93" s="249"/>
      <c r="N93" s="250"/>
      <c r="O93" s="248"/>
      <c r="P93" s="251"/>
    </row>
    <row r="94" spans="1:16" ht="12.75">
      <c r="A94" s="219"/>
      <c r="B94" s="293" t="str">
        <f aca="true" t="shared" si="28" ref="B94:P94">+B8</f>
        <v>ACTUALS</v>
      </c>
      <c r="C94" s="294" t="str">
        <f t="shared" si="28"/>
        <v>BUDGET</v>
      </c>
      <c r="D94" s="295" t="str">
        <f t="shared" si="28"/>
        <v>DIFF.</v>
      </c>
      <c r="E94" s="293" t="str">
        <f t="shared" si="28"/>
        <v>ACTUALS</v>
      </c>
      <c r="F94" s="294" t="str">
        <f t="shared" si="28"/>
        <v>BUDGET</v>
      </c>
      <c r="G94" s="295" t="str">
        <f t="shared" si="28"/>
        <v>DIFF.</v>
      </c>
      <c r="H94" s="293" t="str">
        <f t="shared" si="28"/>
        <v>ACTUALS</v>
      </c>
      <c r="I94" s="294" t="str">
        <f t="shared" si="28"/>
        <v>BUDGET</v>
      </c>
      <c r="J94" s="295" t="str">
        <f t="shared" si="28"/>
        <v>DIFF.</v>
      </c>
      <c r="K94" s="296" t="str">
        <f t="shared" si="28"/>
        <v>ACTUALS</v>
      </c>
      <c r="L94" s="294" t="str">
        <f t="shared" si="28"/>
        <v>BUDGET</v>
      </c>
      <c r="M94" s="295" t="str">
        <f t="shared" si="28"/>
        <v>DIFF.</v>
      </c>
      <c r="N94" s="296" t="str">
        <f t="shared" si="28"/>
        <v>ACTUALS</v>
      </c>
      <c r="O94" s="294" t="str">
        <f t="shared" si="28"/>
        <v>BUDGET</v>
      </c>
      <c r="P94" s="297" t="str">
        <f t="shared" si="28"/>
        <v>DIFF.</v>
      </c>
    </row>
    <row r="95" spans="1:16" ht="19.5" customHeight="1">
      <c r="A95" s="259" t="s">
        <v>166</v>
      </c>
      <c r="B95" s="298">
        <f>B42</f>
        <v>-2573.22</v>
      </c>
      <c r="C95" s="298">
        <f>C42</f>
        <v>651</v>
      </c>
      <c r="D95" s="299">
        <f>+B95-C95</f>
        <v>-3224.22</v>
      </c>
      <c r="E95" s="298">
        <f>E42</f>
        <v>-2495.6099999999997</v>
      </c>
      <c r="F95" s="298">
        <f>F42</f>
        <v>350</v>
      </c>
      <c r="G95" s="299">
        <f>+E95-F95</f>
        <v>-2845.6099999999997</v>
      </c>
      <c r="H95" s="298">
        <f>H42</f>
        <v>-2501.6</v>
      </c>
      <c r="I95" s="298">
        <f>I42</f>
        <v>369.8</v>
      </c>
      <c r="J95" s="299">
        <f>+H95-I95</f>
        <v>-2871.4</v>
      </c>
      <c r="K95" s="298">
        <f>+B95+E95+H95</f>
        <v>-7570.43</v>
      </c>
      <c r="L95" s="298">
        <f>+C95+F95+I95</f>
        <v>1370.8</v>
      </c>
      <c r="M95" s="299">
        <f>D95+G95+J95</f>
        <v>-8941.23</v>
      </c>
      <c r="N95" s="298">
        <f>+K95+'TRIM 3'!N95</f>
        <v>-11261.41</v>
      </c>
      <c r="O95" s="298">
        <f>+L95+'TRIM 3'!O95</f>
        <v>5462.3</v>
      </c>
      <c r="P95" s="298">
        <f>+M95+'TRIM 3'!P95</f>
        <v>-16723.71</v>
      </c>
    </row>
    <row r="96" spans="1:16" ht="19.5" customHeight="1">
      <c r="A96" s="259" t="s">
        <v>182</v>
      </c>
      <c r="B96" s="301">
        <f>B56</f>
        <v>2232.6600000000003</v>
      </c>
      <c r="C96" s="301">
        <f>C56</f>
        <v>4328.67</v>
      </c>
      <c r="D96" s="236">
        <f>+B96-C96</f>
        <v>-2096.0099999999998</v>
      </c>
      <c r="E96" s="301">
        <f>SUM(E56)</f>
        <v>2243.2599999999998</v>
      </c>
      <c r="F96" s="301">
        <f>SUM(F56)</f>
        <v>4328.68</v>
      </c>
      <c r="G96" s="236">
        <f>+E96-F96</f>
        <v>-2085.4200000000005</v>
      </c>
      <c r="H96" s="301">
        <f>SUM(H56)</f>
        <v>2523.1800000000003</v>
      </c>
      <c r="I96" s="301">
        <f>SUM(I56)</f>
        <v>4328.67</v>
      </c>
      <c r="J96" s="236">
        <f>+H96-I96</f>
        <v>-1805.4899999999998</v>
      </c>
      <c r="K96" s="301">
        <f>+B96+E96+H96</f>
        <v>6999.1</v>
      </c>
      <c r="L96" s="301">
        <f>+C96+F96+I96</f>
        <v>12986.02</v>
      </c>
      <c r="M96" s="236">
        <f>D96+G96+J96</f>
        <v>-5986.92</v>
      </c>
      <c r="N96" s="298">
        <f>+K96+'TRIM 3'!N96</f>
        <v>17542.239999999998</v>
      </c>
      <c r="O96" s="298">
        <f>+L96+'TRIM 3'!O96</f>
        <v>55387.16</v>
      </c>
      <c r="P96" s="298">
        <f>+M96+'TRIM 3'!P96</f>
        <v>-37844.920000000006</v>
      </c>
    </row>
    <row r="97" spans="1:16" ht="19.5" customHeight="1">
      <c r="A97" s="302" t="s">
        <v>183</v>
      </c>
      <c r="B97" s="301">
        <f>B95+B96</f>
        <v>-340.5599999999995</v>
      </c>
      <c r="C97" s="301">
        <f aca="true" t="shared" si="29" ref="C97:M97">C95+C96</f>
        <v>4979.67</v>
      </c>
      <c r="D97" s="301">
        <f t="shared" si="29"/>
        <v>-5320.23</v>
      </c>
      <c r="E97" s="301">
        <f t="shared" si="29"/>
        <v>-252.3499999999999</v>
      </c>
      <c r="F97" s="301">
        <f t="shared" si="29"/>
        <v>4678.68</v>
      </c>
      <c r="G97" s="301">
        <f t="shared" si="29"/>
        <v>-4931.030000000001</v>
      </c>
      <c r="H97" s="301">
        <f t="shared" si="29"/>
        <v>21.580000000000382</v>
      </c>
      <c r="I97" s="301">
        <f t="shared" si="29"/>
        <v>4698.47</v>
      </c>
      <c r="J97" s="301">
        <f t="shared" si="29"/>
        <v>-4676.889999999999</v>
      </c>
      <c r="K97" s="301">
        <f t="shared" si="29"/>
        <v>-571.3299999999999</v>
      </c>
      <c r="L97" s="301">
        <f t="shared" si="29"/>
        <v>14356.82</v>
      </c>
      <c r="M97" s="301">
        <f t="shared" si="29"/>
        <v>-14928.15</v>
      </c>
      <c r="N97" s="298">
        <f>+K97+'TRIM 3'!N97</f>
        <v>6280.830000000001</v>
      </c>
      <c r="O97" s="298">
        <f>+L97+'TRIM 3'!O97</f>
        <v>60849.46</v>
      </c>
      <c r="P97" s="298">
        <f>+M97+'TRIM 3'!P97</f>
        <v>-54568.630000000005</v>
      </c>
    </row>
    <row r="98" spans="1:16" ht="19.5" customHeight="1">
      <c r="A98" s="303" t="s">
        <v>218</v>
      </c>
      <c r="B98" s="238">
        <f aca="true" t="shared" si="30" ref="B98:M98">B67</f>
        <v>0</v>
      </c>
      <c r="C98" s="237">
        <f t="shared" si="30"/>
        <v>10000</v>
      </c>
      <c r="D98" s="237">
        <f t="shared" si="30"/>
        <v>-10000</v>
      </c>
      <c r="E98" s="237">
        <f t="shared" si="30"/>
        <v>0</v>
      </c>
      <c r="F98" s="237">
        <f t="shared" si="30"/>
        <v>0</v>
      </c>
      <c r="G98" s="237">
        <f t="shared" si="30"/>
        <v>0</v>
      </c>
      <c r="H98" s="237">
        <f t="shared" si="30"/>
        <v>0</v>
      </c>
      <c r="I98" s="237">
        <f t="shared" si="30"/>
        <v>0</v>
      </c>
      <c r="J98" s="301">
        <f t="shared" si="30"/>
        <v>0</v>
      </c>
      <c r="K98" s="238">
        <f t="shared" si="30"/>
        <v>0</v>
      </c>
      <c r="L98" s="237">
        <f t="shared" si="30"/>
        <v>10000</v>
      </c>
      <c r="M98" s="237">
        <f t="shared" si="30"/>
        <v>-10000</v>
      </c>
      <c r="N98" s="298">
        <f>+K98+'TRIM 3'!N98</f>
        <v>10000</v>
      </c>
      <c r="O98" s="298">
        <f>+L98+'TRIM 3'!O98</f>
        <v>40000</v>
      </c>
      <c r="P98" s="298">
        <f>+M98+'TRIM 3'!P98</f>
        <v>-30000</v>
      </c>
    </row>
    <row r="99" spans="1:16" ht="19.5" customHeight="1">
      <c r="A99" s="304" t="s">
        <v>204</v>
      </c>
      <c r="B99" s="237">
        <f>B87</f>
        <v>35</v>
      </c>
      <c r="C99" s="237">
        <f aca="true" t="shared" si="31" ref="C99:M99">C87</f>
        <v>413</v>
      </c>
      <c r="D99" s="237">
        <f t="shared" si="31"/>
        <v>-378</v>
      </c>
      <c r="E99" s="237">
        <f t="shared" si="31"/>
        <v>120</v>
      </c>
      <c r="F99" s="237">
        <f t="shared" si="31"/>
        <v>412</v>
      </c>
      <c r="G99" s="237">
        <f t="shared" si="31"/>
        <v>-292</v>
      </c>
      <c r="H99" s="237">
        <f t="shared" si="31"/>
        <v>2293</v>
      </c>
      <c r="I99" s="237">
        <f t="shared" si="31"/>
        <v>3788</v>
      </c>
      <c r="J99" s="237">
        <f t="shared" si="31"/>
        <v>-1495</v>
      </c>
      <c r="K99" s="237">
        <f t="shared" si="31"/>
        <v>2448</v>
      </c>
      <c r="L99" s="237">
        <f t="shared" si="31"/>
        <v>4613</v>
      </c>
      <c r="M99" s="237">
        <f t="shared" si="31"/>
        <v>-2165</v>
      </c>
      <c r="N99" s="298">
        <f>+K99+'TRIM 3'!N99</f>
        <v>9061.55</v>
      </c>
      <c r="O99" s="298">
        <f>+L99+'TRIM 3'!O99</f>
        <v>11175</v>
      </c>
      <c r="P99" s="298">
        <f>+M99+'TRIM 3'!P99</f>
        <v>-2113.4500000000003</v>
      </c>
    </row>
    <row r="100" spans="1:16" ht="19.5" customHeight="1" thickBot="1">
      <c r="A100" s="305" t="s">
        <v>132</v>
      </c>
      <c r="B100" s="237">
        <f aca="true" t="shared" si="32" ref="B100:M100">B99+B98+B62</f>
        <v>35</v>
      </c>
      <c r="C100" s="237">
        <f t="shared" si="32"/>
        <v>10413</v>
      </c>
      <c r="D100" s="237">
        <f t="shared" si="32"/>
        <v>-10378</v>
      </c>
      <c r="E100" s="237">
        <f t="shared" si="32"/>
        <v>120</v>
      </c>
      <c r="F100" s="237">
        <f t="shared" si="32"/>
        <v>412</v>
      </c>
      <c r="G100" s="237">
        <f t="shared" si="32"/>
        <v>-292</v>
      </c>
      <c r="H100" s="237">
        <f t="shared" si="32"/>
        <v>2293</v>
      </c>
      <c r="I100" s="237">
        <f t="shared" si="32"/>
        <v>3788</v>
      </c>
      <c r="J100" s="237">
        <f t="shared" si="32"/>
        <v>-1495</v>
      </c>
      <c r="K100" s="237">
        <f t="shared" si="32"/>
        <v>2448</v>
      </c>
      <c r="L100" s="237">
        <f t="shared" si="32"/>
        <v>14613</v>
      </c>
      <c r="M100" s="237">
        <f t="shared" si="32"/>
        <v>-12165</v>
      </c>
      <c r="N100" s="298">
        <f>+K100+'TRIM 3'!N100</f>
        <v>19061.55</v>
      </c>
      <c r="O100" s="298">
        <f>+L100+'TRIM 3'!O100</f>
        <v>51175</v>
      </c>
      <c r="P100" s="298">
        <f>+M100+'TRIM 3'!P100</f>
        <v>-32113.449999999997</v>
      </c>
    </row>
    <row r="101" spans="1:16" ht="14.25" customHeight="1" thickBot="1">
      <c r="A101" s="306" t="s">
        <v>46</v>
      </c>
      <c r="B101" s="307">
        <f>B100-B97</f>
        <v>375.5599999999995</v>
      </c>
      <c r="C101" s="307">
        <f aca="true" t="shared" si="33" ref="C101:P101">C100-C97</f>
        <v>5433.33</v>
      </c>
      <c r="D101" s="307">
        <f t="shared" si="33"/>
        <v>-5057.77</v>
      </c>
      <c r="E101" s="307">
        <f t="shared" si="33"/>
        <v>372.3499999999999</v>
      </c>
      <c r="F101" s="307">
        <f t="shared" si="33"/>
        <v>-4266.68</v>
      </c>
      <c r="G101" s="307">
        <f t="shared" si="33"/>
        <v>4639.030000000001</v>
      </c>
      <c r="H101" s="307">
        <f t="shared" si="33"/>
        <v>2271.4199999999996</v>
      </c>
      <c r="I101" s="307">
        <f t="shared" si="33"/>
        <v>-910.4700000000003</v>
      </c>
      <c r="J101" s="307">
        <f t="shared" si="33"/>
        <v>3181.8899999999994</v>
      </c>
      <c r="K101" s="307">
        <f t="shared" si="33"/>
        <v>3019.33</v>
      </c>
      <c r="L101" s="307">
        <f t="shared" si="33"/>
        <v>256.1800000000003</v>
      </c>
      <c r="M101" s="307">
        <f t="shared" si="33"/>
        <v>2763.1499999999996</v>
      </c>
      <c r="N101" s="307">
        <f t="shared" si="33"/>
        <v>12780.719999999998</v>
      </c>
      <c r="O101" s="307">
        <f t="shared" si="33"/>
        <v>-9674.46</v>
      </c>
      <c r="P101" s="307">
        <f t="shared" si="33"/>
        <v>22455.180000000008</v>
      </c>
    </row>
    <row r="102" ht="12.75">
      <c r="A102" s="308"/>
    </row>
    <row r="103" ht="12.75">
      <c r="A103" s="308"/>
    </row>
    <row r="104" spans="1:16" ht="12.75">
      <c r="A104" s="309" t="s">
        <v>195</v>
      </c>
      <c r="B104" s="310" t="s">
        <v>119</v>
      </c>
      <c r="C104" s="310" t="s">
        <v>196</v>
      </c>
      <c r="D104" s="311" t="s">
        <v>197</v>
      </c>
      <c r="E104" s="310" t="s">
        <v>119</v>
      </c>
      <c r="F104" s="310" t="s">
        <v>196</v>
      </c>
      <c r="G104" s="311" t="s">
        <v>197</v>
      </c>
      <c r="H104" s="310" t="s">
        <v>119</v>
      </c>
      <c r="I104" s="310" t="s">
        <v>196</v>
      </c>
      <c r="J104" s="311" t="s">
        <v>197</v>
      </c>
      <c r="K104" s="310" t="s">
        <v>119</v>
      </c>
      <c r="L104" s="310" t="s">
        <v>196</v>
      </c>
      <c r="M104" s="311" t="s">
        <v>197</v>
      </c>
      <c r="N104" s="310" t="s">
        <v>119</v>
      </c>
      <c r="O104" s="310" t="s">
        <v>196</v>
      </c>
      <c r="P104" s="312" t="s">
        <v>197</v>
      </c>
    </row>
    <row r="105" spans="1:16" ht="12.75">
      <c r="A105" s="313" t="s">
        <v>198</v>
      </c>
      <c r="B105" s="314">
        <f>'TRIM 3'!N112</f>
        <v>9761.389999999996</v>
      </c>
      <c r="C105" s="314">
        <f>'TRIM 3'!O112</f>
        <v>9761.389999999996</v>
      </c>
      <c r="D105" s="314">
        <f>'TRIM 3'!P112</f>
        <v>0</v>
      </c>
      <c r="E105" s="315">
        <f>+B112</f>
        <v>10136.949999999995</v>
      </c>
      <c r="F105" s="315">
        <f>+E105-G105</f>
        <v>10136.949999999995</v>
      </c>
      <c r="G105" s="315">
        <f>+D112</f>
        <v>0</v>
      </c>
      <c r="H105" s="315">
        <f>+E112</f>
        <v>10509.299999999996</v>
      </c>
      <c r="I105" s="315">
        <f>+F112</f>
        <v>10509.299999999996</v>
      </c>
      <c r="J105" s="315">
        <f>+G112</f>
        <v>0</v>
      </c>
      <c r="K105" s="315">
        <f>+B105</f>
        <v>9761.389999999996</v>
      </c>
      <c r="L105" s="315">
        <f>+C105</f>
        <v>9761.389999999996</v>
      </c>
      <c r="M105" s="315">
        <f>+D105</f>
        <v>0</v>
      </c>
      <c r="N105" s="315">
        <f>'TRIM 1'!B105</f>
        <v>0</v>
      </c>
      <c r="O105" s="315">
        <f>'TRIM 1'!C105</f>
        <v>0</v>
      </c>
      <c r="P105" s="315">
        <f>'TRIM 1'!D105</f>
        <v>0</v>
      </c>
    </row>
    <row r="106" spans="1:16" ht="12.75">
      <c r="A106" s="313" t="s">
        <v>199</v>
      </c>
      <c r="B106" s="315">
        <f>B89</f>
        <v>35</v>
      </c>
      <c r="C106" s="315">
        <f>+B106-D106</f>
        <v>35</v>
      </c>
      <c r="D106" s="316"/>
      <c r="E106" s="315">
        <f>E89</f>
        <v>120</v>
      </c>
      <c r="F106" s="315">
        <f>+E106-G106</f>
        <v>120</v>
      </c>
      <c r="G106" s="316"/>
      <c r="H106" s="315">
        <f>H89</f>
        <v>2293</v>
      </c>
      <c r="I106" s="317">
        <f>H106-J106</f>
        <v>2293</v>
      </c>
      <c r="J106" s="316"/>
      <c r="K106" s="315">
        <f>K89</f>
        <v>2448</v>
      </c>
      <c r="L106" s="315">
        <f>+K106-M106</f>
        <v>2448</v>
      </c>
      <c r="M106" s="318">
        <f>+D106+G106+J106</f>
        <v>0</v>
      </c>
      <c r="N106" s="315">
        <f>+K106+'TRIM 3'!N106</f>
        <v>19061.55</v>
      </c>
      <c r="O106" s="315">
        <f>+L106+'TRIM 3'!O106</f>
        <v>19061.55</v>
      </c>
      <c r="P106" s="315">
        <f>+M106+'TRIM 3'!P106</f>
        <v>0</v>
      </c>
    </row>
    <row r="107" spans="1:16" ht="13.5" thickBot="1">
      <c r="A107" s="313" t="s">
        <v>200</v>
      </c>
      <c r="B107" s="320"/>
      <c r="C107" s="321"/>
      <c r="D107" s="322"/>
      <c r="E107" s="320"/>
      <c r="F107" s="321"/>
      <c r="G107" s="322"/>
      <c r="H107" s="320"/>
      <c r="I107" s="321"/>
      <c r="J107" s="322"/>
      <c r="K107" s="323"/>
      <c r="L107" s="323">
        <f>+C107+F107+I107</f>
        <v>0</v>
      </c>
      <c r="M107" s="324">
        <f>+D107+G107+J107</f>
        <v>0</v>
      </c>
      <c r="N107" s="323">
        <f>+K107</f>
        <v>0</v>
      </c>
      <c r="O107" s="323">
        <f>+L107</f>
        <v>0</v>
      </c>
      <c r="P107" s="325">
        <f>+M107</f>
        <v>0</v>
      </c>
    </row>
    <row r="108" spans="1:16" ht="13.5" thickBot="1">
      <c r="A108" s="326" t="s">
        <v>201</v>
      </c>
      <c r="B108" s="327">
        <f aca="true" t="shared" si="34" ref="B108:M108">SUM(B105:B107)</f>
        <v>9796.389999999996</v>
      </c>
      <c r="C108" s="328">
        <f t="shared" si="34"/>
        <v>9796.389999999996</v>
      </c>
      <c r="D108" s="328">
        <f t="shared" si="34"/>
        <v>0</v>
      </c>
      <c r="E108" s="328">
        <f t="shared" si="34"/>
        <v>10256.949999999995</v>
      </c>
      <c r="F108" s="328">
        <f t="shared" si="34"/>
        <v>10256.949999999995</v>
      </c>
      <c r="G108" s="328">
        <f t="shared" si="34"/>
        <v>0</v>
      </c>
      <c r="H108" s="328">
        <f t="shared" si="34"/>
        <v>12802.299999999996</v>
      </c>
      <c r="I108" s="328">
        <f t="shared" si="34"/>
        <v>12802.299999999996</v>
      </c>
      <c r="J108" s="328">
        <f t="shared" si="34"/>
        <v>0</v>
      </c>
      <c r="K108" s="328">
        <f t="shared" si="34"/>
        <v>12209.389999999996</v>
      </c>
      <c r="L108" s="328">
        <f t="shared" si="34"/>
        <v>12209.389999999996</v>
      </c>
      <c r="M108" s="328">
        <f t="shared" si="34"/>
        <v>0</v>
      </c>
      <c r="N108" s="328">
        <f>SUM(N105:N107)</f>
        <v>19061.55</v>
      </c>
      <c r="O108" s="328">
        <f>SUM(O105:O107)</f>
        <v>19061.55</v>
      </c>
      <c r="P108" s="328">
        <f>SUM(P105:P107)</f>
        <v>0</v>
      </c>
    </row>
    <row r="109" spans="1:16" ht="12.75">
      <c r="A109" s="330" t="s">
        <v>202</v>
      </c>
      <c r="B109" s="331">
        <f>+B58</f>
        <v>-340.5599999999995</v>
      </c>
      <c r="C109" s="331">
        <f>+B109-D109</f>
        <v>-340.5599999999995</v>
      </c>
      <c r="D109" s="332"/>
      <c r="E109" s="331">
        <f>+E58</f>
        <v>-252.3499999999999</v>
      </c>
      <c r="F109" s="331">
        <f>+E109-G109</f>
        <v>-252.3499999999999</v>
      </c>
      <c r="G109" s="332"/>
      <c r="H109" s="331">
        <f>H58</f>
        <v>21.580000000000382</v>
      </c>
      <c r="I109" s="331">
        <f>H109-J109</f>
        <v>21.580000000000382</v>
      </c>
      <c r="J109" s="332"/>
      <c r="K109" s="331">
        <f>+K58</f>
        <v>-571.329999999999</v>
      </c>
      <c r="L109" s="331">
        <f>+K109-M109</f>
        <v>-571.329999999999</v>
      </c>
      <c r="M109" s="333">
        <f>+D109+G109+J109</f>
        <v>0</v>
      </c>
      <c r="N109" s="331">
        <f>+K109+'TRIM 3'!N109</f>
        <v>6280.830000000004</v>
      </c>
      <c r="O109" s="331">
        <f>+L109+'TRIM 3'!O109</f>
        <v>6280.830000000004</v>
      </c>
      <c r="P109" s="331">
        <f>+M109+'TRIM 3'!P109</f>
        <v>0</v>
      </c>
    </row>
    <row r="110" spans="1:16" ht="12.75">
      <c r="A110" s="335" t="s">
        <v>200</v>
      </c>
      <c r="B110" s="317"/>
      <c r="C110" s="315">
        <f>+D107</f>
        <v>0</v>
      </c>
      <c r="D110" s="318">
        <f>+C107</f>
        <v>0</v>
      </c>
      <c r="E110" s="317"/>
      <c r="F110" s="315">
        <f>+G107</f>
        <v>0</v>
      </c>
      <c r="G110" s="318">
        <f>+F107</f>
        <v>0</v>
      </c>
      <c r="H110" s="315"/>
      <c r="I110" s="315">
        <f>+J107</f>
        <v>0</v>
      </c>
      <c r="J110" s="318">
        <f>+I107</f>
        <v>0</v>
      </c>
      <c r="K110" s="315"/>
      <c r="L110" s="315">
        <f>+M107</f>
        <v>0</v>
      </c>
      <c r="M110" s="318">
        <f>+L107</f>
        <v>0</v>
      </c>
      <c r="N110" s="315">
        <f>+K110</f>
        <v>0</v>
      </c>
      <c r="O110" s="315">
        <f>+L110</f>
        <v>0</v>
      </c>
      <c r="P110" s="319">
        <f>+M110</f>
        <v>0</v>
      </c>
    </row>
    <row r="111" spans="1:16" ht="13.5" thickBot="1">
      <c r="A111" s="335"/>
      <c r="B111" s="320"/>
      <c r="C111" s="320"/>
      <c r="D111" s="336"/>
      <c r="E111" s="320"/>
      <c r="F111" s="320"/>
      <c r="G111" s="336"/>
      <c r="H111" s="320"/>
      <c r="I111" s="320"/>
      <c r="J111" s="336"/>
      <c r="K111" s="320"/>
      <c r="L111" s="320"/>
      <c r="M111" s="336"/>
      <c r="N111" s="320"/>
      <c r="O111" s="320"/>
      <c r="P111" s="337"/>
    </row>
    <row r="112" spans="1:16" ht="13.5" thickBot="1">
      <c r="A112" s="338" t="s">
        <v>203</v>
      </c>
      <c r="B112" s="327">
        <f aca="true" t="shared" si="35" ref="B112:P112">SUM(B108-B109-B110)</f>
        <v>10136.949999999995</v>
      </c>
      <c r="C112" s="328">
        <f t="shared" si="35"/>
        <v>10136.949999999995</v>
      </c>
      <c r="D112" s="328">
        <f t="shared" si="35"/>
        <v>0</v>
      </c>
      <c r="E112" s="328">
        <f t="shared" si="35"/>
        <v>10509.299999999996</v>
      </c>
      <c r="F112" s="328">
        <f t="shared" si="35"/>
        <v>10509.299999999996</v>
      </c>
      <c r="G112" s="328">
        <f t="shared" si="35"/>
        <v>0</v>
      </c>
      <c r="H112" s="328">
        <f t="shared" si="35"/>
        <v>12780.719999999996</v>
      </c>
      <c r="I112" s="328">
        <f t="shared" si="35"/>
        <v>12780.719999999996</v>
      </c>
      <c r="J112" s="328">
        <f t="shared" si="35"/>
        <v>0</v>
      </c>
      <c r="K112" s="328">
        <f t="shared" si="35"/>
        <v>12780.719999999994</v>
      </c>
      <c r="L112" s="328">
        <f t="shared" si="35"/>
        <v>12780.719999999994</v>
      </c>
      <c r="M112" s="328">
        <f t="shared" si="35"/>
        <v>0</v>
      </c>
      <c r="N112" s="328">
        <f t="shared" si="35"/>
        <v>12780.719999999996</v>
      </c>
      <c r="O112" s="328">
        <f t="shared" si="35"/>
        <v>12780.719999999996</v>
      </c>
      <c r="P112" s="329">
        <f t="shared" si="35"/>
        <v>0</v>
      </c>
    </row>
    <row r="113" ht="12.75">
      <c r="A113" s="213">
        <f>+B4</f>
        <v>0</v>
      </c>
    </row>
    <row r="114" ht="12.75">
      <c r="A114" s="308" t="s">
        <v>130</v>
      </c>
    </row>
    <row r="115" spans="1:16" ht="12.75">
      <c r="A115" s="339"/>
      <c r="B115" s="341"/>
      <c r="C115" s="341"/>
      <c r="D115" s="341"/>
      <c r="E115" s="341"/>
      <c r="F115" s="341"/>
      <c r="G115" s="341"/>
      <c r="H115" s="341"/>
      <c r="I115" s="341"/>
      <c r="J115" s="341"/>
      <c r="K115" s="341"/>
      <c r="L115" s="341"/>
      <c r="M115" s="341"/>
      <c r="N115" s="341"/>
      <c r="O115" s="341"/>
      <c r="P115" s="341"/>
    </row>
    <row r="116" spans="1:16" ht="12.75">
      <c r="A116" s="339"/>
      <c r="B116" s="341"/>
      <c r="C116" s="341"/>
      <c r="D116" s="341"/>
      <c r="E116" s="341"/>
      <c r="F116" s="341"/>
      <c r="G116" s="341"/>
      <c r="H116" s="341"/>
      <c r="I116" s="341"/>
      <c r="J116" s="341"/>
      <c r="K116" s="341"/>
      <c r="L116" s="341"/>
      <c r="M116" s="341"/>
      <c r="N116" s="341"/>
      <c r="O116" s="341"/>
      <c r="P116" s="341"/>
    </row>
  </sheetData>
  <sheetProtection password="C72A" sheet="1"/>
  <printOptions/>
  <pageMargins left="0.118110236220472" right="0.118110236220472" top="0.196850393700787" bottom="0.393700787401575" header="0.511811023622047" footer="0.31496062992126"/>
  <pageSetup fitToHeight="2" fitToWidth="2" horizontalDpi="360" verticalDpi="360" orientation="landscape" paperSize="9" scale="65" r:id="rId1"/>
  <headerFooter alignWithMargins="0">
    <oddFooter>&amp;CPagina &amp;P&amp;R&amp;A</oddFooter>
  </headerFooter>
  <rowBreaks count="1" manualBreakCount="1">
    <brk id="59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1">
      <selection activeCell="D31" sqref="D31"/>
    </sheetView>
  </sheetViews>
  <sheetFormatPr defaultColWidth="9.140625" defaultRowHeight="12.75"/>
  <cols>
    <col min="1" max="1" width="42.8515625" style="17" customWidth="1"/>
    <col min="2" max="2" width="14.28125" style="17" customWidth="1"/>
    <col min="3" max="3" width="15.421875" style="17" customWidth="1"/>
    <col min="4" max="4" width="14.140625" style="17" customWidth="1"/>
    <col min="5" max="5" width="15.421875" style="17" customWidth="1"/>
    <col min="6" max="6" width="13.421875" style="17" customWidth="1"/>
    <col min="7" max="7" width="14.7109375" style="207" customWidth="1"/>
    <col min="8" max="16384" width="9.140625" style="17" customWidth="1"/>
  </cols>
  <sheetData>
    <row r="1" spans="1:6" ht="12.75">
      <c r="A1" s="15" t="str">
        <f>+'2022 BUDGET'!A1</f>
        <v>FRANCISCAN SISTERS OF THE POOR</v>
      </c>
      <c r="B1" s="16"/>
      <c r="C1" s="16"/>
      <c r="D1" s="16"/>
      <c r="E1" s="16"/>
      <c r="F1" s="16"/>
    </row>
    <row r="2" spans="1:6" ht="12.75">
      <c r="A2" s="18" t="str">
        <f>+'2022 BUDGET'!A2</f>
        <v>NAME OF THE MINISTRY -  HAIRCUTS FROM THE HEART</v>
      </c>
      <c r="B2" s="15"/>
      <c r="C2" s="16"/>
      <c r="D2" s="16"/>
      <c r="E2" s="212">
        <f>+'2022 BUDGET'!N1</f>
        <v>2022</v>
      </c>
      <c r="F2" s="16"/>
    </row>
    <row r="3" spans="1:6" ht="12.75">
      <c r="A3" s="15"/>
      <c r="B3" s="15"/>
      <c r="C3" s="16"/>
      <c r="D3" s="16"/>
      <c r="E3" s="19"/>
      <c r="F3" s="16"/>
    </row>
    <row r="4" spans="1:6" ht="12.75">
      <c r="A4" s="20"/>
      <c r="B4" s="15"/>
      <c r="C4" s="16"/>
      <c r="D4" s="16"/>
      <c r="E4" s="19"/>
      <c r="F4" s="16"/>
    </row>
    <row r="5" spans="1:6" ht="15.75">
      <c r="A5" s="15"/>
      <c r="B5" s="16"/>
      <c r="C5" s="21" t="s">
        <v>147</v>
      </c>
      <c r="D5" s="16"/>
      <c r="E5" s="16"/>
      <c r="F5" s="16"/>
    </row>
    <row r="6" spans="1:6" ht="12.75">
      <c r="A6" s="22"/>
      <c r="B6" s="16"/>
      <c r="C6" s="16"/>
      <c r="D6" s="16"/>
      <c r="E6" s="16"/>
      <c r="F6" s="16"/>
    </row>
    <row r="7" spans="1:7" ht="12.75">
      <c r="A7" s="16"/>
      <c r="B7" s="16"/>
      <c r="C7" s="16"/>
      <c r="D7" s="16"/>
      <c r="E7" s="16"/>
      <c r="F7" s="16"/>
      <c r="G7" s="208"/>
    </row>
    <row r="8" spans="1:7" ht="12.75">
      <c r="A8" s="16"/>
      <c r="G8" s="209"/>
    </row>
    <row r="9" spans="1:7" ht="15">
      <c r="A9" s="23" t="s">
        <v>134</v>
      </c>
      <c r="B9" s="24" t="s">
        <v>114</v>
      </c>
      <c r="C9" s="24" t="s">
        <v>129</v>
      </c>
      <c r="D9" s="24" t="s">
        <v>138</v>
      </c>
      <c r="E9" s="24" t="s">
        <v>143</v>
      </c>
      <c r="F9" s="200" t="s">
        <v>146</v>
      </c>
      <c r="G9" s="210"/>
    </row>
    <row r="10" spans="1:6" ht="12.75">
      <c r="A10" s="16"/>
      <c r="B10" s="25"/>
      <c r="C10" s="25"/>
      <c r="D10" s="25"/>
      <c r="E10" s="25"/>
      <c r="F10" s="201"/>
    </row>
    <row r="11" spans="1:7" ht="12.75">
      <c r="A11" s="421" t="s">
        <v>206</v>
      </c>
      <c r="B11" s="27">
        <f>'TRIM 1'!K62</f>
        <v>0</v>
      </c>
      <c r="C11" s="27">
        <f>'TRIM 2'!K62</f>
        <v>0</v>
      </c>
      <c r="D11" s="27">
        <f>'TRIM 3'!K62</f>
        <v>0</v>
      </c>
      <c r="E11" s="28">
        <f>'TRIM 4'!K62</f>
        <v>0</v>
      </c>
      <c r="F11" s="202">
        <f>SUM(B11:E11)</f>
        <v>0</v>
      </c>
      <c r="G11" s="211"/>
    </row>
    <row r="12" spans="1:7" ht="12.75">
      <c r="A12" s="419" t="s">
        <v>218</v>
      </c>
      <c r="B12" s="422">
        <f>'TRIM 1'!K98</f>
        <v>10000</v>
      </c>
      <c r="C12" s="422">
        <f>'TRIM 2'!K98</f>
        <v>0</v>
      </c>
      <c r="D12" s="422">
        <f>'TRIM 3'!K98</f>
        <v>0</v>
      </c>
      <c r="E12" s="83">
        <f>'TRIM 4'!K98</f>
        <v>0</v>
      </c>
      <c r="F12" s="202">
        <f>SUM(B12:E12)</f>
        <v>10000</v>
      </c>
      <c r="G12" s="211"/>
    </row>
    <row r="13" spans="1:7" ht="12.75">
      <c r="A13" s="419" t="s">
        <v>204</v>
      </c>
      <c r="B13" s="422">
        <f>'TRIM 1'!K99</f>
        <v>3755.5</v>
      </c>
      <c r="C13" s="422">
        <f>'TRIM 2'!K99</f>
        <v>1535.85</v>
      </c>
      <c r="D13" s="422">
        <f>'TRIM 3'!K99</f>
        <v>1322.2</v>
      </c>
      <c r="E13" s="83">
        <f>'TRIM 4'!K99</f>
        <v>2448</v>
      </c>
      <c r="F13" s="202">
        <f>SUM(B13:E13)</f>
        <v>9061.55</v>
      </c>
      <c r="G13" s="211"/>
    </row>
    <row r="14" spans="1:6" ht="12.75">
      <c r="A14" s="423"/>
      <c r="B14" s="424"/>
      <c r="C14" s="424"/>
      <c r="D14" s="424"/>
      <c r="E14" s="424"/>
      <c r="F14" s="202">
        <f>SUM(B14:E14)</f>
        <v>0</v>
      </c>
    </row>
    <row r="15" spans="1:8" ht="12.75">
      <c r="A15" s="84" t="s">
        <v>132</v>
      </c>
      <c r="B15" s="85">
        <f>SUM(B11:B14)</f>
        <v>13755.5</v>
      </c>
      <c r="C15" s="85">
        <f>SUM(C11:C14)</f>
        <v>1535.85</v>
      </c>
      <c r="D15" s="85">
        <f>SUM(D11:D14)</f>
        <v>1322.2</v>
      </c>
      <c r="E15" s="85">
        <f>SUM(E11:E14)</f>
        <v>2448</v>
      </c>
      <c r="F15" s="85">
        <f>SUM(F11:F14)</f>
        <v>19061.55</v>
      </c>
      <c r="G15" s="211"/>
      <c r="H15" s="195"/>
    </row>
    <row r="16" spans="1:6" ht="12.75">
      <c r="A16" s="31"/>
      <c r="B16" s="32"/>
      <c r="C16" s="32"/>
      <c r="D16" s="32"/>
      <c r="E16" s="32"/>
      <c r="F16" s="32"/>
    </row>
    <row r="17" spans="1:6" ht="15">
      <c r="A17" s="33" t="s">
        <v>145</v>
      </c>
      <c r="B17" s="34"/>
      <c r="C17" s="34"/>
      <c r="D17" s="34"/>
      <c r="E17" s="34"/>
      <c r="F17" s="35"/>
    </row>
    <row r="18" spans="1:6" ht="12.75">
      <c r="A18" s="16"/>
      <c r="B18" s="27"/>
      <c r="C18" s="27"/>
      <c r="D18" s="27"/>
      <c r="E18" s="28"/>
      <c r="F18" s="203"/>
    </row>
    <row r="19" spans="1:7" ht="12.75">
      <c r="A19" s="420" t="s">
        <v>166</v>
      </c>
      <c r="B19" s="27">
        <f>'TRIM 1'!K95</f>
        <v>372.18000000000006</v>
      </c>
      <c r="C19" s="27">
        <f>'TRIM 2'!K95</f>
        <v>813.8900000000001</v>
      </c>
      <c r="D19" s="27">
        <f>'TRIM 3'!K95</f>
        <v>-4877.05</v>
      </c>
      <c r="E19" s="27">
        <f>'TRIM 4'!K95</f>
        <v>-7570.43</v>
      </c>
      <c r="F19" s="202">
        <f>SUM(B19:E19)</f>
        <v>-11261.41</v>
      </c>
      <c r="G19" s="211"/>
    </row>
    <row r="20" spans="1:7" ht="12.75">
      <c r="A20" s="420" t="s">
        <v>182</v>
      </c>
      <c r="B20" s="27">
        <f>'TRIM 1'!K96</f>
        <v>2543.4700000000003</v>
      </c>
      <c r="C20" s="27">
        <f>'TRIM 2'!K96</f>
        <v>2474.0600000000004</v>
      </c>
      <c r="D20" s="27">
        <f>'TRIM 3'!K96</f>
        <v>5525.61</v>
      </c>
      <c r="E20" s="27">
        <f>'TRIM 4'!K96</f>
        <v>6999.1</v>
      </c>
      <c r="F20" s="202">
        <f>SUM(B20:E20)</f>
        <v>17542.239999999998</v>
      </c>
      <c r="G20" s="211"/>
    </row>
    <row r="21" spans="1:6" ht="12.75">
      <c r="A21" s="191"/>
      <c r="B21" s="83"/>
      <c r="C21" s="83"/>
      <c r="D21" s="83"/>
      <c r="E21" s="83"/>
      <c r="F21" s="202"/>
    </row>
    <row r="22" spans="1:7" ht="12.75">
      <c r="A22" s="39" t="s">
        <v>131</v>
      </c>
      <c r="B22" s="30">
        <f>SUM(B19:B21)</f>
        <v>2915.6500000000005</v>
      </c>
      <c r="C22" s="30">
        <f>SUM(C19:C21)</f>
        <v>3287.9500000000007</v>
      </c>
      <c r="D22" s="30">
        <f>SUM(D19:D21)</f>
        <v>648.5599999999995</v>
      </c>
      <c r="E22" s="30">
        <f>SUM(E19:E21)</f>
        <v>-571.3299999999999</v>
      </c>
      <c r="F22" s="204">
        <f>SUM(F19:F21)</f>
        <v>6280.829999999998</v>
      </c>
      <c r="G22" s="211"/>
    </row>
    <row r="23" spans="1:6" ht="12.75">
      <c r="A23" s="16"/>
      <c r="B23" s="34"/>
      <c r="C23" s="34"/>
      <c r="D23" s="34"/>
      <c r="E23" s="34"/>
      <c r="F23" s="34"/>
    </row>
    <row r="24" spans="1:6" ht="12.75">
      <c r="A24" s="16"/>
      <c r="B24" s="34"/>
      <c r="C24" s="34"/>
      <c r="D24" s="34"/>
      <c r="E24" s="34"/>
      <c r="F24" s="34"/>
    </row>
    <row r="25" spans="1:7" ht="12.75">
      <c r="A25" s="40" t="s">
        <v>131</v>
      </c>
      <c r="B25" s="41">
        <f>+B22</f>
        <v>2915.6500000000005</v>
      </c>
      <c r="C25" s="41">
        <f>C22</f>
        <v>3287.9500000000007</v>
      </c>
      <c r="D25" s="41">
        <f>D22</f>
        <v>648.5599999999995</v>
      </c>
      <c r="E25" s="41">
        <f>E22</f>
        <v>-571.3299999999999</v>
      </c>
      <c r="F25" s="205">
        <f>F22</f>
        <v>6280.829999999998</v>
      </c>
      <c r="G25" s="211"/>
    </row>
    <row r="26" spans="1:6" ht="12.75">
      <c r="A26" s="40"/>
      <c r="B26" s="41"/>
      <c r="C26" s="41"/>
      <c r="D26" s="41"/>
      <c r="E26" s="41"/>
      <c r="F26" s="205"/>
    </row>
    <row r="27" spans="1:7" ht="13.5" thickBot="1">
      <c r="A27" s="42" t="s">
        <v>132</v>
      </c>
      <c r="B27" s="41">
        <f>+B15</f>
        <v>13755.5</v>
      </c>
      <c r="C27" s="41">
        <f>+C15</f>
        <v>1535.85</v>
      </c>
      <c r="D27" s="41">
        <f>+D15</f>
        <v>1322.2</v>
      </c>
      <c r="E27" s="41">
        <f>+E15</f>
        <v>2448</v>
      </c>
      <c r="F27" s="205">
        <f>+F15</f>
        <v>19061.55</v>
      </c>
      <c r="G27" s="211"/>
    </row>
    <row r="28" spans="1:7" ht="13.5" thickTop="1">
      <c r="A28" s="43" t="s">
        <v>46</v>
      </c>
      <c r="B28" s="44">
        <f>B27-B25</f>
        <v>10839.849999999999</v>
      </c>
      <c r="C28" s="44">
        <f>C27-C25</f>
        <v>-1752.1000000000008</v>
      </c>
      <c r="D28" s="44">
        <f>D27-D25</f>
        <v>673.6400000000006</v>
      </c>
      <c r="E28" s="44">
        <f>E27-E25</f>
        <v>3019.33</v>
      </c>
      <c r="F28" s="206">
        <f>F27-F25</f>
        <v>12780.720000000001</v>
      </c>
      <c r="G28" s="211"/>
    </row>
    <row r="30" spans="2:6" ht="12.75">
      <c r="B30" s="195"/>
      <c r="F30" s="195"/>
    </row>
    <row r="31" ht="12.75">
      <c r="G31" s="211"/>
    </row>
  </sheetData>
  <sheetProtection password="C72A" sheet="1"/>
  <printOptions horizontalCentered="1"/>
  <pageMargins left="0.2" right="0.2" top="0.75" bottom="0.49" header="0.3" footer="0.3"/>
  <pageSetup orientation="landscape" scale="95" r:id="rId1"/>
  <headerFooter>
    <oddFooter>&amp;L&amp;D&amp;F&amp;A&amp;R&amp;A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4">
      <selection activeCell="A24" sqref="A24"/>
    </sheetView>
  </sheetViews>
  <sheetFormatPr defaultColWidth="9.140625" defaultRowHeight="12.75"/>
  <cols>
    <col min="1" max="1" width="42.140625" style="17" customWidth="1"/>
    <col min="2" max="2" width="14.28125" style="17" customWidth="1"/>
    <col min="3" max="3" width="15.421875" style="17" customWidth="1"/>
    <col min="4" max="4" width="14.140625" style="17" customWidth="1"/>
    <col min="5" max="5" width="15.421875" style="17" customWidth="1"/>
    <col min="6" max="6" width="14.7109375" style="17" customWidth="1"/>
    <col min="7" max="7" width="14.7109375" style="192" hidden="1" customWidth="1"/>
    <col min="8" max="8" width="9.140625" style="17" customWidth="1"/>
    <col min="9" max="9" width="10.00390625" style="17" bestFit="1" customWidth="1"/>
    <col min="10" max="16384" width="9.140625" style="17" customWidth="1"/>
  </cols>
  <sheetData>
    <row r="1" spans="1:6" ht="12.75">
      <c r="A1" s="15" t="str">
        <f>+'2022 BUDGET'!A1</f>
        <v>FRANCISCAN SISTERS OF THE POOR</v>
      </c>
      <c r="B1" s="16"/>
      <c r="C1" s="16"/>
      <c r="D1" s="16"/>
      <c r="E1" s="16"/>
      <c r="F1" s="16"/>
    </row>
    <row r="2" spans="1:6" ht="12.75">
      <c r="A2" s="18" t="str">
        <f>+'2022 BUDGET'!A2</f>
        <v>NAME OF THE MINISTRY -  HAIRCUTS FROM THE HEART</v>
      </c>
      <c r="B2" s="15"/>
      <c r="C2" s="16"/>
      <c r="D2" s="16"/>
      <c r="E2" s="212">
        <f>+'2022 BUDGET'!N1</f>
        <v>2022</v>
      </c>
      <c r="F2" s="16"/>
    </row>
    <row r="3" spans="1:6" ht="12.75">
      <c r="A3" s="15"/>
      <c r="B3" s="15"/>
      <c r="C3" s="16"/>
      <c r="D3" s="16"/>
      <c r="E3" s="19"/>
      <c r="F3" s="16"/>
    </row>
    <row r="4" spans="1:7" ht="12.75">
      <c r="A4" s="20"/>
      <c r="B4" s="15"/>
      <c r="C4" s="16"/>
      <c r="D4" s="16"/>
      <c r="E4" s="19"/>
      <c r="F4" s="16"/>
      <c r="G4" s="194"/>
    </row>
    <row r="5" spans="1:6" ht="15.75">
      <c r="A5" s="15"/>
      <c r="B5" s="16"/>
      <c r="C5" s="21" t="s">
        <v>144</v>
      </c>
      <c r="D5" s="16"/>
      <c r="E5" s="16"/>
      <c r="F5" s="16"/>
    </row>
    <row r="6" spans="1:6" ht="12.75">
      <c r="A6" s="22"/>
      <c r="B6" s="16"/>
      <c r="C6" s="16"/>
      <c r="D6" s="16"/>
      <c r="E6" s="16"/>
      <c r="F6" s="16"/>
    </row>
    <row r="7" spans="1:6" ht="12.75">
      <c r="A7" s="16"/>
      <c r="B7" s="16"/>
      <c r="C7" s="16"/>
      <c r="D7" s="16"/>
      <c r="E7" s="16"/>
      <c r="F7" s="16"/>
    </row>
    <row r="8" spans="1:7" ht="12.75">
      <c r="A8" s="16"/>
      <c r="G8" s="192" t="s">
        <v>154</v>
      </c>
    </row>
    <row r="9" spans="1:7" ht="15">
      <c r="A9" s="23" t="s">
        <v>134</v>
      </c>
      <c r="B9" s="24" t="s">
        <v>114</v>
      </c>
      <c r="C9" s="24" t="s">
        <v>129</v>
      </c>
      <c r="D9" s="24" t="s">
        <v>138</v>
      </c>
      <c r="E9" s="24" t="s">
        <v>143</v>
      </c>
      <c r="F9" s="24" t="s">
        <v>146</v>
      </c>
      <c r="G9" s="193" t="s">
        <v>152</v>
      </c>
    </row>
    <row r="10" spans="1:7" ht="15">
      <c r="A10" s="23"/>
      <c r="B10" s="24"/>
      <c r="C10" s="24"/>
      <c r="D10" s="24"/>
      <c r="E10" s="24"/>
      <c r="F10" s="24"/>
      <c r="G10" s="194" t="s">
        <v>156</v>
      </c>
    </row>
    <row r="11" spans="1:6" ht="12.75">
      <c r="A11" s="432" t="s">
        <v>219</v>
      </c>
      <c r="B11" s="27">
        <f>'TRIM 1'!L62</f>
        <v>0</v>
      </c>
      <c r="C11" s="27">
        <f>'TRIM 2'!L62</f>
        <v>0</v>
      </c>
      <c r="D11" s="27">
        <f>'TRIM 3'!L62</f>
        <v>0</v>
      </c>
      <c r="E11" s="27">
        <f>'TRIM 4'!L62</f>
        <v>0</v>
      </c>
      <c r="F11" s="28">
        <f>SUM(B11:E11)</f>
        <v>0</v>
      </c>
    </row>
    <row r="12" spans="1:7" ht="12.75">
      <c r="A12" s="419" t="s">
        <v>218</v>
      </c>
      <c r="B12" s="27">
        <f>'TRIM 1'!L98</f>
        <v>10000</v>
      </c>
      <c r="C12" s="27">
        <f>'TRIM 2'!L98</f>
        <v>10000</v>
      </c>
      <c r="D12" s="27">
        <f>'TRIM 3'!L98</f>
        <v>10000</v>
      </c>
      <c r="E12" s="28">
        <f>'TRIM 4'!L98</f>
        <v>10000</v>
      </c>
      <c r="F12" s="28">
        <f>SUM(B12:E12)</f>
        <v>40000</v>
      </c>
      <c r="G12" s="196" t="e">
        <f>F12*G10</f>
        <v>#VALUE!</v>
      </c>
    </row>
    <row r="13" spans="1:7" ht="12.75">
      <c r="A13" s="419" t="s">
        <v>204</v>
      </c>
      <c r="B13" s="27">
        <f>'TRIM 1'!L99</f>
        <v>712</v>
      </c>
      <c r="C13" s="27">
        <f>'TRIM 2'!L99</f>
        <v>4613</v>
      </c>
      <c r="D13" s="27">
        <f>'TRIM 3'!L99</f>
        <v>1237</v>
      </c>
      <c r="E13" s="28">
        <f>'TRIM 4'!L99</f>
        <v>4613</v>
      </c>
      <c r="F13" s="28">
        <f>SUM(B13:E13)</f>
        <v>11175</v>
      </c>
      <c r="G13" s="196" t="e">
        <f>F13*G10</f>
        <v>#VALUE!</v>
      </c>
    </row>
    <row r="14" spans="1:7" ht="12.75">
      <c r="A14" s="26"/>
      <c r="B14" s="27"/>
      <c r="C14" s="27"/>
      <c r="D14" s="27"/>
      <c r="E14" s="28"/>
      <c r="F14" s="28">
        <f>SUM(B14:E14)</f>
        <v>0</v>
      </c>
      <c r="G14" s="196" t="e">
        <f>F14*G10</f>
        <v>#VALUE!</v>
      </c>
    </row>
    <row r="15" spans="1:7" ht="12.75">
      <c r="A15" s="29" t="s">
        <v>132</v>
      </c>
      <c r="B15" s="30">
        <f aca="true" t="shared" si="0" ref="B15:G15">SUM(B11:B14)</f>
        <v>10712</v>
      </c>
      <c r="C15" s="30">
        <f t="shared" si="0"/>
        <v>14613</v>
      </c>
      <c r="D15" s="30">
        <f t="shared" si="0"/>
        <v>11237</v>
      </c>
      <c r="E15" s="30">
        <f t="shared" si="0"/>
        <v>14613</v>
      </c>
      <c r="F15" s="30">
        <f t="shared" si="0"/>
        <v>51175</v>
      </c>
      <c r="G15" s="30" t="e">
        <f t="shared" si="0"/>
        <v>#VALUE!</v>
      </c>
    </row>
    <row r="16" spans="1:7" ht="12.75">
      <c r="A16" s="31"/>
      <c r="B16" s="32"/>
      <c r="C16" s="32"/>
      <c r="D16" s="32"/>
      <c r="E16" s="32"/>
      <c r="F16" s="32"/>
      <c r="G16" s="196"/>
    </row>
    <row r="17" spans="1:7" ht="15">
      <c r="A17" s="33" t="s">
        <v>145</v>
      </c>
      <c r="B17" s="34"/>
      <c r="C17" s="34"/>
      <c r="D17" s="34"/>
      <c r="E17" s="34"/>
      <c r="F17" s="35"/>
      <c r="G17" s="196"/>
    </row>
    <row r="18" spans="1:7" ht="12.75">
      <c r="A18" s="16"/>
      <c r="B18" s="27"/>
      <c r="C18" s="27"/>
      <c r="D18" s="27"/>
      <c r="E18" s="28"/>
      <c r="F18" s="36"/>
      <c r="G18" s="196"/>
    </row>
    <row r="19" spans="1:9" ht="12.75">
      <c r="A19" s="420" t="s">
        <v>166</v>
      </c>
      <c r="B19" s="27">
        <f>'TRIM 1'!L95</f>
        <v>1363.5</v>
      </c>
      <c r="C19" s="27">
        <f>'TRIM 2'!L95</f>
        <v>1364.5</v>
      </c>
      <c r="D19" s="27">
        <f>'TRIM 3'!L95</f>
        <v>1363.5</v>
      </c>
      <c r="E19" s="27">
        <f>'TRIM 4'!L95</f>
        <v>1370.8</v>
      </c>
      <c r="F19" s="28">
        <f>SUM(B19:E19)</f>
        <v>5462.3</v>
      </c>
      <c r="G19" s="196" t="e">
        <f>F19*G10</f>
        <v>#VALUE!</v>
      </c>
      <c r="I19" s="195"/>
    </row>
    <row r="20" spans="1:7" ht="12.75">
      <c r="A20" s="420" t="s">
        <v>182</v>
      </c>
      <c r="B20" s="27">
        <f>'TRIM 1'!L96</f>
        <v>14707.59</v>
      </c>
      <c r="C20" s="27">
        <f>'TRIM 2'!L96</f>
        <v>12986.02</v>
      </c>
      <c r="D20" s="27">
        <f>'TRIM 3'!L96</f>
        <v>14707.53</v>
      </c>
      <c r="E20" s="27">
        <f>'TRIM 4'!L96</f>
        <v>12986.02</v>
      </c>
      <c r="F20" s="28">
        <f>SUM(B20:E20)</f>
        <v>55387.16</v>
      </c>
      <c r="G20" s="196" t="e">
        <f>F20*G10</f>
        <v>#VALUE!</v>
      </c>
    </row>
    <row r="21" spans="1:7" ht="12.75">
      <c r="A21" s="37"/>
      <c r="B21" s="27"/>
      <c r="C21" s="27"/>
      <c r="D21" s="27"/>
      <c r="E21" s="27"/>
      <c r="F21" s="28"/>
      <c r="G21" s="196" t="e">
        <f>F21*G10</f>
        <v>#VALUE!</v>
      </c>
    </row>
    <row r="22" spans="1:9" ht="12.75">
      <c r="A22" s="26"/>
      <c r="B22" s="27"/>
      <c r="C22" s="27"/>
      <c r="D22" s="27"/>
      <c r="E22" s="27"/>
      <c r="F22" s="28"/>
      <c r="G22" s="196" t="e">
        <f>F22*G10</f>
        <v>#VALUE!</v>
      </c>
      <c r="I22" s="195"/>
    </row>
    <row r="23" spans="1:7" ht="12.75">
      <c r="A23" s="37"/>
      <c r="B23" s="38"/>
      <c r="C23" s="38"/>
      <c r="D23" s="38"/>
      <c r="E23" s="38"/>
      <c r="F23" s="38"/>
      <c r="G23" s="196"/>
    </row>
    <row r="24" spans="1:7" ht="12.75">
      <c r="A24" s="39" t="s">
        <v>131</v>
      </c>
      <c r="B24" s="30">
        <f>SUM(B18:B23)</f>
        <v>16071.09</v>
      </c>
      <c r="C24" s="30">
        <f>SUM(C18:C23)</f>
        <v>14350.52</v>
      </c>
      <c r="D24" s="30">
        <f>SUM(D18:D23)</f>
        <v>16071.03</v>
      </c>
      <c r="E24" s="30">
        <f>SUM(E18:E23)</f>
        <v>14356.82</v>
      </c>
      <c r="F24" s="30">
        <f>SUM(F18:F23)</f>
        <v>60849.46000000001</v>
      </c>
      <c r="G24" s="197" t="e">
        <f>SUM(G19:G23)</f>
        <v>#VALUE!</v>
      </c>
    </row>
    <row r="25" spans="1:7" ht="12.75">
      <c r="A25" s="16"/>
      <c r="B25" s="34"/>
      <c r="C25" s="34"/>
      <c r="D25" s="34"/>
      <c r="E25" s="34"/>
      <c r="F25" s="34"/>
      <c r="G25" s="196"/>
    </row>
    <row r="26" spans="1:7" ht="12.75">
      <c r="A26" s="16"/>
      <c r="B26" s="34"/>
      <c r="C26" s="34"/>
      <c r="D26" s="34"/>
      <c r="E26" s="34"/>
      <c r="F26" s="34"/>
      <c r="G26" s="196"/>
    </row>
    <row r="27" spans="1:7" ht="12.75">
      <c r="A27" s="40" t="s">
        <v>131</v>
      </c>
      <c r="B27" s="41">
        <f aca="true" t="shared" si="1" ref="B27:G27">B24</f>
        <v>16071.09</v>
      </c>
      <c r="C27" s="41">
        <f t="shared" si="1"/>
        <v>14350.52</v>
      </c>
      <c r="D27" s="41">
        <f t="shared" si="1"/>
        <v>16071.03</v>
      </c>
      <c r="E27" s="41">
        <f t="shared" si="1"/>
        <v>14356.82</v>
      </c>
      <c r="F27" s="41">
        <f t="shared" si="1"/>
        <v>60849.46000000001</v>
      </c>
      <c r="G27" s="196" t="e">
        <f t="shared" si="1"/>
        <v>#VALUE!</v>
      </c>
    </row>
    <row r="28" spans="1:7" ht="13.5" thickBot="1">
      <c r="A28" s="42" t="s">
        <v>132</v>
      </c>
      <c r="B28" s="41">
        <f>SUM(B15)</f>
        <v>10712</v>
      </c>
      <c r="C28" s="41">
        <f>SUM(C15)</f>
        <v>14613</v>
      </c>
      <c r="D28" s="41">
        <f>SUM(D15)</f>
        <v>11237</v>
      </c>
      <c r="E28" s="41">
        <f>SUM(E15)</f>
        <v>14613</v>
      </c>
      <c r="F28" s="41">
        <f>SUM(F15)</f>
        <v>51175</v>
      </c>
      <c r="G28" s="198" t="e">
        <f>G15</f>
        <v>#VALUE!</v>
      </c>
    </row>
    <row r="29" spans="1:7" ht="13.5" thickTop="1">
      <c r="A29" s="43" t="s">
        <v>46</v>
      </c>
      <c r="B29" s="44">
        <f>SUM(B28-B27)</f>
        <v>-5359.09</v>
      </c>
      <c r="C29" s="44">
        <f>SUM(C28-C27)</f>
        <v>262.47999999999956</v>
      </c>
      <c r="D29" s="44">
        <f>SUM(D28-D27)</f>
        <v>-4834.030000000001</v>
      </c>
      <c r="E29" s="44">
        <f>SUM(E28-E27)</f>
        <v>256.1800000000003</v>
      </c>
      <c r="F29" s="44">
        <f>SUM(F28-F27)</f>
        <v>-9674.460000000006</v>
      </c>
      <c r="G29" s="199" t="e">
        <f>SUM(G27-G28)</f>
        <v>#VALUE!</v>
      </c>
    </row>
  </sheetData>
  <sheetProtection password="C72A" sheet="1"/>
  <printOptions horizontalCentered="1"/>
  <pageMargins left="0.2" right="0.2" top="0.75" bottom="0.75" header="0.3" footer="0.3"/>
  <pageSetup orientation="landscape" scale="95" r:id="rId1"/>
  <headerFooter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10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3" customWidth="1"/>
    <col min="2" max="13" width="11.7109375" style="3" customWidth="1"/>
    <col min="14" max="14" width="14.28125" style="3" customWidth="1"/>
    <col min="15" max="15" width="18.421875" style="3" customWidth="1"/>
    <col min="16" max="16384" width="9.140625" style="3" customWidth="1"/>
  </cols>
  <sheetData>
    <row r="1" spans="1:14" ht="12.75">
      <c r="A1" s="3" t="s">
        <v>80</v>
      </c>
      <c r="N1" s="45" t="s">
        <v>139</v>
      </c>
    </row>
    <row r="2" ht="12.75">
      <c r="A2" s="46" t="s">
        <v>81</v>
      </c>
    </row>
    <row r="4" ht="12.75">
      <c r="A4" s="47" t="s">
        <v>82</v>
      </c>
    </row>
    <row r="6" spans="1:14" ht="13.5">
      <c r="A6" s="48" t="s">
        <v>83</v>
      </c>
      <c r="N6" s="49" t="s">
        <v>3</v>
      </c>
    </row>
    <row r="7" ht="12.75">
      <c r="M7" s="190">
        <f>1/0.01867</f>
        <v>53.561863952865565</v>
      </c>
    </row>
    <row r="8" spans="1:14" ht="12.75">
      <c r="A8" s="50"/>
      <c r="B8" s="150" t="s">
        <v>99</v>
      </c>
      <c r="C8" s="150" t="s">
        <v>100</v>
      </c>
      <c r="D8" s="150" t="s">
        <v>101</v>
      </c>
      <c r="E8" s="150" t="s">
        <v>102</v>
      </c>
      <c r="F8" s="150" t="s">
        <v>103</v>
      </c>
      <c r="G8" s="150" t="s">
        <v>104</v>
      </c>
      <c r="H8" s="150" t="s">
        <v>105</v>
      </c>
      <c r="I8" s="150" t="s">
        <v>106</v>
      </c>
      <c r="J8" s="150" t="s">
        <v>107</v>
      </c>
      <c r="K8" s="150" t="s">
        <v>108</v>
      </c>
      <c r="L8" s="150" t="s">
        <v>109</v>
      </c>
      <c r="M8" s="150" t="s">
        <v>110</v>
      </c>
      <c r="N8" s="51" t="s">
        <v>16</v>
      </c>
    </row>
    <row r="9" spans="1:14" ht="12.75">
      <c r="A9" s="186" t="s">
        <v>84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48">
        <f aca="true" t="shared" si="0" ref="N9:N31">SUM(B9:M9)</f>
        <v>0</v>
      </c>
    </row>
    <row r="10" spans="1:14" ht="12.75">
      <c r="A10" s="186" t="s">
        <v>85</v>
      </c>
      <c r="B10" s="152">
        <v>200</v>
      </c>
      <c r="C10" s="152">
        <v>130</v>
      </c>
      <c r="D10" s="152">
        <v>130</v>
      </c>
      <c r="E10" s="152">
        <v>200</v>
      </c>
      <c r="F10" s="152">
        <v>130</v>
      </c>
      <c r="G10" s="152">
        <v>130</v>
      </c>
      <c r="H10" s="152">
        <v>200</v>
      </c>
      <c r="I10" s="152">
        <v>130</v>
      </c>
      <c r="J10" s="152">
        <v>130</v>
      </c>
      <c r="K10" s="152">
        <v>200</v>
      </c>
      <c r="L10" s="152">
        <v>130</v>
      </c>
      <c r="M10" s="152">
        <v>130</v>
      </c>
      <c r="N10" s="148">
        <f t="shared" si="0"/>
        <v>1840</v>
      </c>
    </row>
    <row r="11" spans="1:14" ht="12.75">
      <c r="A11" s="186" t="s">
        <v>86</v>
      </c>
      <c r="B11" s="152">
        <v>200</v>
      </c>
      <c r="C11" s="152">
        <v>200</v>
      </c>
      <c r="D11" s="152">
        <v>200</v>
      </c>
      <c r="E11" s="152">
        <v>200</v>
      </c>
      <c r="F11" s="152">
        <v>200</v>
      </c>
      <c r="G11" s="152">
        <v>200</v>
      </c>
      <c r="H11" s="152">
        <v>200</v>
      </c>
      <c r="I11" s="152">
        <v>200</v>
      </c>
      <c r="J11" s="152">
        <v>200</v>
      </c>
      <c r="K11" s="152">
        <v>200</v>
      </c>
      <c r="L11" s="152">
        <v>200</v>
      </c>
      <c r="M11" s="152">
        <v>300</v>
      </c>
      <c r="N11" s="148">
        <f t="shared" si="0"/>
        <v>2500</v>
      </c>
    </row>
    <row r="12" spans="1:14" ht="12.75">
      <c r="A12" s="186" t="s">
        <v>87</v>
      </c>
      <c r="B12" s="152">
        <v>50</v>
      </c>
      <c r="C12" s="152">
        <v>50</v>
      </c>
      <c r="D12" s="152">
        <v>50</v>
      </c>
      <c r="E12" s="152">
        <v>50</v>
      </c>
      <c r="F12" s="152">
        <v>50</v>
      </c>
      <c r="G12" s="152">
        <v>50</v>
      </c>
      <c r="H12" s="152">
        <v>50</v>
      </c>
      <c r="I12" s="152">
        <v>50</v>
      </c>
      <c r="J12" s="152">
        <v>50</v>
      </c>
      <c r="K12" s="152">
        <v>50</v>
      </c>
      <c r="L12" s="152">
        <v>50</v>
      </c>
      <c r="M12" s="152">
        <v>50</v>
      </c>
      <c r="N12" s="148">
        <f t="shared" si="0"/>
        <v>600</v>
      </c>
    </row>
    <row r="13" spans="1:14" ht="12.75">
      <c r="A13" s="186" t="s">
        <v>88</v>
      </c>
      <c r="B13" s="152">
        <v>38</v>
      </c>
      <c r="C13" s="152">
        <v>38</v>
      </c>
      <c r="D13" s="152">
        <v>38</v>
      </c>
      <c r="E13" s="152">
        <v>38</v>
      </c>
      <c r="F13" s="152">
        <v>38</v>
      </c>
      <c r="G13" s="152">
        <v>38</v>
      </c>
      <c r="H13" s="152">
        <v>38</v>
      </c>
      <c r="I13" s="152">
        <v>38</v>
      </c>
      <c r="J13" s="152">
        <v>38</v>
      </c>
      <c r="K13" s="152">
        <v>38</v>
      </c>
      <c r="L13" s="152">
        <v>38</v>
      </c>
      <c r="M13" s="152">
        <v>38</v>
      </c>
      <c r="N13" s="148">
        <f t="shared" si="0"/>
        <v>456</v>
      </c>
    </row>
    <row r="14" spans="1:14" ht="12.75">
      <c r="A14" s="187" t="s">
        <v>89</v>
      </c>
      <c r="B14" s="152"/>
      <c r="C14" s="152"/>
      <c r="D14" s="152"/>
      <c r="E14" s="152"/>
      <c r="F14" s="152"/>
      <c r="G14" s="152"/>
      <c r="H14" s="152"/>
      <c r="I14" s="152"/>
      <c r="J14" s="152">
        <v>45</v>
      </c>
      <c r="K14" s="152"/>
      <c r="L14" s="152"/>
      <c r="M14" s="152"/>
      <c r="N14" s="148">
        <f t="shared" si="0"/>
        <v>45</v>
      </c>
    </row>
    <row r="15" spans="1:14" ht="12.75">
      <c r="A15" s="188" t="s">
        <v>90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>
        <v>125</v>
      </c>
      <c r="N15" s="148">
        <f t="shared" si="0"/>
        <v>125</v>
      </c>
    </row>
    <row r="16" spans="1:14" ht="12.75">
      <c r="A16" s="189" t="s">
        <v>91</v>
      </c>
      <c r="B16" s="152">
        <v>13</v>
      </c>
      <c r="C16" s="152">
        <v>13</v>
      </c>
      <c r="D16" s="152">
        <v>13</v>
      </c>
      <c r="E16" s="152">
        <v>13</v>
      </c>
      <c r="F16" s="152">
        <v>13</v>
      </c>
      <c r="G16" s="152">
        <v>13</v>
      </c>
      <c r="H16" s="152">
        <v>13</v>
      </c>
      <c r="I16" s="152">
        <v>13</v>
      </c>
      <c r="J16" s="152">
        <v>13</v>
      </c>
      <c r="K16" s="152">
        <v>13</v>
      </c>
      <c r="L16" s="152">
        <v>13</v>
      </c>
      <c r="M16" s="152">
        <v>13</v>
      </c>
      <c r="N16" s="148">
        <f t="shared" si="0"/>
        <v>156</v>
      </c>
    </row>
    <row r="17" spans="1:14" ht="12.75">
      <c r="A17" s="186" t="s">
        <v>92</v>
      </c>
      <c r="B17" s="152">
        <v>50</v>
      </c>
      <c r="C17" s="152">
        <v>50</v>
      </c>
      <c r="D17" s="152">
        <v>50</v>
      </c>
      <c r="E17" s="152">
        <v>50</v>
      </c>
      <c r="F17" s="152">
        <v>50</v>
      </c>
      <c r="G17" s="152">
        <v>50</v>
      </c>
      <c r="H17" s="152">
        <v>50</v>
      </c>
      <c r="I17" s="152">
        <v>50</v>
      </c>
      <c r="J17" s="152">
        <v>50</v>
      </c>
      <c r="K17" s="152">
        <v>50</v>
      </c>
      <c r="L17" s="152">
        <v>50</v>
      </c>
      <c r="M17" s="152">
        <v>50</v>
      </c>
      <c r="N17" s="148">
        <f t="shared" si="0"/>
        <v>600</v>
      </c>
    </row>
    <row r="18" spans="1:14" ht="12.75">
      <c r="A18" s="186" t="s">
        <v>93</v>
      </c>
      <c r="B18" s="152">
        <v>40</v>
      </c>
      <c r="C18" s="152"/>
      <c r="D18" s="152"/>
      <c r="E18" s="152">
        <v>40</v>
      </c>
      <c r="F18" s="152"/>
      <c r="G18" s="152"/>
      <c r="H18" s="152">
        <v>40</v>
      </c>
      <c r="I18" s="152"/>
      <c r="J18" s="152"/>
      <c r="K18" s="152">
        <v>40</v>
      </c>
      <c r="L18" s="152"/>
      <c r="M18" s="152"/>
      <c r="N18" s="148">
        <f t="shared" si="0"/>
        <v>160</v>
      </c>
    </row>
    <row r="19" spans="1:14" ht="12.75">
      <c r="A19" s="186" t="s">
        <v>94</v>
      </c>
      <c r="B19" s="152">
        <v>10</v>
      </c>
      <c r="C19" s="152">
        <v>10</v>
      </c>
      <c r="D19" s="152">
        <v>10</v>
      </c>
      <c r="E19" s="152">
        <v>10</v>
      </c>
      <c r="F19" s="152">
        <v>10</v>
      </c>
      <c r="G19" s="152">
        <v>10</v>
      </c>
      <c r="H19" s="152">
        <v>10</v>
      </c>
      <c r="I19" s="152">
        <v>10</v>
      </c>
      <c r="J19" s="152">
        <v>10</v>
      </c>
      <c r="K19" s="152">
        <v>10</v>
      </c>
      <c r="L19" s="152">
        <v>10</v>
      </c>
      <c r="M19" s="152">
        <v>10</v>
      </c>
      <c r="N19" s="148">
        <f t="shared" si="0"/>
        <v>120</v>
      </c>
    </row>
    <row r="20" spans="1:14" ht="12.75">
      <c r="A20" s="186" t="s">
        <v>149</v>
      </c>
      <c r="B20" s="152">
        <v>275</v>
      </c>
      <c r="C20" s="152">
        <v>75</v>
      </c>
      <c r="D20" s="152">
        <v>75</v>
      </c>
      <c r="E20" s="152">
        <v>75</v>
      </c>
      <c r="F20" s="152">
        <v>75</v>
      </c>
      <c r="G20" s="152">
        <v>75</v>
      </c>
      <c r="H20" s="152">
        <v>275</v>
      </c>
      <c r="I20" s="152">
        <v>75</v>
      </c>
      <c r="J20" s="152">
        <v>75</v>
      </c>
      <c r="K20" s="152">
        <v>75</v>
      </c>
      <c r="L20" s="152">
        <v>75</v>
      </c>
      <c r="M20" s="152">
        <v>75</v>
      </c>
      <c r="N20" s="148">
        <f t="shared" si="0"/>
        <v>1300</v>
      </c>
    </row>
    <row r="21" spans="1:28" ht="12.75">
      <c r="A21" s="186" t="s">
        <v>148</v>
      </c>
      <c r="B21" s="152">
        <f>+P21+P22+P23</f>
        <v>500</v>
      </c>
      <c r="C21" s="152">
        <f aca="true" t="shared" si="1" ref="C21:M21">+Q21+Q22+Q23</f>
        <v>500</v>
      </c>
      <c r="D21" s="152">
        <f t="shared" si="1"/>
        <v>500</v>
      </c>
      <c r="E21" s="152">
        <f t="shared" si="1"/>
        <v>500</v>
      </c>
      <c r="F21" s="152">
        <f t="shared" si="1"/>
        <v>500</v>
      </c>
      <c r="G21" s="152">
        <f t="shared" si="1"/>
        <v>500</v>
      </c>
      <c r="H21" s="152">
        <f t="shared" si="1"/>
        <v>500</v>
      </c>
      <c r="I21" s="152">
        <f t="shared" si="1"/>
        <v>500</v>
      </c>
      <c r="J21" s="152">
        <f t="shared" si="1"/>
        <v>500</v>
      </c>
      <c r="K21" s="152">
        <f t="shared" si="1"/>
        <v>500</v>
      </c>
      <c r="L21" s="152">
        <f t="shared" si="1"/>
        <v>500</v>
      </c>
      <c r="M21" s="152">
        <f t="shared" si="1"/>
        <v>500</v>
      </c>
      <c r="N21" s="148">
        <f t="shared" si="0"/>
        <v>6000</v>
      </c>
      <c r="O21" s="186" t="s">
        <v>95</v>
      </c>
      <c r="P21" s="152">
        <v>150</v>
      </c>
      <c r="Q21" s="152">
        <v>150</v>
      </c>
      <c r="R21" s="152">
        <v>150</v>
      </c>
      <c r="S21" s="152">
        <v>150</v>
      </c>
      <c r="T21" s="152">
        <v>150</v>
      </c>
      <c r="U21" s="152">
        <v>150</v>
      </c>
      <c r="V21" s="152">
        <v>150</v>
      </c>
      <c r="W21" s="152">
        <v>150</v>
      </c>
      <c r="X21" s="152">
        <v>150</v>
      </c>
      <c r="Y21" s="152">
        <v>150</v>
      </c>
      <c r="Z21" s="152">
        <v>150</v>
      </c>
      <c r="AA21" s="152">
        <v>150</v>
      </c>
      <c r="AB21" s="148">
        <f>SUM(P21:AA21)</f>
        <v>1800</v>
      </c>
    </row>
    <row r="22" spans="1:28" ht="12.75">
      <c r="A22" s="186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48">
        <f t="shared" si="0"/>
        <v>0</v>
      </c>
      <c r="O22" s="186" t="s">
        <v>96</v>
      </c>
      <c r="P22" s="152">
        <v>200</v>
      </c>
      <c r="Q22" s="152">
        <v>200</v>
      </c>
      <c r="R22" s="152">
        <v>200</v>
      </c>
      <c r="S22" s="152">
        <v>200</v>
      </c>
      <c r="T22" s="152">
        <v>200</v>
      </c>
      <c r="U22" s="152">
        <v>200</v>
      </c>
      <c r="V22" s="152">
        <v>200</v>
      </c>
      <c r="W22" s="152">
        <v>200</v>
      </c>
      <c r="X22" s="152">
        <v>200</v>
      </c>
      <c r="Y22" s="152">
        <v>200</v>
      </c>
      <c r="Z22" s="152">
        <v>200</v>
      </c>
      <c r="AA22" s="152">
        <v>200</v>
      </c>
      <c r="AB22" s="148">
        <f>SUM(P22:AA22)</f>
        <v>2400</v>
      </c>
    </row>
    <row r="23" spans="1:28" ht="14.25" customHeight="1">
      <c r="A23" s="186"/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48">
        <f t="shared" si="0"/>
        <v>0</v>
      </c>
      <c r="O23" s="186" t="s">
        <v>97</v>
      </c>
      <c r="P23" s="181">
        <v>150</v>
      </c>
      <c r="Q23" s="181">
        <v>150</v>
      </c>
      <c r="R23" s="181">
        <v>150</v>
      </c>
      <c r="S23" s="181">
        <v>150</v>
      </c>
      <c r="T23" s="181">
        <v>150</v>
      </c>
      <c r="U23" s="181">
        <v>150</v>
      </c>
      <c r="V23" s="181">
        <v>150</v>
      </c>
      <c r="W23" s="181">
        <v>150</v>
      </c>
      <c r="X23" s="181">
        <v>150</v>
      </c>
      <c r="Y23" s="181">
        <v>150</v>
      </c>
      <c r="Z23" s="181">
        <v>150</v>
      </c>
      <c r="AA23" s="181">
        <v>150</v>
      </c>
      <c r="AB23" s="148">
        <f>SUM(P23:AA23)</f>
        <v>1800</v>
      </c>
    </row>
    <row r="24" spans="1:14" ht="12.75">
      <c r="A24" s="186" t="s">
        <v>98</v>
      </c>
      <c r="B24" s="152">
        <v>1000</v>
      </c>
      <c r="C24" s="152"/>
      <c r="D24" s="152"/>
      <c r="E24" s="152"/>
      <c r="F24" s="152">
        <v>1000</v>
      </c>
      <c r="G24" s="152"/>
      <c r="H24" s="152"/>
      <c r="I24" s="152"/>
      <c r="J24" s="152">
        <v>1000</v>
      </c>
      <c r="K24" s="152"/>
      <c r="L24" s="152"/>
      <c r="M24" s="152"/>
      <c r="N24" s="148">
        <f t="shared" si="0"/>
        <v>3000</v>
      </c>
    </row>
    <row r="25" spans="1:27" ht="12.75">
      <c r="A25" s="146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5">
        <f t="shared" si="0"/>
        <v>0</v>
      </c>
      <c r="O25" s="182">
        <v>0</v>
      </c>
      <c r="P25" s="182">
        <v>0</v>
      </c>
      <c r="Q25" s="182">
        <v>0</v>
      </c>
      <c r="R25" s="182">
        <v>4000</v>
      </c>
      <c r="S25" s="182">
        <v>0</v>
      </c>
      <c r="T25" s="182">
        <v>0</v>
      </c>
      <c r="U25" s="182">
        <v>0</v>
      </c>
      <c r="V25" s="182">
        <v>0</v>
      </c>
      <c r="W25" s="182">
        <v>0</v>
      </c>
      <c r="X25" s="182">
        <v>0</v>
      </c>
      <c r="Y25" s="182">
        <v>0</v>
      </c>
      <c r="Z25" s="182">
        <v>0</v>
      </c>
      <c r="AA25" s="183">
        <f>SUM(O25:Z25)</f>
        <v>4000</v>
      </c>
    </row>
    <row r="26" spans="1:14" ht="12.75">
      <c r="A26" s="146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48">
        <f t="shared" si="0"/>
        <v>0</v>
      </c>
    </row>
    <row r="27" spans="1:14" ht="12.75">
      <c r="A27" s="146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48">
        <f t="shared" si="0"/>
        <v>0</v>
      </c>
    </row>
    <row r="28" spans="1:14" ht="12.75">
      <c r="A28" s="146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48">
        <f t="shared" si="0"/>
        <v>0</v>
      </c>
    </row>
    <row r="29" spans="1:14" ht="12.75">
      <c r="A29" s="146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48">
        <f t="shared" si="0"/>
        <v>0</v>
      </c>
    </row>
    <row r="30" spans="1:14" ht="12.75">
      <c r="A30" s="146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48">
        <f>SUM(C30:M30)</f>
        <v>0</v>
      </c>
    </row>
    <row r="31" spans="1:14" ht="12.75">
      <c r="A31" s="147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49">
        <f t="shared" si="0"/>
        <v>0</v>
      </c>
    </row>
    <row r="32" spans="1:14" ht="12.75">
      <c r="A32" s="154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49"/>
    </row>
    <row r="33" spans="1:14" ht="12.75">
      <c r="A33" s="154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49">
        <f>SUM(B33:M33)</f>
        <v>0</v>
      </c>
    </row>
    <row r="34" spans="1:15" ht="12.75" customHeight="1">
      <c r="A34" s="153" t="s">
        <v>16</v>
      </c>
      <c r="B34" s="151">
        <f aca="true" t="shared" si="2" ref="B34:N34">SUM(B9:B33)</f>
        <v>2376</v>
      </c>
      <c r="C34" s="151">
        <f t="shared" si="2"/>
        <v>1066</v>
      </c>
      <c r="D34" s="151">
        <f t="shared" si="2"/>
        <v>1066</v>
      </c>
      <c r="E34" s="151">
        <f t="shared" si="2"/>
        <v>1176</v>
      </c>
      <c r="F34" s="151">
        <f t="shared" si="2"/>
        <v>2066</v>
      </c>
      <c r="G34" s="151">
        <f t="shared" si="2"/>
        <v>1066</v>
      </c>
      <c r="H34" s="151">
        <f t="shared" si="2"/>
        <v>1376</v>
      </c>
      <c r="I34" s="151">
        <f t="shared" si="2"/>
        <v>1066</v>
      </c>
      <c r="J34" s="151">
        <f t="shared" si="2"/>
        <v>2111</v>
      </c>
      <c r="K34" s="151">
        <f t="shared" si="2"/>
        <v>1176</v>
      </c>
      <c r="L34" s="151">
        <f t="shared" si="2"/>
        <v>1066</v>
      </c>
      <c r="M34" s="151">
        <f t="shared" si="2"/>
        <v>1291</v>
      </c>
      <c r="N34" s="52">
        <f t="shared" si="2"/>
        <v>16902</v>
      </c>
      <c r="O34" s="3">
        <f>SUM(B34:M34)</f>
        <v>16902</v>
      </c>
    </row>
    <row r="36" spans="1:14" ht="13.5">
      <c r="A36" s="53" t="s">
        <v>29</v>
      </c>
      <c r="N36" s="49" t="s">
        <v>30</v>
      </c>
    </row>
    <row r="38" spans="1:14" ht="12.75">
      <c r="A38" s="156"/>
      <c r="B38" s="150" t="s">
        <v>4</v>
      </c>
      <c r="C38" s="150" t="s">
        <v>5</v>
      </c>
      <c r="D38" s="150" t="s">
        <v>6</v>
      </c>
      <c r="E38" s="150" t="s">
        <v>7</v>
      </c>
      <c r="F38" s="150" t="s">
        <v>8</v>
      </c>
      <c r="G38" s="150" t="s">
        <v>9</v>
      </c>
      <c r="H38" s="150" t="s">
        <v>10</v>
      </c>
      <c r="I38" s="150" t="s">
        <v>11</v>
      </c>
      <c r="J38" s="150" t="s">
        <v>12</v>
      </c>
      <c r="K38" s="150" t="s">
        <v>13</v>
      </c>
      <c r="L38" s="150" t="s">
        <v>14</v>
      </c>
      <c r="M38" s="150" t="s">
        <v>15</v>
      </c>
      <c r="N38" s="51" t="s">
        <v>16</v>
      </c>
    </row>
    <row r="39" spans="1:14" ht="12.75">
      <c r="A39" s="179" t="s">
        <v>116</v>
      </c>
      <c r="B39" s="180">
        <v>235</v>
      </c>
      <c r="C39" s="180">
        <v>35</v>
      </c>
      <c r="D39" s="180">
        <v>35</v>
      </c>
      <c r="E39" s="180">
        <v>285</v>
      </c>
      <c r="F39" s="180">
        <v>335</v>
      </c>
      <c r="G39" s="180">
        <f>3000+35</f>
        <v>3035</v>
      </c>
      <c r="H39" s="180">
        <v>235</v>
      </c>
      <c r="I39" s="180">
        <v>35</v>
      </c>
      <c r="J39" s="180">
        <v>35</v>
      </c>
      <c r="K39" s="180">
        <v>35</v>
      </c>
      <c r="L39" s="180">
        <v>35</v>
      </c>
      <c r="M39" s="180">
        <v>35</v>
      </c>
      <c r="N39" s="155">
        <f aca="true" t="shared" si="3" ref="N39:N45">SUM(B39:M39)</f>
        <v>4370</v>
      </c>
    </row>
    <row r="40" spans="1:14" ht="12.75">
      <c r="A40" s="179" t="s">
        <v>117</v>
      </c>
      <c r="B40" s="154">
        <f>150+150</f>
        <v>300</v>
      </c>
      <c r="C40" s="154">
        <v>250</v>
      </c>
      <c r="D40" s="154">
        <f>100+300</f>
        <v>400</v>
      </c>
      <c r="E40" s="154">
        <f>3000+50</f>
        <v>3050</v>
      </c>
      <c r="F40" s="154">
        <v>700</v>
      </c>
      <c r="G40" s="154">
        <v>280</v>
      </c>
      <c r="H40" s="154">
        <v>500</v>
      </c>
      <c r="I40" s="154">
        <f>100+300</f>
        <v>400</v>
      </c>
      <c r="J40" s="154">
        <f>250+200</f>
        <v>450</v>
      </c>
      <c r="K40" s="154">
        <v>60</v>
      </c>
      <c r="L40" s="154">
        <v>350</v>
      </c>
      <c r="M40" s="154">
        <v>230</v>
      </c>
      <c r="N40" s="155">
        <f t="shared" si="3"/>
        <v>6970</v>
      </c>
    </row>
    <row r="41" spans="1:19" ht="12.75">
      <c r="A41" s="158" t="s">
        <v>118</v>
      </c>
      <c r="B41" s="154">
        <f>500+200</f>
        <v>700</v>
      </c>
      <c r="C41" s="154">
        <v>100</v>
      </c>
      <c r="D41" s="154">
        <f>2500+400</f>
        <v>2900</v>
      </c>
      <c r="E41" s="154">
        <v>100</v>
      </c>
      <c r="F41" s="154">
        <v>750</v>
      </c>
      <c r="G41" s="154">
        <v>100</v>
      </c>
      <c r="H41" s="154">
        <v>100</v>
      </c>
      <c r="I41" s="154">
        <v>150</v>
      </c>
      <c r="J41" s="154">
        <v>750</v>
      </c>
      <c r="K41" s="154">
        <v>150</v>
      </c>
      <c r="L41" s="154">
        <v>300</v>
      </c>
      <c r="M41" s="154">
        <v>100</v>
      </c>
      <c r="N41" s="155">
        <f t="shared" si="3"/>
        <v>6200</v>
      </c>
      <c r="O41" s="54"/>
      <c r="P41" s="54"/>
      <c r="Q41" s="54"/>
      <c r="R41" s="54"/>
      <c r="S41" s="54"/>
    </row>
    <row r="42" spans="1:14" ht="12.75">
      <c r="A42" s="158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5">
        <f t="shared" si="3"/>
        <v>0</v>
      </c>
    </row>
    <row r="43" spans="1:14" ht="12.75">
      <c r="A43" s="159"/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5">
        <f t="shared" si="3"/>
        <v>0</v>
      </c>
    </row>
    <row r="44" spans="1:14" ht="12.75">
      <c r="A44" s="159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5">
        <f t="shared" si="3"/>
        <v>0</v>
      </c>
    </row>
    <row r="45" spans="1:14" ht="12.75">
      <c r="A45" s="159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5">
        <f t="shared" si="3"/>
        <v>0</v>
      </c>
    </row>
    <row r="46" spans="1:14" ht="12.75">
      <c r="A46" s="154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48">
        <f aca="true" t="shared" si="4" ref="N46:N53">SUM(B46:M46)</f>
        <v>0</v>
      </c>
    </row>
    <row r="47" spans="1:14" ht="12.75">
      <c r="A47" s="154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48">
        <f t="shared" si="4"/>
        <v>0</v>
      </c>
    </row>
    <row r="48" spans="1:14" ht="12.75">
      <c r="A48" s="154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48">
        <f t="shared" si="4"/>
        <v>0</v>
      </c>
    </row>
    <row r="49" spans="1:14" ht="12.75">
      <c r="A49" s="154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48">
        <f t="shared" si="4"/>
        <v>0</v>
      </c>
    </row>
    <row r="50" spans="1:14" ht="12.75">
      <c r="A50" s="154"/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48">
        <f t="shared" si="4"/>
        <v>0</v>
      </c>
    </row>
    <row r="51" spans="1:14" ht="12.75">
      <c r="A51" s="154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48">
        <f t="shared" si="4"/>
        <v>0</v>
      </c>
    </row>
    <row r="52" spans="1:14" ht="12.75">
      <c r="A52" s="154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48">
        <f t="shared" si="4"/>
        <v>0</v>
      </c>
    </row>
    <row r="53" spans="1:14" ht="12.75">
      <c r="A53" s="154"/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49">
        <f t="shared" si="4"/>
        <v>0</v>
      </c>
    </row>
    <row r="54" spans="1:15" ht="12.75">
      <c r="A54" s="153" t="s">
        <v>119</v>
      </c>
      <c r="B54" s="157">
        <f aca="true" t="shared" si="5" ref="B54:N54">SUM(B39:B53)</f>
        <v>1235</v>
      </c>
      <c r="C54" s="157">
        <f t="shared" si="5"/>
        <v>385</v>
      </c>
      <c r="D54" s="157">
        <f t="shared" si="5"/>
        <v>3335</v>
      </c>
      <c r="E54" s="157">
        <f t="shared" si="5"/>
        <v>3435</v>
      </c>
      <c r="F54" s="157">
        <f t="shared" si="5"/>
        <v>1785</v>
      </c>
      <c r="G54" s="157">
        <f t="shared" si="5"/>
        <v>3415</v>
      </c>
      <c r="H54" s="157">
        <f t="shared" si="5"/>
        <v>835</v>
      </c>
      <c r="I54" s="157">
        <f t="shared" si="5"/>
        <v>585</v>
      </c>
      <c r="J54" s="157">
        <f t="shared" si="5"/>
        <v>1235</v>
      </c>
      <c r="K54" s="157">
        <f t="shared" si="5"/>
        <v>245</v>
      </c>
      <c r="L54" s="157">
        <f t="shared" si="5"/>
        <v>685</v>
      </c>
      <c r="M54" s="157">
        <f t="shared" si="5"/>
        <v>365</v>
      </c>
      <c r="N54" s="55">
        <f t="shared" si="5"/>
        <v>17540</v>
      </c>
      <c r="O54" s="3">
        <f>SUM(B54:M54)</f>
        <v>17540</v>
      </c>
    </row>
    <row r="55" spans="1:14" ht="13.5" thickBot="1">
      <c r="A55" s="56" t="s">
        <v>124</v>
      </c>
      <c r="B55" s="57">
        <f>+B34+B54</f>
        <v>3611</v>
      </c>
      <c r="C55" s="57">
        <f aca="true" t="shared" si="6" ref="C55:N55">+C34+C54</f>
        <v>1451</v>
      </c>
      <c r="D55" s="57">
        <f t="shared" si="6"/>
        <v>4401</v>
      </c>
      <c r="E55" s="57">
        <f t="shared" si="6"/>
        <v>4611</v>
      </c>
      <c r="F55" s="57">
        <f t="shared" si="6"/>
        <v>3851</v>
      </c>
      <c r="G55" s="57">
        <f t="shared" si="6"/>
        <v>4481</v>
      </c>
      <c r="H55" s="57">
        <f t="shared" si="6"/>
        <v>2211</v>
      </c>
      <c r="I55" s="57">
        <f t="shared" si="6"/>
        <v>1651</v>
      </c>
      <c r="J55" s="57">
        <f t="shared" si="6"/>
        <v>3346</v>
      </c>
      <c r="K55" s="57">
        <f t="shared" si="6"/>
        <v>1421</v>
      </c>
      <c r="L55" s="57">
        <f t="shared" si="6"/>
        <v>1751</v>
      </c>
      <c r="M55" s="57">
        <f t="shared" si="6"/>
        <v>1656</v>
      </c>
      <c r="N55" s="57">
        <f t="shared" si="6"/>
        <v>34442</v>
      </c>
    </row>
    <row r="56" ht="13.5" thickTop="1"/>
    <row r="59" spans="1:14" ht="12.75">
      <c r="A59" s="3" t="str">
        <f>+A1</f>
        <v>FRANCISCAN SISTERS OF THE POOR</v>
      </c>
      <c r="N59" s="58" t="str">
        <f>+N1</f>
        <v> 2013</v>
      </c>
    </row>
    <row r="60" ht="12.75">
      <c r="A60" s="59" t="str">
        <f>+A2</f>
        <v>DUMAGUETE, PHILIPPINES</v>
      </c>
    </row>
    <row r="62" ht="12.75">
      <c r="A62" s="3" t="str">
        <f>+A4</f>
        <v>**</v>
      </c>
    </row>
    <row r="64" spans="1:14" ht="13.5">
      <c r="A64" s="48" t="s">
        <v>32</v>
      </c>
      <c r="N64" s="49" t="s">
        <v>33</v>
      </c>
    </row>
    <row r="66" spans="1:14" ht="12.75">
      <c r="A66" s="50"/>
      <c r="B66" s="150" t="s">
        <v>4</v>
      </c>
      <c r="C66" s="150" t="s">
        <v>5</v>
      </c>
      <c r="D66" s="150" t="s">
        <v>6</v>
      </c>
      <c r="E66" s="150" t="s">
        <v>7</v>
      </c>
      <c r="F66" s="150" t="s">
        <v>8</v>
      </c>
      <c r="G66" s="150" t="s">
        <v>9</v>
      </c>
      <c r="H66" s="150" t="s">
        <v>10</v>
      </c>
      <c r="I66" s="150" t="s">
        <v>11</v>
      </c>
      <c r="J66" s="150" t="s">
        <v>12</v>
      </c>
      <c r="K66" s="150" t="s">
        <v>13</v>
      </c>
      <c r="L66" s="150" t="s">
        <v>14</v>
      </c>
      <c r="M66" s="150" t="s">
        <v>15</v>
      </c>
      <c r="N66" s="60" t="s">
        <v>16</v>
      </c>
    </row>
    <row r="67" spans="1:14" ht="12.75">
      <c r="A67" s="160" t="s">
        <v>121</v>
      </c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61">
        <f>SUM(B67:M67)</f>
        <v>0</v>
      </c>
    </row>
    <row r="68" spans="1:14" ht="12.75">
      <c r="A68" s="165" t="s">
        <v>122</v>
      </c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62">
        <f>SUM(B68:M68)</f>
        <v>0</v>
      </c>
    </row>
    <row r="69" spans="1:14" ht="12.75">
      <c r="A69" s="165" t="s">
        <v>123</v>
      </c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62">
        <f>SUM(B69:M69)</f>
        <v>0</v>
      </c>
    </row>
    <row r="70" spans="1:14" s="86" customFormat="1" ht="13.5" thickBot="1">
      <c r="A70" s="167"/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63">
        <f>SUM(B70:M70)</f>
        <v>0</v>
      </c>
    </row>
    <row r="71" spans="1:15" ht="14.25" thickBot="1">
      <c r="A71" s="166" t="s">
        <v>125</v>
      </c>
      <c r="B71" s="164">
        <f>SUM(B67:B70)</f>
        <v>0</v>
      </c>
      <c r="C71" s="164">
        <f aca="true" t="shared" si="7" ref="C71:N71">SUM(C67:C70)</f>
        <v>0</v>
      </c>
      <c r="D71" s="164">
        <f t="shared" si="7"/>
        <v>0</v>
      </c>
      <c r="E71" s="164">
        <f t="shared" si="7"/>
        <v>0</v>
      </c>
      <c r="F71" s="164">
        <f t="shared" si="7"/>
        <v>0</v>
      </c>
      <c r="G71" s="164">
        <f t="shared" si="7"/>
        <v>0</v>
      </c>
      <c r="H71" s="164">
        <f t="shared" si="7"/>
        <v>0</v>
      </c>
      <c r="I71" s="164">
        <f t="shared" si="7"/>
        <v>0</v>
      </c>
      <c r="J71" s="164">
        <f t="shared" si="7"/>
        <v>0</v>
      </c>
      <c r="K71" s="164">
        <f t="shared" si="7"/>
        <v>0</v>
      </c>
      <c r="L71" s="164">
        <f t="shared" si="7"/>
        <v>0</v>
      </c>
      <c r="M71" s="164">
        <f t="shared" si="7"/>
        <v>0</v>
      </c>
      <c r="N71" s="62">
        <f t="shared" si="7"/>
        <v>0</v>
      </c>
      <c r="O71" s="3">
        <f>SUM(B71:M71)</f>
        <v>0</v>
      </c>
    </row>
    <row r="72" spans="1:14" ht="12.75">
      <c r="A72" s="63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5"/>
    </row>
    <row r="73" spans="1:14" ht="12.75">
      <c r="A73" s="168" t="s">
        <v>36</v>
      </c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61"/>
    </row>
    <row r="74" spans="1:16" ht="12.75">
      <c r="A74" s="179" t="s">
        <v>116</v>
      </c>
      <c r="B74" s="154">
        <f>+P74</f>
        <v>298.8535216166667</v>
      </c>
      <c r="C74" s="154">
        <f>+B74</f>
        <v>298.8535216166667</v>
      </c>
      <c r="D74" s="154">
        <f>+B74</f>
        <v>298.8535216166667</v>
      </c>
      <c r="E74" s="154">
        <f>+B74</f>
        <v>298.8535216166667</v>
      </c>
      <c r="F74" s="154">
        <f>+B74</f>
        <v>298.8535216166667</v>
      </c>
      <c r="G74" s="154">
        <f>+B74</f>
        <v>298.8535216166667</v>
      </c>
      <c r="H74" s="154">
        <f>+B74</f>
        <v>298.8535216166667</v>
      </c>
      <c r="I74" s="154">
        <f>+B74</f>
        <v>298.8535216166667</v>
      </c>
      <c r="J74" s="154">
        <f>+B74</f>
        <v>298.8535216166667</v>
      </c>
      <c r="K74" s="154">
        <f>+B74</f>
        <v>298.8535216166667</v>
      </c>
      <c r="L74" s="154">
        <f>+B74</f>
        <v>298.8535216166667</v>
      </c>
      <c r="M74" s="154">
        <f>+B74</f>
        <v>298.8535216166667</v>
      </c>
      <c r="N74" s="161">
        <f>SUM(B74:M74)</f>
        <v>3586.2422593999995</v>
      </c>
      <c r="O74" s="3">
        <f>192085.82*0.01867</f>
        <v>3586.2422594</v>
      </c>
      <c r="P74" s="3">
        <f>+O74/12</f>
        <v>298.8535216166667</v>
      </c>
    </row>
    <row r="75" spans="1:14" ht="12.75">
      <c r="A75" s="167"/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61">
        <f>SUM(B75:M75)</f>
        <v>0</v>
      </c>
    </row>
    <row r="76" spans="1:14" ht="12.75">
      <c r="A76" s="167"/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61">
        <f>SUM(B76:M76)</f>
        <v>0</v>
      </c>
    </row>
    <row r="77" spans="1:14" s="86" customFormat="1" ht="12.75">
      <c r="A77" s="167"/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63">
        <f>SUM(B77:M77)</f>
        <v>0</v>
      </c>
    </row>
    <row r="78" spans="1:14" s="11" customFormat="1" ht="12.75">
      <c r="A78" s="170" t="s">
        <v>48</v>
      </c>
      <c r="B78" s="170">
        <f>SUM(B74:B77)</f>
        <v>298.8535216166667</v>
      </c>
      <c r="C78" s="170">
        <f aca="true" t="shared" si="8" ref="C78:N78">SUM(C74:C77)</f>
        <v>298.8535216166667</v>
      </c>
      <c r="D78" s="170">
        <f t="shared" si="8"/>
        <v>298.8535216166667</v>
      </c>
      <c r="E78" s="170">
        <f t="shared" si="8"/>
        <v>298.8535216166667</v>
      </c>
      <c r="F78" s="170">
        <f t="shared" si="8"/>
        <v>298.8535216166667</v>
      </c>
      <c r="G78" s="170">
        <f t="shared" si="8"/>
        <v>298.8535216166667</v>
      </c>
      <c r="H78" s="170">
        <f t="shared" si="8"/>
        <v>298.8535216166667</v>
      </c>
      <c r="I78" s="170">
        <f t="shared" si="8"/>
        <v>298.8535216166667</v>
      </c>
      <c r="J78" s="170">
        <f t="shared" si="8"/>
        <v>298.8535216166667</v>
      </c>
      <c r="K78" s="170">
        <f t="shared" si="8"/>
        <v>298.8535216166667</v>
      </c>
      <c r="L78" s="170">
        <f t="shared" si="8"/>
        <v>298.8535216166667</v>
      </c>
      <c r="M78" s="170">
        <f t="shared" si="8"/>
        <v>298.8535216166667</v>
      </c>
      <c r="N78" s="10">
        <f t="shared" si="8"/>
        <v>3586.2422593999995</v>
      </c>
    </row>
    <row r="79" spans="1:14" ht="12.75">
      <c r="A79" s="159"/>
      <c r="B79" s="154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69">
        <f>SUM(B79:M79)</f>
        <v>0</v>
      </c>
    </row>
    <row r="80" spans="1:14" ht="12.75">
      <c r="A80" s="154"/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61">
        <f>SUM(B80:M80)</f>
        <v>0</v>
      </c>
    </row>
    <row r="81" spans="1:14" ht="12.75">
      <c r="A81" s="154"/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62">
        <f>SUM(B81:M81)</f>
        <v>0</v>
      </c>
    </row>
    <row r="82" spans="1:14" ht="13.5" thickBot="1">
      <c r="A82" s="171" t="s">
        <v>47</v>
      </c>
      <c r="B82" s="171">
        <f>SUM(B79:B81)</f>
        <v>0</v>
      </c>
      <c r="C82" s="171">
        <f aca="true" t="shared" si="9" ref="C82:M82">SUM(C79:C81)</f>
        <v>0</v>
      </c>
      <c r="D82" s="171">
        <f t="shared" si="9"/>
        <v>0</v>
      </c>
      <c r="E82" s="171">
        <f t="shared" si="9"/>
        <v>0</v>
      </c>
      <c r="F82" s="171">
        <f t="shared" si="9"/>
        <v>0</v>
      </c>
      <c r="G82" s="171">
        <f t="shared" si="9"/>
        <v>0</v>
      </c>
      <c r="H82" s="171">
        <f t="shared" si="9"/>
        <v>0</v>
      </c>
      <c r="I82" s="171">
        <f t="shared" si="9"/>
        <v>0</v>
      </c>
      <c r="J82" s="171">
        <f t="shared" si="9"/>
        <v>0</v>
      </c>
      <c r="K82" s="171">
        <f t="shared" si="9"/>
        <v>0</v>
      </c>
      <c r="L82" s="171">
        <f t="shared" si="9"/>
        <v>0</v>
      </c>
      <c r="M82" s="171">
        <f t="shared" si="9"/>
        <v>0</v>
      </c>
      <c r="N82" s="9">
        <f>SUM(B82:M82)</f>
        <v>0</v>
      </c>
    </row>
    <row r="83" spans="1:15" ht="14.25" thickBot="1">
      <c r="A83" s="66" t="s">
        <v>37</v>
      </c>
      <c r="B83" s="67">
        <f>SUM(B73:B82)-B78-B82</f>
        <v>298.8535216166667</v>
      </c>
      <c r="C83" s="67">
        <f aca="true" t="shared" si="10" ref="C83:N83">SUM(C73:C82)-C78-C82</f>
        <v>298.8535216166667</v>
      </c>
      <c r="D83" s="67">
        <f t="shared" si="10"/>
        <v>298.8535216166667</v>
      </c>
      <c r="E83" s="67">
        <f t="shared" si="10"/>
        <v>298.8535216166667</v>
      </c>
      <c r="F83" s="67">
        <f t="shared" si="10"/>
        <v>298.8535216166667</v>
      </c>
      <c r="G83" s="67">
        <f t="shared" si="10"/>
        <v>298.8535216166667</v>
      </c>
      <c r="H83" s="67">
        <f t="shared" si="10"/>
        <v>298.8535216166667</v>
      </c>
      <c r="I83" s="67">
        <f t="shared" si="10"/>
        <v>298.8535216166667</v>
      </c>
      <c r="J83" s="67">
        <f t="shared" si="10"/>
        <v>298.8535216166667</v>
      </c>
      <c r="K83" s="67">
        <f t="shared" si="10"/>
        <v>298.8535216166667</v>
      </c>
      <c r="L83" s="67">
        <f t="shared" si="10"/>
        <v>298.8535216166667</v>
      </c>
      <c r="M83" s="67">
        <f t="shared" si="10"/>
        <v>298.8535216166667</v>
      </c>
      <c r="N83" s="67">
        <f t="shared" si="10"/>
        <v>3586.2422593999995</v>
      </c>
      <c r="O83" s="3">
        <f>SUM(B83:M83)</f>
        <v>3586.2422593999995</v>
      </c>
    </row>
    <row r="84" spans="1:14" ht="12.75">
      <c r="A84" s="173" t="s">
        <v>38</v>
      </c>
      <c r="B84" s="156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61"/>
    </row>
    <row r="85" spans="1:14" ht="12.75">
      <c r="A85" s="174"/>
      <c r="B85" s="154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72">
        <f>SUM(B85:M85)</f>
        <v>0</v>
      </c>
    </row>
    <row r="86" spans="1:14" ht="12.75">
      <c r="A86" s="154"/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72">
        <f>SUM(B86:M86)</f>
        <v>0</v>
      </c>
    </row>
    <row r="87" spans="1:14" ht="12.75">
      <c r="A87" s="154"/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72">
        <f>SUM(B87:M87)</f>
        <v>0</v>
      </c>
    </row>
    <row r="88" spans="1:15" ht="12.75">
      <c r="A88" s="176" t="s">
        <v>39</v>
      </c>
      <c r="B88" s="176">
        <f>SUM(B85:B87)</f>
        <v>0</v>
      </c>
      <c r="C88" s="176">
        <f aca="true" t="shared" si="11" ref="C88:N88">SUM(C85:C87)</f>
        <v>0</v>
      </c>
      <c r="D88" s="176">
        <f t="shared" si="11"/>
        <v>0</v>
      </c>
      <c r="E88" s="176">
        <f t="shared" si="11"/>
        <v>0</v>
      </c>
      <c r="F88" s="176">
        <f t="shared" si="11"/>
        <v>0</v>
      </c>
      <c r="G88" s="176">
        <f t="shared" si="11"/>
        <v>0</v>
      </c>
      <c r="H88" s="176">
        <f t="shared" si="11"/>
        <v>0</v>
      </c>
      <c r="I88" s="176">
        <f t="shared" si="11"/>
        <v>0</v>
      </c>
      <c r="J88" s="176">
        <f t="shared" si="11"/>
        <v>0</v>
      </c>
      <c r="K88" s="176">
        <f t="shared" si="11"/>
        <v>0</v>
      </c>
      <c r="L88" s="176">
        <f t="shared" si="11"/>
        <v>0</v>
      </c>
      <c r="M88" s="176">
        <f t="shared" si="11"/>
        <v>0</v>
      </c>
      <c r="N88" s="2">
        <f t="shared" si="11"/>
        <v>0</v>
      </c>
      <c r="O88" s="3">
        <f>SUM(B88:M88)</f>
        <v>0</v>
      </c>
    </row>
    <row r="89" spans="1:14" ht="12.75">
      <c r="A89" s="174" t="s">
        <v>117</v>
      </c>
      <c r="B89" s="154">
        <v>2000</v>
      </c>
      <c r="C89" s="154">
        <v>2000</v>
      </c>
      <c r="D89" s="154">
        <v>2000</v>
      </c>
      <c r="E89" s="154">
        <v>2000</v>
      </c>
      <c r="F89" s="154">
        <v>2000</v>
      </c>
      <c r="G89" s="154">
        <v>2000</v>
      </c>
      <c r="H89" s="154">
        <v>2000</v>
      </c>
      <c r="I89" s="154">
        <v>2000</v>
      </c>
      <c r="J89" s="154">
        <v>2000</v>
      </c>
      <c r="K89" s="154">
        <v>2000</v>
      </c>
      <c r="L89" s="154">
        <v>2000</v>
      </c>
      <c r="M89" s="154">
        <v>2000</v>
      </c>
      <c r="N89" s="172">
        <f>SUM(B89:M89)</f>
        <v>24000</v>
      </c>
    </row>
    <row r="90" spans="1:14" ht="12.75">
      <c r="A90" s="159"/>
      <c r="B90" s="154"/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72">
        <f>SUM(B90:M90)</f>
        <v>0</v>
      </c>
    </row>
    <row r="91" spans="1:14" ht="12.75">
      <c r="A91" s="159"/>
      <c r="B91" s="154"/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72">
        <f>SUM(B91:M91)</f>
        <v>0</v>
      </c>
    </row>
    <row r="92" spans="1:14" ht="12.75">
      <c r="A92" s="154"/>
      <c r="B92" s="154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75">
        <f>SUM(B92:M92)</f>
        <v>0</v>
      </c>
    </row>
    <row r="93" spans="1:15" ht="13.5" thickBot="1">
      <c r="A93" s="177" t="s">
        <v>40</v>
      </c>
      <c r="B93" s="178">
        <f>SUM(B89:B92)</f>
        <v>2000</v>
      </c>
      <c r="C93" s="178">
        <f aca="true" t="shared" si="12" ref="C93:N93">SUM(C89:C92)</f>
        <v>2000</v>
      </c>
      <c r="D93" s="178">
        <f t="shared" si="12"/>
        <v>2000</v>
      </c>
      <c r="E93" s="178">
        <f t="shared" si="12"/>
        <v>2000</v>
      </c>
      <c r="F93" s="178">
        <f t="shared" si="12"/>
        <v>2000</v>
      </c>
      <c r="G93" s="178">
        <f t="shared" si="12"/>
        <v>2000</v>
      </c>
      <c r="H93" s="178">
        <f t="shared" si="12"/>
        <v>2000</v>
      </c>
      <c r="I93" s="178">
        <f t="shared" si="12"/>
        <v>2000</v>
      </c>
      <c r="J93" s="178">
        <f t="shared" si="12"/>
        <v>2000</v>
      </c>
      <c r="K93" s="178">
        <f t="shared" si="12"/>
        <v>2000</v>
      </c>
      <c r="L93" s="178">
        <f t="shared" si="12"/>
        <v>2000</v>
      </c>
      <c r="M93" s="178">
        <f t="shared" si="12"/>
        <v>2000</v>
      </c>
      <c r="N93" s="6">
        <f t="shared" si="12"/>
        <v>24000</v>
      </c>
      <c r="O93" s="3">
        <f>SUM(B93:M93)</f>
        <v>24000</v>
      </c>
    </row>
    <row r="94" spans="1:15" ht="13.5">
      <c r="A94" s="7" t="s">
        <v>41</v>
      </c>
      <c r="B94" s="8">
        <f>SUM(B85:B93)-B88-B93</f>
        <v>2000</v>
      </c>
      <c r="C94" s="8">
        <f aca="true" t="shared" si="13" ref="C94:N94">SUM(C85:C93)-C88-C93</f>
        <v>2000</v>
      </c>
      <c r="D94" s="8">
        <f t="shared" si="13"/>
        <v>2000</v>
      </c>
      <c r="E94" s="8">
        <f t="shared" si="13"/>
        <v>2000</v>
      </c>
      <c r="F94" s="8">
        <f t="shared" si="13"/>
        <v>2000</v>
      </c>
      <c r="G94" s="8">
        <f t="shared" si="13"/>
        <v>2000</v>
      </c>
      <c r="H94" s="8">
        <f t="shared" si="13"/>
        <v>2000</v>
      </c>
      <c r="I94" s="8">
        <f t="shared" si="13"/>
        <v>2000</v>
      </c>
      <c r="J94" s="8">
        <f t="shared" si="13"/>
        <v>2000</v>
      </c>
      <c r="K94" s="8">
        <f t="shared" si="13"/>
        <v>2000</v>
      </c>
      <c r="L94" s="8">
        <f t="shared" si="13"/>
        <v>2000</v>
      </c>
      <c r="M94" s="8">
        <f t="shared" si="13"/>
        <v>2000</v>
      </c>
      <c r="N94" s="8">
        <f t="shared" si="13"/>
        <v>24000</v>
      </c>
      <c r="O94" s="3">
        <f>SUM(B94:M94)</f>
        <v>24000</v>
      </c>
    </row>
    <row r="95" spans="1:15" ht="13.5" thickBot="1">
      <c r="A95" s="68" t="s">
        <v>42</v>
      </c>
      <c r="B95" s="69">
        <f aca="true" t="shared" si="14" ref="B95:N95">+B71+B83+B94</f>
        <v>2298.8535216166665</v>
      </c>
      <c r="C95" s="69">
        <f t="shared" si="14"/>
        <v>2298.8535216166665</v>
      </c>
      <c r="D95" s="69">
        <f t="shared" si="14"/>
        <v>2298.8535216166665</v>
      </c>
      <c r="E95" s="69">
        <f t="shared" si="14"/>
        <v>2298.8535216166665</v>
      </c>
      <c r="F95" s="69">
        <f t="shared" si="14"/>
        <v>2298.8535216166665</v>
      </c>
      <c r="G95" s="69">
        <f t="shared" si="14"/>
        <v>2298.8535216166665</v>
      </c>
      <c r="H95" s="69">
        <f t="shared" si="14"/>
        <v>2298.8535216166665</v>
      </c>
      <c r="I95" s="69">
        <f t="shared" si="14"/>
        <v>2298.8535216166665</v>
      </c>
      <c r="J95" s="69">
        <f t="shared" si="14"/>
        <v>2298.8535216166665</v>
      </c>
      <c r="K95" s="69">
        <f t="shared" si="14"/>
        <v>2298.8535216166665</v>
      </c>
      <c r="L95" s="69">
        <f t="shared" si="14"/>
        <v>2298.8535216166665</v>
      </c>
      <c r="M95" s="69">
        <f t="shared" si="14"/>
        <v>2298.8535216166665</v>
      </c>
      <c r="N95" s="69">
        <f t="shared" si="14"/>
        <v>27586.242259399998</v>
      </c>
      <c r="O95" s="3">
        <f>SUM(B95:M95)</f>
        <v>27586.242259400005</v>
      </c>
    </row>
    <row r="96" ht="14.25" thickBot="1" thickTop="1"/>
    <row r="97" spans="1:15" ht="14.25" thickBot="1" thickTop="1">
      <c r="A97" s="70" t="s">
        <v>43</v>
      </c>
      <c r="B97" s="70">
        <f aca="true" t="shared" si="15" ref="B97:N97">+B95-B55</f>
        <v>-1312.1464783833335</v>
      </c>
      <c r="C97" s="70">
        <f t="shared" si="15"/>
        <v>847.8535216166665</v>
      </c>
      <c r="D97" s="70">
        <f t="shared" si="15"/>
        <v>-2102.1464783833335</v>
      </c>
      <c r="E97" s="70">
        <f t="shared" si="15"/>
        <v>-2312.1464783833335</v>
      </c>
      <c r="F97" s="70">
        <f t="shared" si="15"/>
        <v>-1552.1464783833335</v>
      </c>
      <c r="G97" s="70">
        <f t="shared" si="15"/>
        <v>-2182.1464783833335</v>
      </c>
      <c r="H97" s="70">
        <f t="shared" si="15"/>
        <v>87.85352161666651</v>
      </c>
      <c r="I97" s="70">
        <f t="shared" si="15"/>
        <v>647.8535216166665</v>
      </c>
      <c r="J97" s="70">
        <f t="shared" si="15"/>
        <v>-1047.1464783833335</v>
      </c>
      <c r="K97" s="70">
        <f t="shared" si="15"/>
        <v>877.8535216166665</v>
      </c>
      <c r="L97" s="70">
        <f t="shared" si="15"/>
        <v>547.8535216166665</v>
      </c>
      <c r="M97" s="70">
        <f t="shared" si="15"/>
        <v>642.8535216166665</v>
      </c>
      <c r="N97" s="70">
        <f t="shared" si="15"/>
        <v>-6855.757740600002</v>
      </c>
      <c r="O97" s="3">
        <f>SUM(B97:M97)</f>
        <v>-6855.757740600003</v>
      </c>
    </row>
    <row r="98" ht="13.5" thickTop="1"/>
    <row r="99" ht="13.5">
      <c r="A99" s="53" t="s">
        <v>44</v>
      </c>
    </row>
    <row r="100" spans="1:14" ht="13.5">
      <c r="A100" s="53"/>
      <c r="B100" s="71" t="s">
        <v>4</v>
      </c>
      <c r="C100" s="71" t="s">
        <v>5</v>
      </c>
      <c r="D100" s="71" t="s">
        <v>6</v>
      </c>
      <c r="E100" s="71" t="s">
        <v>7</v>
      </c>
      <c r="F100" s="71" t="s">
        <v>8</v>
      </c>
      <c r="G100" s="71" t="s">
        <v>9</v>
      </c>
      <c r="H100" s="71" t="s">
        <v>10</v>
      </c>
      <c r="I100" s="71" t="s">
        <v>11</v>
      </c>
      <c r="J100" s="71" t="s">
        <v>12</v>
      </c>
      <c r="K100" s="71" t="s">
        <v>13</v>
      </c>
      <c r="L100" s="71" t="s">
        <v>14</v>
      </c>
      <c r="M100" s="71" t="s">
        <v>15</v>
      </c>
      <c r="N100" s="71" t="s">
        <v>16</v>
      </c>
    </row>
    <row r="101" spans="1:14" ht="19.5" customHeight="1">
      <c r="A101" s="72" t="s">
        <v>2</v>
      </c>
      <c r="B101" s="73">
        <f aca="true" t="shared" si="16" ref="B101:N101">B34</f>
        <v>2376</v>
      </c>
      <c r="C101" s="73">
        <f t="shared" si="16"/>
        <v>1066</v>
      </c>
      <c r="D101" s="73">
        <f t="shared" si="16"/>
        <v>1066</v>
      </c>
      <c r="E101" s="73">
        <f t="shared" si="16"/>
        <v>1176</v>
      </c>
      <c r="F101" s="73">
        <f t="shared" si="16"/>
        <v>2066</v>
      </c>
      <c r="G101" s="73">
        <f t="shared" si="16"/>
        <v>1066</v>
      </c>
      <c r="H101" s="73">
        <f t="shared" si="16"/>
        <v>1376</v>
      </c>
      <c r="I101" s="73">
        <f t="shared" si="16"/>
        <v>1066</v>
      </c>
      <c r="J101" s="73">
        <f t="shared" si="16"/>
        <v>2111</v>
      </c>
      <c r="K101" s="73">
        <f t="shared" si="16"/>
        <v>1176</v>
      </c>
      <c r="L101" s="73">
        <f t="shared" si="16"/>
        <v>1066</v>
      </c>
      <c r="M101" s="73">
        <f t="shared" si="16"/>
        <v>1291</v>
      </c>
      <c r="N101" s="73">
        <f t="shared" si="16"/>
        <v>16902</v>
      </c>
    </row>
    <row r="102" spans="1:14" ht="19.5" customHeight="1">
      <c r="A102" s="74" t="s">
        <v>29</v>
      </c>
      <c r="B102" s="75">
        <f aca="true" t="shared" si="17" ref="B102:N102">SUM(B54)</f>
        <v>1235</v>
      </c>
      <c r="C102" s="75">
        <f t="shared" si="17"/>
        <v>385</v>
      </c>
      <c r="D102" s="75">
        <f t="shared" si="17"/>
        <v>3335</v>
      </c>
      <c r="E102" s="75">
        <f t="shared" si="17"/>
        <v>3435</v>
      </c>
      <c r="F102" s="75">
        <f t="shared" si="17"/>
        <v>1785</v>
      </c>
      <c r="G102" s="75">
        <f t="shared" si="17"/>
        <v>3415</v>
      </c>
      <c r="H102" s="75">
        <f t="shared" si="17"/>
        <v>835</v>
      </c>
      <c r="I102" s="75">
        <f t="shared" si="17"/>
        <v>585</v>
      </c>
      <c r="J102" s="75">
        <f t="shared" si="17"/>
        <v>1235</v>
      </c>
      <c r="K102" s="75">
        <f t="shared" si="17"/>
        <v>245</v>
      </c>
      <c r="L102" s="75">
        <f t="shared" si="17"/>
        <v>685</v>
      </c>
      <c r="M102" s="75">
        <f t="shared" si="17"/>
        <v>365</v>
      </c>
      <c r="N102" s="75">
        <f t="shared" si="17"/>
        <v>17540</v>
      </c>
    </row>
    <row r="103" spans="1:14" ht="19.5" customHeight="1">
      <c r="A103" s="76" t="s">
        <v>31</v>
      </c>
      <c r="B103" s="77">
        <f>SUM(B101:B102)</f>
        <v>3611</v>
      </c>
      <c r="C103" s="77">
        <f aca="true" t="shared" si="18" ref="C103:N103">SUM(C101:C102)</f>
        <v>1451</v>
      </c>
      <c r="D103" s="77">
        <f t="shared" si="18"/>
        <v>4401</v>
      </c>
      <c r="E103" s="77">
        <f t="shared" si="18"/>
        <v>4611</v>
      </c>
      <c r="F103" s="77">
        <f t="shared" si="18"/>
        <v>3851</v>
      </c>
      <c r="G103" s="77">
        <f t="shared" si="18"/>
        <v>4481</v>
      </c>
      <c r="H103" s="77">
        <f t="shared" si="18"/>
        <v>2211</v>
      </c>
      <c r="I103" s="77">
        <f t="shared" si="18"/>
        <v>1651</v>
      </c>
      <c r="J103" s="77">
        <f t="shared" si="18"/>
        <v>3346</v>
      </c>
      <c r="K103" s="77">
        <f t="shared" si="18"/>
        <v>1421</v>
      </c>
      <c r="L103" s="77">
        <f t="shared" si="18"/>
        <v>1751</v>
      </c>
      <c r="M103" s="77">
        <f t="shared" si="18"/>
        <v>1656</v>
      </c>
      <c r="N103" s="77">
        <f t="shared" si="18"/>
        <v>34442</v>
      </c>
    </row>
    <row r="104" spans="1:14" ht="19.5" customHeight="1">
      <c r="A104" s="78" t="s">
        <v>42</v>
      </c>
      <c r="B104" s="79">
        <f aca="true" t="shared" si="19" ref="B104:N104">SUM(B95)</f>
        <v>2298.8535216166665</v>
      </c>
      <c r="C104" s="79">
        <f t="shared" si="19"/>
        <v>2298.8535216166665</v>
      </c>
      <c r="D104" s="79">
        <f t="shared" si="19"/>
        <v>2298.8535216166665</v>
      </c>
      <c r="E104" s="79">
        <f t="shared" si="19"/>
        <v>2298.8535216166665</v>
      </c>
      <c r="F104" s="79">
        <f t="shared" si="19"/>
        <v>2298.8535216166665</v>
      </c>
      <c r="G104" s="79">
        <f t="shared" si="19"/>
        <v>2298.8535216166665</v>
      </c>
      <c r="H104" s="79">
        <f t="shared" si="19"/>
        <v>2298.8535216166665</v>
      </c>
      <c r="I104" s="79">
        <f t="shared" si="19"/>
        <v>2298.8535216166665</v>
      </c>
      <c r="J104" s="79">
        <f t="shared" si="19"/>
        <v>2298.8535216166665</v>
      </c>
      <c r="K104" s="79">
        <f t="shared" si="19"/>
        <v>2298.8535216166665</v>
      </c>
      <c r="L104" s="79">
        <f t="shared" si="19"/>
        <v>2298.8535216166665</v>
      </c>
      <c r="M104" s="79">
        <f t="shared" si="19"/>
        <v>2298.8535216166665</v>
      </c>
      <c r="N104" s="79">
        <f t="shared" si="19"/>
        <v>27586.242259399998</v>
      </c>
    </row>
    <row r="105" spans="1:14" ht="19.5" customHeight="1" thickBot="1">
      <c r="A105" s="80" t="s">
        <v>45</v>
      </c>
      <c r="B105" s="81">
        <f aca="true" t="shared" si="20" ref="B105:N105">SUM(B103-B104)</f>
        <v>1312.1464783833335</v>
      </c>
      <c r="C105" s="81">
        <f t="shared" si="20"/>
        <v>-847.8535216166665</v>
      </c>
      <c r="D105" s="81">
        <f t="shared" si="20"/>
        <v>2102.1464783833335</v>
      </c>
      <c r="E105" s="81">
        <f t="shared" si="20"/>
        <v>2312.1464783833335</v>
      </c>
      <c r="F105" s="81">
        <f t="shared" si="20"/>
        <v>1552.1464783833335</v>
      </c>
      <c r="G105" s="81">
        <f t="shared" si="20"/>
        <v>2182.1464783833335</v>
      </c>
      <c r="H105" s="81">
        <f t="shared" si="20"/>
        <v>-87.85352161666651</v>
      </c>
      <c r="I105" s="81">
        <f t="shared" si="20"/>
        <v>-647.8535216166665</v>
      </c>
      <c r="J105" s="81">
        <f t="shared" si="20"/>
        <v>1047.1464783833335</v>
      </c>
      <c r="K105" s="81">
        <f t="shared" si="20"/>
        <v>-877.8535216166665</v>
      </c>
      <c r="L105" s="81">
        <f t="shared" si="20"/>
        <v>-547.8535216166665</v>
      </c>
      <c r="M105" s="81">
        <f t="shared" si="20"/>
        <v>-642.8535216166665</v>
      </c>
      <c r="N105" s="81">
        <f t="shared" si="20"/>
        <v>6855.757740600002</v>
      </c>
    </row>
    <row r="106" spans="1:14" ht="24.75" customHeight="1" thickTop="1">
      <c r="A106" s="82"/>
      <c r="B106" s="82"/>
      <c r="C106" s="82"/>
      <c r="D106" s="82">
        <f>SUM(B105:D105)</f>
        <v>2566.4394351500005</v>
      </c>
      <c r="E106" s="82"/>
      <c r="F106" s="82"/>
      <c r="G106" s="82">
        <f>SUM(E105:G105)</f>
        <v>6046.4394351500005</v>
      </c>
      <c r="H106" s="82"/>
      <c r="I106" s="82"/>
      <c r="J106" s="82">
        <f>SUM(H105:J105)</f>
        <v>311.43943515000046</v>
      </c>
      <c r="K106" s="82"/>
      <c r="L106" s="82"/>
      <c r="M106" s="82">
        <f>SUM(K105:M105)</f>
        <v>-2068.5605648499995</v>
      </c>
      <c r="N106" s="82"/>
    </row>
    <row r="107" spans="1:14" ht="24.75" customHeight="1">
      <c r="A107" s="82" t="s">
        <v>46</v>
      </c>
      <c r="B107" s="82">
        <f>+B97+B105</f>
        <v>0</v>
      </c>
      <c r="C107" s="82">
        <f aca="true" t="shared" si="21" ref="C107:N107">+C97+C105</f>
        <v>0</v>
      </c>
      <c r="D107" s="82">
        <f t="shared" si="21"/>
        <v>0</v>
      </c>
      <c r="E107" s="82">
        <f t="shared" si="21"/>
        <v>0</v>
      </c>
      <c r="F107" s="82">
        <f t="shared" si="21"/>
        <v>0</v>
      </c>
      <c r="G107" s="82">
        <f t="shared" si="21"/>
        <v>0</v>
      </c>
      <c r="H107" s="82">
        <f t="shared" si="21"/>
        <v>0</v>
      </c>
      <c r="I107" s="82">
        <f t="shared" si="21"/>
        <v>0</v>
      </c>
      <c r="J107" s="82">
        <f t="shared" si="21"/>
        <v>0</v>
      </c>
      <c r="K107" s="82">
        <f t="shared" si="21"/>
        <v>0</v>
      </c>
      <c r="L107" s="82">
        <f t="shared" si="21"/>
        <v>0</v>
      </c>
      <c r="M107" s="82">
        <f t="shared" si="21"/>
        <v>0</v>
      </c>
      <c r="N107" s="82">
        <f t="shared" si="21"/>
        <v>0</v>
      </c>
    </row>
    <row r="108" spans="1:14" ht="24.75" customHeight="1">
      <c r="A108" s="82"/>
      <c r="B108" s="82"/>
      <c r="C108" s="82"/>
      <c r="D108" s="82">
        <f>+B97+C97+D97</f>
        <v>-2566.4394351500005</v>
      </c>
      <c r="E108" s="82"/>
      <c r="F108" s="82"/>
      <c r="G108" s="82"/>
      <c r="H108" s="82"/>
      <c r="I108" s="82"/>
      <c r="J108" s="82"/>
      <c r="K108" s="82"/>
      <c r="L108" s="82"/>
      <c r="M108" s="82"/>
      <c r="N108" s="82"/>
    </row>
  </sheetData>
  <sheetProtection password="C0EA" sheet="1" objects="1" scenarios="1"/>
  <printOptions/>
  <pageMargins left="0.1968503937007874" right="0.1968503937007874" top="0.3937007874015748" bottom="0.3937007874015748" header="0.5118110236220472" footer="0.31496062992125984"/>
  <pageSetup fitToHeight="2" fitToWidth="2" horizontalDpi="360" verticalDpi="360" orientation="landscape" paperSize="9" scale="77" r:id="rId1"/>
  <headerFooter alignWithMargins="0">
    <oddFooter>&amp;CPagina &amp;P</oddFooter>
  </headerFooter>
  <rowBreaks count="1" manualBreakCount="1">
    <brk id="56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A110"/>
  <sheetViews>
    <sheetView view="pageBreakPreview" zoomScale="94" zoomScaleNormal="94" zoomScaleSheetLayoutView="94" zoomScalePageLayoutView="0" workbookViewId="0" topLeftCell="A60">
      <selection activeCell="L70" sqref="L70"/>
    </sheetView>
  </sheetViews>
  <sheetFormatPr defaultColWidth="9.140625" defaultRowHeight="12.75"/>
  <cols>
    <col min="1" max="1" width="44.00390625" style="270" customWidth="1"/>
    <col min="2" max="2" width="12.28125" style="342" customWidth="1"/>
    <col min="3" max="13" width="11.28125" style="342" customWidth="1"/>
    <col min="14" max="14" width="14.28125" style="342" customWidth="1"/>
    <col min="15" max="15" width="17.140625" style="342" hidden="1" customWidth="1"/>
    <col min="16" max="16" width="13.00390625" style="342" hidden="1" customWidth="1"/>
    <col min="17" max="17" width="10.28125" style="342" customWidth="1"/>
    <col min="18" max="21" width="9.140625" style="342" customWidth="1"/>
    <col min="22" max="16384" width="9.140625" style="270" customWidth="1"/>
  </cols>
  <sheetData>
    <row r="1" spans="1:14" ht="12.75">
      <c r="A1" s="402" t="s">
        <v>80</v>
      </c>
      <c r="N1" s="403">
        <v>2022</v>
      </c>
    </row>
    <row r="2" spans="1:15" ht="12.75">
      <c r="A2" s="404" t="s">
        <v>223</v>
      </c>
      <c r="O2" s="343"/>
    </row>
    <row r="3" spans="1:15" ht="12.75">
      <c r="A3" s="344"/>
      <c r="O3" s="345"/>
    </row>
    <row r="4" spans="1:15" ht="12.75">
      <c r="A4" s="346" t="s">
        <v>151</v>
      </c>
      <c r="O4" s="345"/>
    </row>
    <row r="5" spans="1:15" ht="12.75">
      <c r="A5" s="344"/>
      <c r="O5" s="345"/>
    </row>
    <row r="6" spans="1:16" ht="12.75">
      <c r="A6" s="347"/>
      <c r="N6" s="348" t="s">
        <v>3</v>
      </c>
      <c r="O6" s="349" t="s">
        <v>157</v>
      </c>
      <c r="P6" s="349" t="s">
        <v>157</v>
      </c>
    </row>
    <row r="7" spans="1:16" ht="12.75">
      <c r="A7" s="350" t="s">
        <v>167</v>
      </c>
      <c r="O7" s="351" t="s">
        <v>152</v>
      </c>
      <c r="P7" s="352" t="s">
        <v>153</v>
      </c>
    </row>
    <row r="8" spans="1:15" ht="12.75">
      <c r="A8" s="353"/>
      <c r="B8" s="354" t="s">
        <v>99</v>
      </c>
      <c r="C8" s="354" t="s">
        <v>100</v>
      </c>
      <c r="D8" s="354" t="s">
        <v>101</v>
      </c>
      <c r="E8" s="354" t="s">
        <v>102</v>
      </c>
      <c r="F8" s="354" t="s">
        <v>103</v>
      </c>
      <c r="G8" s="354" t="s">
        <v>104</v>
      </c>
      <c r="H8" s="354" t="s">
        <v>105</v>
      </c>
      <c r="I8" s="354" t="s">
        <v>106</v>
      </c>
      <c r="J8" s="354" t="s">
        <v>107</v>
      </c>
      <c r="K8" s="354" t="s">
        <v>108</v>
      </c>
      <c r="L8" s="354" t="s">
        <v>109</v>
      </c>
      <c r="M8" s="354" t="s">
        <v>110</v>
      </c>
      <c r="N8" s="355" t="s">
        <v>119</v>
      </c>
      <c r="O8" s="343" t="s">
        <v>155</v>
      </c>
    </row>
    <row r="9" spans="1:16" ht="12.75">
      <c r="A9" s="364" t="str">
        <f>+'UFF AREA (2)'!A9</f>
        <v>Rent</v>
      </c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  <c r="N9" s="357">
        <f aca="true" t="shared" si="0" ref="N9:N41">SUM(B9:M9)</f>
        <v>0</v>
      </c>
      <c r="O9" s="358" t="e">
        <f aca="true" t="shared" si="1" ref="O9:O80">N9*$O$8</f>
        <v>#VALUE!</v>
      </c>
      <c r="P9" s="342" t="e">
        <f aca="true" t="shared" si="2" ref="P9:P80">O9/4</f>
        <v>#VALUE!</v>
      </c>
    </row>
    <row r="10" spans="1:16" ht="12.75">
      <c r="A10" s="364" t="s">
        <v>179</v>
      </c>
      <c r="B10" s="356"/>
      <c r="C10" s="356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7">
        <f t="shared" si="0"/>
        <v>0</v>
      </c>
      <c r="O10" s="358" t="e">
        <f t="shared" si="1"/>
        <v>#VALUE!</v>
      </c>
      <c r="P10" s="342" t="e">
        <f t="shared" si="2"/>
        <v>#VALUE!</v>
      </c>
    </row>
    <row r="11" spans="1:16" ht="12.75">
      <c r="A11" s="364" t="s">
        <v>160</v>
      </c>
      <c r="B11" s="356">
        <v>42</v>
      </c>
      <c r="C11" s="356">
        <v>41</v>
      </c>
      <c r="D11" s="356">
        <v>42</v>
      </c>
      <c r="E11" s="356">
        <v>41</v>
      </c>
      <c r="F11" s="356">
        <v>42</v>
      </c>
      <c r="G11" s="356">
        <v>41</v>
      </c>
      <c r="H11" s="356">
        <v>42</v>
      </c>
      <c r="I11" s="356">
        <v>41</v>
      </c>
      <c r="J11" s="356">
        <v>42</v>
      </c>
      <c r="K11" s="356">
        <v>41</v>
      </c>
      <c r="L11" s="356">
        <v>42</v>
      </c>
      <c r="M11" s="356">
        <v>43</v>
      </c>
      <c r="N11" s="357">
        <f t="shared" si="0"/>
        <v>500</v>
      </c>
      <c r="O11" s="358" t="e">
        <f t="shared" si="1"/>
        <v>#VALUE!</v>
      </c>
      <c r="P11" s="342" t="e">
        <f t="shared" si="2"/>
        <v>#VALUE!</v>
      </c>
    </row>
    <row r="12" spans="1:16" ht="12.75">
      <c r="A12" s="364" t="str">
        <f>+'UFF AREA (2)'!A13</f>
        <v>Telephone</v>
      </c>
      <c r="B12" s="356"/>
      <c r="C12" s="356"/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7">
        <f t="shared" si="0"/>
        <v>0</v>
      </c>
      <c r="O12" s="358" t="e">
        <f t="shared" si="1"/>
        <v>#VALUE!</v>
      </c>
      <c r="P12" s="342" t="e">
        <f t="shared" si="2"/>
        <v>#VALUE!</v>
      </c>
    </row>
    <row r="13" spans="1:16" ht="12.75">
      <c r="A13" s="364" t="str">
        <f>+'UFF AREA (2)'!A14</f>
        <v>Subscription</v>
      </c>
      <c r="B13" s="356"/>
      <c r="C13" s="356"/>
      <c r="D13" s="356"/>
      <c r="E13" s="356"/>
      <c r="F13" s="356"/>
      <c r="G13" s="356"/>
      <c r="H13" s="356"/>
      <c r="I13" s="356"/>
      <c r="J13" s="356"/>
      <c r="K13" s="356"/>
      <c r="L13" s="356"/>
      <c r="M13" s="356"/>
      <c r="N13" s="357">
        <f t="shared" si="0"/>
        <v>0</v>
      </c>
      <c r="O13" s="358" t="e">
        <f t="shared" si="1"/>
        <v>#VALUE!</v>
      </c>
      <c r="P13" s="342" t="e">
        <f t="shared" si="2"/>
        <v>#VALUE!</v>
      </c>
    </row>
    <row r="14" spans="1:16" ht="12.75">
      <c r="A14" s="364" t="s">
        <v>161</v>
      </c>
      <c r="B14" s="356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7">
        <f t="shared" si="0"/>
        <v>0</v>
      </c>
      <c r="O14" s="358" t="e">
        <f t="shared" si="1"/>
        <v>#VALUE!</v>
      </c>
      <c r="P14" s="342" t="e">
        <f t="shared" si="2"/>
        <v>#VALUE!</v>
      </c>
    </row>
    <row r="15" spans="1:16" ht="12.75">
      <c r="A15" s="364" t="s">
        <v>162</v>
      </c>
      <c r="B15" s="356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7">
        <f t="shared" si="0"/>
        <v>0</v>
      </c>
      <c r="O15" s="358" t="e">
        <f t="shared" si="1"/>
        <v>#VALUE!</v>
      </c>
      <c r="P15" s="342" t="e">
        <f t="shared" si="2"/>
        <v>#VALUE!</v>
      </c>
    </row>
    <row r="16" spans="1:16" ht="12.75">
      <c r="A16" s="364" t="s">
        <v>86</v>
      </c>
      <c r="B16" s="356"/>
      <c r="C16" s="356"/>
      <c r="D16" s="356">
        <v>12.5</v>
      </c>
      <c r="E16" s="356"/>
      <c r="F16" s="356"/>
      <c r="G16" s="356">
        <v>12.5</v>
      </c>
      <c r="H16" s="356"/>
      <c r="I16" s="356"/>
      <c r="J16" s="356">
        <v>12.5</v>
      </c>
      <c r="K16" s="356"/>
      <c r="L16" s="356"/>
      <c r="M16" s="356">
        <v>12.5</v>
      </c>
      <c r="N16" s="357">
        <f t="shared" si="0"/>
        <v>50</v>
      </c>
      <c r="O16" s="358" t="e">
        <f t="shared" si="1"/>
        <v>#VALUE!</v>
      </c>
      <c r="P16" s="342" t="e">
        <f t="shared" si="2"/>
        <v>#VALUE!</v>
      </c>
    </row>
    <row r="17" spans="1:16" ht="12.75">
      <c r="A17" s="364" t="s">
        <v>173</v>
      </c>
      <c r="B17" s="356">
        <v>25</v>
      </c>
      <c r="C17" s="356">
        <v>25</v>
      </c>
      <c r="D17" s="356">
        <v>25</v>
      </c>
      <c r="E17" s="356">
        <v>25</v>
      </c>
      <c r="F17" s="356">
        <v>25</v>
      </c>
      <c r="G17" s="356">
        <v>25</v>
      </c>
      <c r="H17" s="356">
        <v>25</v>
      </c>
      <c r="I17" s="356">
        <v>25</v>
      </c>
      <c r="J17" s="356">
        <v>25</v>
      </c>
      <c r="K17" s="356">
        <v>25</v>
      </c>
      <c r="L17" s="356">
        <v>25</v>
      </c>
      <c r="M17" s="356">
        <v>25</v>
      </c>
      <c r="N17" s="357">
        <f t="shared" si="0"/>
        <v>300</v>
      </c>
      <c r="O17" s="358" t="e">
        <f t="shared" si="1"/>
        <v>#VALUE!</v>
      </c>
      <c r="P17" s="342" t="e">
        <f t="shared" si="2"/>
        <v>#VALUE!</v>
      </c>
    </row>
    <row r="18" spans="1:16" ht="12.75">
      <c r="A18" s="364" t="s">
        <v>158</v>
      </c>
      <c r="B18" s="356">
        <v>29</v>
      </c>
      <c r="C18" s="356">
        <v>29</v>
      </c>
      <c r="D18" s="356">
        <v>29</v>
      </c>
      <c r="E18" s="356">
        <v>29</v>
      </c>
      <c r="F18" s="356">
        <v>29</v>
      </c>
      <c r="G18" s="356">
        <v>29</v>
      </c>
      <c r="H18" s="356">
        <v>29</v>
      </c>
      <c r="I18" s="356">
        <v>29</v>
      </c>
      <c r="J18" s="356">
        <v>29</v>
      </c>
      <c r="K18" s="356">
        <v>29</v>
      </c>
      <c r="L18" s="356">
        <v>29</v>
      </c>
      <c r="M18" s="356">
        <v>31</v>
      </c>
      <c r="N18" s="357">
        <f t="shared" si="0"/>
        <v>350</v>
      </c>
      <c r="O18" s="358" t="e">
        <f t="shared" si="1"/>
        <v>#VALUE!</v>
      </c>
      <c r="P18" s="342" t="e">
        <f t="shared" si="2"/>
        <v>#VALUE!</v>
      </c>
    </row>
    <row r="19" spans="1:16" ht="12.75">
      <c r="A19" s="364" t="s">
        <v>150</v>
      </c>
      <c r="B19" s="356"/>
      <c r="C19" s="356"/>
      <c r="D19" s="356"/>
      <c r="E19" s="356"/>
      <c r="F19" s="356"/>
      <c r="G19" s="356"/>
      <c r="H19" s="356"/>
      <c r="I19" s="356"/>
      <c r="J19" s="356"/>
      <c r="K19" s="356"/>
      <c r="L19" s="356"/>
      <c r="M19" s="356"/>
      <c r="N19" s="357">
        <f t="shared" si="0"/>
        <v>0</v>
      </c>
      <c r="O19" s="358" t="e">
        <f t="shared" si="1"/>
        <v>#VALUE!</v>
      </c>
      <c r="P19" s="342" t="e">
        <f t="shared" si="2"/>
        <v>#VALUE!</v>
      </c>
    </row>
    <row r="20" spans="1:16" ht="12.75">
      <c r="A20" s="364" t="s">
        <v>175</v>
      </c>
      <c r="B20" s="356">
        <v>21</v>
      </c>
      <c r="C20" s="356">
        <v>20</v>
      </c>
      <c r="D20" s="356">
        <v>21</v>
      </c>
      <c r="E20" s="356">
        <v>20</v>
      </c>
      <c r="F20" s="356">
        <v>21</v>
      </c>
      <c r="G20" s="356">
        <v>20</v>
      </c>
      <c r="H20" s="356">
        <v>21</v>
      </c>
      <c r="I20" s="356">
        <v>20</v>
      </c>
      <c r="J20" s="356">
        <v>21</v>
      </c>
      <c r="K20" s="356">
        <v>20</v>
      </c>
      <c r="L20" s="356">
        <v>21</v>
      </c>
      <c r="M20" s="356">
        <v>24</v>
      </c>
      <c r="N20" s="357">
        <f t="shared" si="0"/>
        <v>250</v>
      </c>
      <c r="O20" s="358" t="e">
        <f t="shared" si="1"/>
        <v>#VALUE!</v>
      </c>
      <c r="P20" s="342" t="e">
        <f t="shared" si="2"/>
        <v>#VALUE!</v>
      </c>
    </row>
    <row r="21" spans="1:27" ht="12.75">
      <c r="A21" s="364" t="s">
        <v>159</v>
      </c>
      <c r="B21" s="356"/>
      <c r="C21" s="356"/>
      <c r="D21" s="356"/>
      <c r="E21" s="356"/>
      <c r="F21" s="356"/>
      <c r="G21" s="356"/>
      <c r="H21" s="356"/>
      <c r="I21" s="356"/>
      <c r="J21" s="356"/>
      <c r="K21" s="356"/>
      <c r="L21" s="356"/>
      <c r="M21" s="356"/>
      <c r="N21" s="357">
        <f t="shared" si="0"/>
        <v>0</v>
      </c>
      <c r="O21" s="358" t="e">
        <f t="shared" si="1"/>
        <v>#VALUE!</v>
      </c>
      <c r="P21" s="342" t="e">
        <f t="shared" si="2"/>
        <v>#VALUE!</v>
      </c>
      <c r="Q21" s="359"/>
      <c r="R21" s="359"/>
      <c r="S21" s="359"/>
      <c r="T21" s="359"/>
      <c r="U21" s="359"/>
      <c r="V21" s="360"/>
      <c r="W21" s="360"/>
      <c r="X21" s="360"/>
      <c r="Y21" s="360"/>
      <c r="Z21" s="360"/>
      <c r="AA21" s="360"/>
    </row>
    <row r="22" spans="1:27" s="243" customFormat="1" ht="12.75">
      <c r="A22" s="433" t="s">
        <v>220</v>
      </c>
      <c r="B22" s="356"/>
      <c r="C22" s="356"/>
      <c r="D22" s="356"/>
      <c r="E22" s="356"/>
      <c r="F22" s="356"/>
      <c r="G22" s="356"/>
      <c r="H22" s="356"/>
      <c r="I22" s="356"/>
      <c r="J22" s="356"/>
      <c r="K22" s="356"/>
      <c r="L22" s="356"/>
      <c r="M22" s="356"/>
      <c r="N22" s="357">
        <f t="shared" si="0"/>
        <v>0</v>
      </c>
      <c r="O22" s="358" t="e">
        <f t="shared" si="1"/>
        <v>#VALUE!</v>
      </c>
      <c r="P22" s="342" t="e">
        <f t="shared" si="2"/>
        <v>#VALUE!</v>
      </c>
      <c r="Q22" s="361"/>
      <c r="R22" s="361"/>
      <c r="S22" s="361"/>
      <c r="T22" s="361"/>
      <c r="U22" s="361"/>
      <c r="V22" s="362"/>
      <c r="W22" s="362"/>
      <c r="X22" s="362"/>
      <c r="Y22" s="362"/>
      <c r="Z22" s="362"/>
      <c r="AA22" s="363"/>
    </row>
    <row r="23" spans="1:27" ht="12.75">
      <c r="A23" s="364" t="s">
        <v>164</v>
      </c>
      <c r="B23" s="356">
        <v>83</v>
      </c>
      <c r="C23" s="356">
        <v>84</v>
      </c>
      <c r="D23" s="356">
        <v>83</v>
      </c>
      <c r="E23" s="356">
        <v>84</v>
      </c>
      <c r="F23" s="356">
        <v>83</v>
      </c>
      <c r="G23" s="356">
        <v>84</v>
      </c>
      <c r="H23" s="356">
        <v>83</v>
      </c>
      <c r="I23" s="356">
        <v>84</v>
      </c>
      <c r="J23" s="356">
        <v>83</v>
      </c>
      <c r="K23" s="356">
        <v>84</v>
      </c>
      <c r="L23" s="356">
        <v>83</v>
      </c>
      <c r="M23" s="356">
        <v>82</v>
      </c>
      <c r="N23" s="357">
        <f t="shared" si="0"/>
        <v>1000</v>
      </c>
      <c r="O23" s="358" t="e">
        <f t="shared" si="1"/>
        <v>#VALUE!</v>
      </c>
      <c r="P23" s="342" t="e">
        <f t="shared" si="2"/>
        <v>#VALUE!</v>
      </c>
      <c r="Q23" s="359"/>
      <c r="R23" s="359"/>
      <c r="S23" s="359"/>
      <c r="T23" s="359"/>
      <c r="U23" s="359"/>
      <c r="V23" s="360"/>
      <c r="W23" s="360"/>
      <c r="X23" s="360"/>
      <c r="Y23" s="360"/>
      <c r="Z23" s="360"/>
      <c r="AA23" s="360"/>
    </row>
    <row r="24" spans="1:16" ht="12.75">
      <c r="A24" s="364" t="s">
        <v>170</v>
      </c>
      <c r="B24" s="356">
        <v>300</v>
      </c>
      <c r="C24" s="356"/>
      <c r="D24" s="356"/>
      <c r="E24" s="356">
        <v>300</v>
      </c>
      <c r="F24" s="356"/>
      <c r="G24" s="356"/>
      <c r="H24" s="356">
        <v>300</v>
      </c>
      <c r="I24" s="356"/>
      <c r="J24" s="356"/>
      <c r="K24" s="356">
        <v>300</v>
      </c>
      <c r="L24" s="356"/>
      <c r="M24" s="356"/>
      <c r="N24" s="357">
        <f t="shared" si="0"/>
        <v>1200</v>
      </c>
      <c r="O24" s="358" t="e">
        <f t="shared" si="1"/>
        <v>#VALUE!</v>
      </c>
      <c r="P24" s="342" t="e">
        <f t="shared" si="2"/>
        <v>#VALUE!</v>
      </c>
    </row>
    <row r="25" spans="1:16" ht="14.25" customHeight="1">
      <c r="A25" s="364" t="s">
        <v>172</v>
      </c>
      <c r="B25" s="356"/>
      <c r="C25" s="356"/>
      <c r="D25" s="356"/>
      <c r="E25" s="356"/>
      <c r="F25" s="356"/>
      <c r="G25" s="356"/>
      <c r="H25" s="356"/>
      <c r="I25" s="356"/>
      <c r="J25" s="356"/>
      <c r="K25" s="356"/>
      <c r="L25" s="356"/>
      <c r="M25" s="356"/>
      <c r="N25" s="357">
        <f t="shared" si="0"/>
        <v>0</v>
      </c>
      <c r="O25" s="358" t="e">
        <f t="shared" si="1"/>
        <v>#VALUE!</v>
      </c>
      <c r="P25" s="342" t="e">
        <f t="shared" si="2"/>
        <v>#VALUE!</v>
      </c>
    </row>
    <row r="26" spans="1:16" ht="12.75">
      <c r="A26" s="364" t="s">
        <v>171</v>
      </c>
      <c r="B26" s="356"/>
      <c r="C26" s="356"/>
      <c r="D26" s="356"/>
      <c r="E26" s="356"/>
      <c r="F26" s="356"/>
      <c r="G26" s="356"/>
      <c r="H26" s="356"/>
      <c r="I26" s="356"/>
      <c r="J26" s="356"/>
      <c r="K26" s="356"/>
      <c r="L26" s="356"/>
      <c r="M26" s="356"/>
      <c r="N26" s="357">
        <f t="shared" si="0"/>
        <v>0</v>
      </c>
      <c r="O26" s="358" t="e">
        <f t="shared" si="1"/>
        <v>#VALUE!</v>
      </c>
      <c r="P26" s="342" t="e">
        <f t="shared" si="2"/>
        <v>#VALUE!</v>
      </c>
    </row>
    <row r="27" spans="1:16" ht="12.75">
      <c r="A27" s="364" t="s">
        <v>174</v>
      </c>
      <c r="B27" s="356">
        <v>8</v>
      </c>
      <c r="C27" s="356">
        <v>9</v>
      </c>
      <c r="D27" s="356">
        <v>8</v>
      </c>
      <c r="E27" s="356">
        <v>9</v>
      </c>
      <c r="F27" s="356">
        <v>8</v>
      </c>
      <c r="G27" s="356">
        <v>9</v>
      </c>
      <c r="H27" s="356">
        <v>8</v>
      </c>
      <c r="I27" s="356">
        <v>9</v>
      </c>
      <c r="J27" s="356">
        <v>8</v>
      </c>
      <c r="K27" s="356">
        <v>9</v>
      </c>
      <c r="L27" s="356">
        <v>8</v>
      </c>
      <c r="M27" s="356">
        <v>7</v>
      </c>
      <c r="N27" s="357">
        <f t="shared" si="0"/>
        <v>100</v>
      </c>
      <c r="O27" s="358" t="e">
        <f t="shared" si="1"/>
        <v>#VALUE!</v>
      </c>
      <c r="P27" s="342" t="e">
        <f t="shared" si="2"/>
        <v>#VALUE!</v>
      </c>
    </row>
    <row r="28" spans="1:16" ht="12.75">
      <c r="A28" s="364" t="s">
        <v>176</v>
      </c>
      <c r="B28" s="356"/>
      <c r="C28" s="356"/>
      <c r="D28" s="356"/>
      <c r="E28" s="356"/>
      <c r="F28" s="356"/>
      <c r="G28" s="356"/>
      <c r="H28" s="356"/>
      <c r="I28" s="356"/>
      <c r="J28" s="356"/>
      <c r="K28" s="356"/>
      <c r="L28" s="356"/>
      <c r="M28" s="356"/>
      <c r="N28" s="357">
        <f t="shared" si="0"/>
        <v>0</v>
      </c>
      <c r="O28" s="358" t="e">
        <f t="shared" si="1"/>
        <v>#VALUE!</v>
      </c>
      <c r="P28" s="342" t="e">
        <f t="shared" si="2"/>
        <v>#VALUE!</v>
      </c>
    </row>
    <row r="29" spans="1:16" ht="12.75">
      <c r="A29" s="364" t="s">
        <v>177</v>
      </c>
      <c r="B29" s="356">
        <v>43</v>
      </c>
      <c r="C29" s="356">
        <v>42</v>
      </c>
      <c r="D29" s="356">
        <v>43</v>
      </c>
      <c r="E29" s="356">
        <v>42</v>
      </c>
      <c r="F29" s="356">
        <v>43</v>
      </c>
      <c r="G29" s="356">
        <v>42</v>
      </c>
      <c r="H29" s="356">
        <v>43</v>
      </c>
      <c r="I29" s="356">
        <v>42</v>
      </c>
      <c r="J29" s="356">
        <v>43</v>
      </c>
      <c r="K29" s="356">
        <v>42</v>
      </c>
      <c r="L29" s="356">
        <v>43</v>
      </c>
      <c r="M29" s="356">
        <v>44.3</v>
      </c>
      <c r="N29" s="357">
        <f t="shared" si="0"/>
        <v>512.3</v>
      </c>
      <c r="O29" s="358" t="e">
        <f t="shared" si="1"/>
        <v>#VALUE!</v>
      </c>
      <c r="P29" s="342" t="e">
        <f t="shared" si="2"/>
        <v>#VALUE!</v>
      </c>
    </row>
    <row r="30" spans="1:16" ht="12.75" customHeight="1">
      <c r="A30" s="364" t="s">
        <v>209</v>
      </c>
      <c r="B30" s="356">
        <v>83</v>
      </c>
      <c r="C30" s="356">
        <v>84</v>
      </c>
      <c r="D30" s="356">
        <v>83</v>
      </c>
      <c r="E30" s="356">
        <v>84</v>
      </c>
      <c r="F30" s="356">
        <v>83</v>
      </c>
      <c r="G30" s="356">
        <v>84</v>
      </c>
      <c r="H30" s="356">
        <v>83</v>
      </c>
      <c r="I30" s="356">
        <v>84</v>
      </c>
      <c r="J30" s="356">
        <v>83</v>
      </c>
      <c r="K30" s="356">
        <v>84</v>
      </c>
      <c r="L30" s="356">
        <v>83</v>
      </c>
      <c r="M30" s="356">
        <v>82</v>
      </c>
      <c r="N30" s="357">
        <f t="shared" si="0"/>
        <v>1000</v>
      </c>
      <c r="O30" s="365" t="e">
        <f t="shared" si="1"/>
        <v>#VALUE!</v>
      </c>
      <c r="P30" s="345" t="e">
        <f t="shared" si="2"/>
        <v>#VALUE!</v>
      </c>
    </row>
    <row r="31" spans="1:16" ht="12.75" customHeight="1">
      <c r="A31" s="364" t="s">
        <v>210</v>
      </c>
      <c r="B31" s="356">
        <v>16</v>
      </c>
      <c r="C31" s="356">
        <v>17</v>
      </c>
      <c r="D31" s="356">
        <v>16</v>
      </c>
      <c r="E31" s="356">
        <v>17</v>
      </c>
      <c r="F31" s="356">
        <v>16</v>
      </c>
      <c r="G31" s="356">
        <v>17</v>
      </c>
      <c r="H31" s="356">
        <v>16</v>
      </c>
      <c r="I31" s="356">
        <v>17</v>
      </c>
      <c r="J31" s="356">
        <v>16</v>
      </c>
      <c r="K31" s="356">
        <v>17</v>
      </c>
      <c r="L31" s="356">
        <v>16</v>
      </c>
      <c r="M31" s="356">
        <v>19</v>
      </c>
      <c r="N31" s="357">
        <f>SUM(B31:M31)</f>
        <v>200</v>
      </c>
      <c r="O31" s="365"/>
      <c r="P31" s="345"/>
    </row>
    <row r="32" spans="1:16" ht="12.75" customHeight="1">
      <c r="A32" s="364" t="s">
        <v>211</v>
      </c>
      <c r="B32" s="356"/>
      <c r="C32" s="356"/>
      <c r="D32" s="356"/>
      <c r="E32" s="356"/>
      <c r="F32" s="356"/>
      <c r="G32" s="356"/>
      <c r="H32" s="356"/>
      <c r="I32" s="356"/>
      <c r="J32" s="356"/>
      <c r="K32" s="356"/>
      <c r="L32" s="356"/>
      <c r="M32" s="356"/>
      <c r="N32" s="357">
        <f>SUM(B32:M32)</f>
        <v>0</v>
      </c>
      <c r="O32" s="365"/>
      <c r="P32" s="345"/>
    </row>
    <row r="33" spans="1:16" ht="12.75" customHeight="1">
      <c r="A33" s="364" t="s">
        <v>212</v>
      </c>
      <c r="B33" s="356"/>
      <c r="C33" s="356"/>
      <c r="D33" s="356"/>
      <c r="E33" s="356"/>
      <c r="F33" s="356"/>
      <c r="G33" s="356"/>
      <c r="H33" s="356"/>
      <c r="I33" s="356"/>
      <c r="J33" s="356"/>
      <c r="K33" s="356"/>
      <c r="L33" s="356"/>
      <c r="M33" s="356"/>
      <c r="N33" s="357">
        <f>SUM(B33:M33)</f>
        <v>0</v>
      </c>
      <c r="O33" s="365"/>
      <c r="P33" s="345"/>
    </row>
    <row r="34" spans="1:16" ht="12.75">
      <c r="A34" s="364"/>
      <c r="B34" s="356"/>
      <c r="C34" s="356"/>
      <c r="D34" s="356"/>
      <c r="E34" s="356"/>
      <c r="F34" s="356"/>
      <c r="G34" s="356"/>
      <c r="H34" s="356"/>
      <c r="I34" s="356"/>
      <c r="J34" s="356"/>
      <c r="K34" s="356"/>
      <c r="L34" s="356"/>
      <c r="M34" s="356"/>
      <c r="N34" s="357">
        <f t="shared" si="0"/>
        <v>0</v>
      </c>
      <c r="O34" s="358" t="e">
        <f t="shared" si="1"/>
        <v>#VALUE!</v>
      </c>
      <c r="P34" s="342" t="e">
        <f t="shared" si="2"/>
        <v>#VALUE!</v>
      </c>
    </row>
    <row r="35" spans="1:15" ht="12.75">
      <c r="A35" s="366"/>
      <c r="B35" s="356"/>
      <c r="C35" s="356"/>
      <c r="D35" s="356"/>
      <c r="E35" s="356"/>
      <c r="F35" s="356"/>
      <c r="G35" s="356"/>
      <c r="H35" s="356"/>
      <c r="I35" s="356"/>
      <c r="J35" s="356"/>
      <c r="K35" s="356"/>
      <c r="L35" s="356"/>
      <c r="M35" s="356"/>
      <c r="N35" s="357">
        <f t="shared" si="0"/>
        <v>0</v>
      </c>
      <c r="O35" s="358"/>
    </row>
    <row r="36" spans="1:15" ht="14.25" customHeight="1">
      <c r="A36" s="366"/>
      <c r="B36" s="356"/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7">
        <f t="shared" si="0"/>
        <v>0</v>
      </c>
      <c r="O36" s="358"/>
    </row>
    <row r="37" spans="1:16" ht="12.75">
      <c r="A37" s="366"/>
      <c r="B37" s="356"/>
      <c r="C37" s="356"/>
      <c r="D37" s="356"/>
      <c r="E37" s="356"/>
      <c r="F37" s="356"/>
      <c r="G37" s="356"/>
      <c r="H37" s="356"/>
      <c r="I37" s="356"/>
      <c r="J37" s="356"/>
      <c r="K37" s="356"/>
      <c r="L37" s="356"/>
      <c r="M37" s="356"/>
      <c r="N37" s="357">
        <f t="shared" si="0"/>
        <v>0</v>
      </c>
      <c r="O37" s="358" t="e">
        <f t="shared" si="1"/>
        <v>#VALUE!</v>
      </c>
      <c r="P37" s="342" t="e">
        <f t="shared" si="2"/>
        <v>#VALUE!</v>
      </c>
    </row>
    <row r="38" spans="1:16" ht="12.75">
      <c r="A38" s="366"/>
      <c r="B38" s="356"/>
      <c r="C38" s="356"/>
      <c r="D38" s="356"/>
      <c r="E38" s="356"/>
      <c r="F38" s="356"/>
      <c r="G38" s="356"/>
      <c r="H38" s="356"/>
      <c r="I38" s="356"/>
      <c r="J38" s="356"/>
      <c r="K38" s="356"/>
      <c r="L38" s="356"/>
      <c r="M38" s="356"/>
      <c r="N38" s="357">
        <f t="shared" si="0"/>
        <v>0</v>
      </c>
      <c r="O38" s="358" t="e">
        <f t="shared" si="1"/>
        <v>#VALUE!</v>
      </c>
      <c r="P38" s="342" t="e">
        <f t="shared" si="2"/>
        <v>#VALUE!</v>
      </c>
    </row>
    <row r="39" spans="1:19" ht="12.75">
      <c r="A39" s="366"/>
      <c r="B39" s="356"/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7">
        <f t="shared" si="0"/>
        <v>0</v>
      </c>
      <c r="O39" s="358" t="e">
        <f t="shared" si="1"/>
        <v>#VALUE!</v>
      </c>
      <c r="P39" s="342" t="e">
        <f t="shared" si="2"/>
        <v>#VALUE!</v>
      </c>
      <c r="Q39" s="367"/>
      <c r="R39" s="367"/>
      <c r="S39" s="367"/>
    </row>
    <row r="40" spans="1:16" ht="12.75">
      <c r="A40" s="366"/>
      <c r="B40" s="356"/>
      <c r="C40" s="356"/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357">
        <f t="shared" si="0"/>
        <v>0</v>
      </c>
      <c r="O40" s="358" t="e">
        <f t="shared" si="1"/>
        <v>#VALUE!</v>
      </c>
      <c r="P40" s="342" t="e">
        <f t="shared" si="2"/>
        <v>#VALUE!</v>
      </c>
    </row>
    <row r="41" spans="1:15" ht="12.75">
      <c r="A41" s="366"/>
      <c r="B41" s="356"/>
      <c r="C41" s="356"/>
      <c r="D41" s="356"/>
      <c r="E41" s="356"/>
      <c r="F41" s="356"/>
      <c r="G41" s="356"/>
      <c r="H41" s="356"/>
      <c r="I41" s="356"/>
      <c r="J41" s="356"/>
      <c r="K41" s="356"/>
      <c r="L41" s="356"/>
      <c r="M41" s="356"/>
      <c r="N41" s="357">
        <f t="shared" si="0"/>
        <v>0</v>
      </c>
      <c r="O41" s="358"/>
    </row>
    <row r="42" spans="1:16" ht="12.75">
      <c r="A42" s="368" t="s">
        <v>180</v>
      </c>
      <c r="B42" s="369">
        <f aca="true" t="shared" si="3" ref="B42:N42">SUM(B9:B41)</f>
        <v>650</v>
      </c>
      <c r="C42" s="369">
        <f t="shared" si="3"/>
        <v>351</v>
      </c>
      <c r="D42" s="369">
        <f t="shared" si="3"/>
        <v>362.5</v>
      </c>
      <c r="E42" s="369">
        <f t="shared" si="3"/>
        <v>651</v>
      </c>
      <c r="F42" s="369">
        <f t="shared" si="3"/>
        <v>350</v>
      </c>
      <c r="G42" s="369">
        <f t="shared" si="3"/>
        <v>363.5</v>
      </c>
      <c r="H42" s="369">
        <f t="shared" si="3"/>
        <v>650</v>
      </c>
      <c r="I42" s="369">
        <f t="shared" si="3"/>
        <v>351</v>
      </c>
      <c r="J42" s="369">
        <f t="shared" si="3"/>
        <v>362.5</v>
      </c>
      <c r="K42" s="369">
        <f t="shared" si="3"/>
        <v>651</v>
      </c>
      <c r="L42" s="369">
        <f t="shared" si="3"/>
        <v>350</v>
      </c>
      <c r="M42" s="369">
        <f t="shared" si="3"/>
        <v>369.8</v>
      </c>
      <c r="N42" s="370">
        <f t="shared" si="3"/>
        <v>5462.3</v>
      </c>
      <c r="O42" s="365" t="e">
        <f t="shared" si="1"/>
        <v>#VALUE!</v>
      </c>
      <c r="P42" s="345" t="e">
        <f t="shared" si="2"/>
        <v>#VALUE!</v>
      </c>
    </row>
    <row r="43" spans="2:16" ht="12.75"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O43" s="358" t="e">
        <f t="shared" si="1"/>
        <v>#VALUE!</v>
      </c>
      <c r="P43" s="342" t="e">
        <f t="shared" si="2"/>
        <v>#VALUE!</v>
      </c>
    </row>
    <row r="44" spans="2:15" ht="12.75"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348" t="s">
        <v>30</v>
      </c>
      <c r="O44" s="358"/>
    </row>
    <row r="45" spans="1:15" ht="12.75">
      <c r="A45" s="350" t="s">
        <v>168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O45" s="358"/>
    </row>
    <row r="46" spans="1:15" ht="12.75">
      <c r="A46" s="371"/>
      <c r="B46" s="372" t="s">
        <v>99</v>
      </c>
      <c r="C46" s="372" t="s">
        <v>100</v>
      </c>
      <c r="D46" s="372" t="s">
        <v>101</v>
      </c>
      <c r="E46" s="372" t="s">
        <v>102</v>
      </c>
      <c r="F46" s="372" t="s">
        <v>103</v>
      </c>
      <c r="G46" s="372" t="s">
        <v>104</v>
      </c>
      <c r="H46" s="372" t="s">
        <v>105</v>
      </c>
      <c r="I46" s="372" t="s">
        <v>106</v>
      </c>
      <c r="J46" s="372" t="s">
        <v>107</v>
      </c>
      <c r="K46" s="372" t="s">
        <v>108</v>
      </c>
      <c r="L46" s="372" t="s">
        <v>109</v>
      </c>
      <c r="M46" s="372" t="s">
        <v>110</v>
      </c>
      <c r="N46" s="355" t="s">
        <v>119</v>
      </c>
      <c r="O46" s="358"/>
    </row>
    <row r="47" spans="1:16" ht="12.75">
      <c r="A47" s="375" t="s">
        <v>148</v>
      </c>
      <c r="B47" s="373">
        <v>3165.63</v>
      </c>
      <c r="C47" s="373">
        <v>3165.63</v>
      </c>
      <c r="D47" s="373">
        <v>4748.44</v>
      </c>
      <c r="E47" s="373">
        <v>3165.63</v>
      </c>
      <c r="F47" s="373">
        <v>3165.63</v>
      </c>
      <c r="G47" s="373">
        <v>3165.63</v>
      </c>
      <c r="H47" s="373">
        <v>3165.63</v>
      </c>
      <c r="I47" s="373">
        <v>4748.39</v>
      </c>
      <c r="J47" s="373">
        <v>3165.63</v>
      </c>
      <c r="K47" s="373">
        <v>3165.63</v>
      </c>
      <c r="L47" s="373">
        <v>3165.63</v>
      </c>
      <c r="M47" s="373">
        <v>3165.63</v>
      </c>
      <c r="N47" s="374">
        <f>SUM(B47:M47)</f>
        <v>41153.13</v>
      </c>
      <c r="O47" s="358" t="e">
        <f t="shared" si="1"/>
        <v>#VALUE!</v>
      </c>
      <c r="P47" s="342" t="e">
        <f t="shared" si="2"/>
        <v>#VALUE!</v>
      </c>
    </row>
    <row r="48" spans="1:16" ht="15.75" customHeight="1">
      <c r="A48" s="375" t="s">
        <v>185</v>
      </c>
      <c r="B48" s="373">
        <v>585.55</v>
      </c>
      <c r="C48" s="373">
        <v>585.54</v>
      </c>
      <c r="D48" s="373">
        <v>585.55</v>
      </c>
      <c r="E48" s="373">
        <v>585.54</v>
      </c>
      <c r="F48" s="373">
        <v>585.55</v>
      </c>
      <c r="G48" s="373">
        <v>585.54</v>
      </c>
      <c r="H48" s="373">
        <v>585.55</v>
      </c>
      <c r="I48" s="373">
        <v>585.54</v>
      </c>
      <c r="J48" s="373">
        <v>585.55</v>
      </c>
      <c r="K48" s="373">
        <v>585.54</v>
      </c>
      <c r="L48" s="373">
        <v>585.55</v>
      </c>
      <c r="M48" s="373">
        <v>585.54</v>
      </c>
      <c r="N48" s="374">
        <f aca="true" t="shared" si="4" ref="N48:N55">SUM(B48:M48)</f>
        <v>7026.54</v>
      </c>
      <c r="O48" s="358" t="e">
        <f t="shared" si="1"/>
        <v>#VALUE!</v>
      </c>
      <c r="P48" s="342" t="e">
        <f t="shared" si="2"/>
        <v>#VALUE!</v>
      </c>
    </row>
    <row r="49" spans="1:16" ht="12.75">
      <c r="A49" s="375" t="s">
        <v>186</v>
      </c>
      <c r="B49" s="373"/>
      <c r="C49" s="373"/>
      <c r="D49" s="373"/>
      <c r="E49" s="373"/>
      <c r="F49" s="373"/>
      <c r="G49" s="373"/>
      <c r="H49" s="373"/>
      <c r="I49" s="373"/>
      <c r="J49" s="373"/>
      <c r="K49" s="373"/>
      <c r="L49" s="373"/>
      <c r="M49" s="373"/>
      <c r="N49" s="374">
        <f t="shared" si="4"/>
        <v>0</v>
      </c>
      <c r="O49" s="358" t="e">
        <f t="shared" si="1"/>
        <v>#VALUE!</v>
      </c>
      <c r="P49" s="342" t="e">
        <f t="shared" si="2"/>
        <v>#VALUE!</v>
      </c>
    </row>
    <row r="50" spans="1:16" ht="12.75">
      <c r="A50" s="375" t="s">
        <v>221</v>
      </c>
      <c r="B50" s="373">
        <v>277.5</v>
      </c>
      <c r="C50" s="373">
        <v>277.5</v>
      </c>
      <c r="D50" s="373">
        <v>416.25</v>
      </c>
      <c r="E50" s="373">
        <v>277.5</v>
      </c>
      <c r="F50" s="373">
        <v>277.5</v>
      </c>
      <c r="G50" s="373">
        <v>277.5</v>
      </c>
      <c r="H50" s="373">
        <v>277.5</v>
      </c>
      <c r="I50" s="373">
        <v>416.24</v>
      </c>
      <c r="J50" s="373">
        <v>277.5</v>
      </c>
      <c r="K50" s="373">
        <v>277.5</v>
      </c>
      <c r="L50" s="373">
        <v>277.5</v>
      </c>
      <c r="M50" s="373">
        <v>277.5</v>
      </c>
      <c r="N50" s="374">
        <f t="shared" si="4"/>
        <v>3607.49</v>
      </c>
      <c r="O50" s="365" t="e">
        <f t="shared" si="1"/>
        <v>#VALUE!</v>
      </c>
      <c r="P50" s="345" t="e">
        <f t="shared" si="2"/>
        <v>#VALUE!</v>
      </c>
    </row>
    <row r="51" spans="1:16" ht="12.75">
      <c r="A51" s="375" t="s">
        <v>178</v>
      </c>
      <c r="B51" s="373"/>
      <c r="C51" s="373"/>
      <c r="D51" s="373"/>
      <c r="E51" s="373"/>
      <c r="F51" s="373"/>
      <c r="G51" s="373"/>
      <c r="H51" s="373"/>
      <c r="I51" s="373"/>
      <c r="J51" s="373"/>
      <c r="K51" s="373"/>
      <c r="L51" s="373"/>
      <c r="M51" s="373"/>
      <c r="N51" s="374">
        <f t="shared" si="4"/>
        <v>0</v>
      </c>
      <c r="O51" s="358" t="e">
        <f t="shared" si="1"/>
        <v>#VALUE!</v>
      </c>
      <c r="P51" s="342" t="e">
        <f t="shared" si="2"/>
        <v>#VALUE!</v>
      </c>
    </row>
    <row r="52" spans="1:15" ht="12.75">
      <c r="A52" s="375" t="s">
        <v>187</v>
      </c>
      <c r="B52" s="373"/>
      <c r="C52" s="373"/>
      <c r="D52" s="373"/>
      <c r="E52" s="373"/>
      <c r="F52" s="373"/>
      <c r="G52" s="373"/>
      <c r="H52" s="373"/>
      <c r="I52" s="373"/>
      <c r="J52" s="373"/>
      <c r="K52" s="373"/>
      <c r="L52" s="373"/>
      <c r="M52" s="373"/>
      <c r="N52" s="374">
        <f t="shared" si="4"/>
        <v>0</v>
      </c>
      <c r="O52" s="358"/>
    </row>
    <row r="53" spans="1:15" ht="12.75">
      <c r="A53" s="375" t="s">
        <v>169</v>
      </c>
      <c r="B53" s="373">
        <v>300</v>
      </c>
      <c r="C53" s="373">
        <v>300</v>
      </c>
      <c r="D53" s="373">
        <v>300</v>
      </c>
      <c r="E53" s="373">
        <v>300</v>
      </c>
      <c r="F53" s="373">
        <v>300</v>
      </c>
      <c r="G53" s="373">
        <v>300</v>
      </c>
      <c r="H53" s="373">
        <v>300</v>
      </c>
      <c r="I53" s="373">
        <v>300</v>
      </c>
      <c r="J53" s="373">
        <v>300</v>
      </c>
      <c r="K53" s="373">
        <v>300</v>
      </c>
      <c r="L53" s="373">
        <v>300</v>
      </c>
      <c r="M53" s="373">
        <v>300</v>
      </c>
      <c r="N53" s="374">
        <f t="shared" si="4"/>
        <v>3600</v>
      </c>
      <c r="O53" s="358"/>
    </row>
    <row r="54" spans="1:16" ht="12.75">
      <c r="A54" s="375"/>
      <c r="B54" s="373"/>
      <c r="C54" s="373"/>
      <c r="D54" s="373"/>
      <c r="E54" s="373"/>
      <c r="F54" s="373"/>
      <c r="G54" s="373"/>
      <c r="H54" s="373"/>
      <c r="I54" s="373"/>
      <c r="J54" s="373"/>
      <c r="K54" s="373"/>
      <c r="L54" s="373"/>
      <c r="M54" s="373"/>
      <c r="N54" s="374">
        <f t="shared" si="4"/>
        <v>0</v>
      </c>
      <c r="O54" s="358" t="e">
        <f t="shared" si="1"/>
        <v>#VALUE!</v>
      </c>
      <c r="P54" s="342" t="e">
        <f t="shared" si="2"/>
        <v>#VALUE!</v>
      </c>
    </row>
    <row r="55" spans="1:16" ht="12.75">
      <c r="A55" s="375"/>
      <c r="B55" s="426"/>
      <c r="C55" s="426"/>
      <c r="D55" s="426"/>
      <c r="E55" s="426"/>
      <c r="F55" s="426"/>
      <c r="G55" s="426"/>
      <c r="H55" s="426"/>
      <c r="I55" s="426"/>
      <c r="J55" s="426"/>
      <c r="K55" s="426"/>
      <c r="L55" s="426"/>
      <c r="M55" s="426"/>
      <c r="N55" s="427">
        <f t="shared" si="4"/>
        <v>0</v>
      </c>
      <c r="O55" s="358" t="e">
        <f t="shared" si="1"/>
        <v>#VALUE!</v>
      </c>
      <c r="P55" s="342" t="e">
        <f t="shared" si="2"/>
        <v>#VALUE!</v>
      </c>
    </row>
    <row r="56" spans="1:16" ht="12.75">
      <c r="A56" s="425" t="s">
        <v>181</v>
      </c>
      <c r="B56" s="428">
        <f>SUM(B47:B55)</f>
        <v>4328.68</v>
      </c>
      <c r="C56" s="429">
        <f aca="true" t="shared" si="5" ref="C56:M56">SUM(C47:C55)</f>
        <v>4328.67</v>
      </c>
      <c r="D56" s="429">
        <f t="shared" si="5"/>
        <v>6050.24</v>
      </c>
      <c r="E56" s="429">
        <f t="shared" si="5"/>
        <v>4328.67</v>
      </c>
      <c r="F56" s="429">
        <f t="shared" si="5"/>
        <v>4328.68</v>
      </c>
      <c r="G56" s="429">
        <f t="shared" si="5"/>
        <v>4328.67</v>
      </c>
      <c r="H56" s="429">
        <f t="shared" si="5"/>
        <v>4328.68</v>
      </c>
      <c r="I56" s="429">
        <f t="shared" si="5"/>
        <v>6050.17</v>
      </c>
      <c r="J56" s="429">
        <f t="shared" si="5"/>
        <v>4328.68</v>
      </c>
      <c r="K56" s="429">
        <f t="shared" si="5"/>
        <v>4328.67</v>
      </c>
      <c r="L56" s="429">
        <f t="shared" si="5"/>
        <v>4328.68</v>
      </c>
      <c r="M56" s="429">
        <f t="shared" si="5"/>
        <v>4328.67</v>
      </c>
      <c r="N56" s="430">
        <f>SUM(N47:N55)</f>
        <v>55387.159999999996</v>
      </c>
      <c r="O56" s="365" t="e">
        <f t="shared" si="1"/>
        <v>#VALUE!</v>
      </c>
      <c r="P56" s="345" t="e">
        <f t="shared" si="2"/>
        <v>#VALUE!</v>
      </c>
    </row>
    <row r="57" spans="1:16" ht="12.75">
      <c r="A57" s="376"/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65"/>
      <c r="P57" s="345"/>
    </row>
    <row r="58" spans="1:16" ht="12.75">
      <c r="A58" s="377" t="s">
        <v>120</v>
      </c>
      <c r="B58" s="284">
        <f aca="true" t="shared" si="6" ref="B58:M58">B56+B42</f>
        <v>4978.68</v>
      </c>
      <c r="C58" s="284">
        <f t="shared" si="6"/>
        <v>4679.67</v>
      </c>
      <c r="D58" s="284">
        <f t="shared" si="6"/>
        <v>6412.74</v>
      </c>
      <c r="E58" s="284">
        <f t="shared" si="6"/>
        <v>4979.67</v>
      </c>
      <c r="F58" s="284">
        <f t="shared" si="6"/>
        <v>4678.68</v>
      </c>
      <c r="G58" s="284">
        <f t="shared" si="6"/>
        <v>4692.17</v>
      </c>
      <c r="H58" s="284">
        <f t="shared" si="6"/>
        <v>4978.68</v>
      </c>
      <c r="I58" s="284">
        <f t="shared" si="6"/>
        <v>6401.17</v>
      </c>
      <c r="J58" s="284">
        <f t="shared" si="6"/>
        <v>4691.18</v>
      </c>
      <c r="K58" s="284">
        <f t="shared" si="6"/>
        <v>4979.67</v>
      </c>
      <c r="L58" s="284">
        <f t="shared" si="6"/>
        <v>4678.68</v>
      </c>
      <c r="M58" s="284">
        <f t="shared" si="6"/>
        <v>4698.47</v>
      </c>
      <c r="N58" s="378">
        <f>SUM(B58:M58)</f>
        <v>60849.46</v>
      </c>
      <c r="O58" s="358" t="e">
        <f t="shared" si="1"/>
        <v>#VALUE!</v>
      </c>
      <c r="P58" s="342" t="e">
        <f t="shared" si="2"/>
        <v>#VALUE!</v>
      </c>
    </row>
    <row r="59" spans="2:15" ht="12.75"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O59" s="358"/>
    </row>
    <row r="60" spans="1:15" ht="12.75">
      <c r="A60" s="270" t="str">
        <f>+A1</f>
        <v>FRANCISCAN SISTERS OF THE POOR</v>
      </c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379">
        <v>2022</v>
      </c>
      <c r="O60" s="358"/>
    </row>
    <row r="61" spans="1:15" ht="12.75">
      <c r="A61" s="347" t="str">
        <f>A2</f>
        <v>NAME OF THE MINISTRY -  HAIRCUTS FROM THE HEART</v>
      </c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O61" s="358"/>
    </row>
    <row r="62" spans="2:15" ht="12.75">
      <c r="B62" s="214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O62" s="358"/>
    </row>
    <row r="63" spans="2:15" ht="12.75">
      <c r="B63" s="214"/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O63" s="358"/>
    </row>
    <row r="64" spans="1:15" ht="12.75">
      <c r="A64" s="346" t="s">
        <v>205</v>
      </c>
      <c r="B64" s="214"/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348" t="s">
        <v>33</v>
      </c>
      <c r="O64" s="358"/>
    </row>
    <row r="65" spans="2:15" ht="12.75"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O65" s="358"/>
    </row>
    <row r="66" spans="1:15" ht="12.75">
      <c r="A66" s="353"/>
      <c r="B66" s="372" t="s">
        <v>99</v>
      </c>
      <c r="C66" s="372" t="s">
        <v>100</v>
      </c>
      <c r="D66" s="372" t="s">
        <v>101</v>
      </c>
      <c r="E66" s="372" t="s">
        <v>102</v>
      </c>
      <c r="F66" s="372" t="s">
        <v>103</v>
      </c>
      <c r="G66" s="372" t="s">
        <v>104</v>
      </c>
      <c r="H66" s="372" t="s">
        <v>105</v>
      </c>
      <c r="I66" s="372" t="s">
        <v>106</v>
      </c>
      <c r="J66" s="372" t="s">
        <v>107</v>
      </c>
      <c r="K66" s="372" t="s">
        <v>108</v>
      </c>
      <c r="L66" s="372" t="s">
        <v>109</v>
      </c>
      <c r="M66" s="372" t="s">
        <v>110</v>
      </c>
      <c r="N66" s="380" t="s">
        <v>119</v>
      </c>
      <c r="O66" s="358"/>
    </row>
    <row r="67" spans="1:21" s="385" customFormat="1" ht="12.75">
      <c r="A67" s="434" t="s">
        <v>222</v>
      </c>
      <c r="B67" s="381"/>
      <c r="C67" s="381">
        <v>0</v>
      </c>
      <c r="D67" s="381">
        <v>0</v>
      </c>
      <c r="E67" s="381">
        <v>0</v>
      </c>
      <c r="F67" s="381">
        <v>0</v>
      </c>
      <c r="G67" s="381">
        <v>0</v>
      </c>
      <c r="H67" s="381">
        <v>0</v>
      </c>
      <c r="I67" s="381">
        <v>0</v>
      </c>
      <c r="J67" s="381">
        <v>0</v>
      </c>
      <c r="K67" s="381">
        <v>0</v>
      </c>
      <c r="L67" s="381">
        <v>0</v>
      </c>
      <c r="M67" s="381">
        <v>0</v>
      </c>
      <c r="N67" s="382">
        <f aca="true" t="shared" si="7" ref="N67:N92">SUM(B67:M67)</f>
        <v>0</v>
      </c>
      <c r="O67" s="383" t="e">
        <f t="shared" si="1"/>
        <v>#VALUE!</v>
      </c>
      <c r="P67" s="384" t="e">
        <f t="shared" si="2"/>
        <v>#VALUE!</v>
      </c>
      <c r="Q67" s="384"/>
      <c r="R67" s="384"/>
      <c r="S67" s="384"/>
      <c r="T67" s="384"/>
      <c r="U67" s="384"/>
    </row>
    <row r="68" spans="1:21" s="385" customFormat="1" ht="12.75">
      <c r="A68" s="387"/>
      <c r="B68" s="381">
        <v>5000</v>
      </c>
      <c r="C68" s="381"/>
      <c r="D68" s="381"/>
      <c r="E68" s="381"/>
      <c r="F68" s="381"/>
      <c r="G68" s="381"/>
      <c r="H68" s="381"/>
      <c r="I68" s="381"/>
      <c r="J68" s="381"/>
      <c r="K68" s="381"/>
      <c r="L68" s="381"/>
      <c r="M68" s="381"/>
      <c r="N68" s="382"/>
      <c r="O68" s="383"/>
      <c r="P68" s="384"/>
      <c r="Q68" s="384"/>
      <c r="R68" s="384"/>
      <c r="S68" s="384"/>
      <c r="T68" s="384"/>
      <c r="U68" s="384"/>
    </row>
    <row r="69" spans="1:21" s="385" customFormat="1" ht="12.75">
      <c r="A69" s="243" t="s">
        <v>213</v>
      </c>
      <c r="B69" s="373"/>
      <c r="C69" s="373"/>
      <c r="D69" s="373"/>
      <c r="E69" s="373"/>
      <c r="F69" s="373"/>
      <c r="G69" s="373"/>
      <c r="H69" s="373"/>
      <c r="I69" s="373"/>
      <c r="J69" s="373"/>
      <c r="K69" s="373"/>
      <c r="L69" s="373"/>
      <c r="M69" s="373"/>
      <c r="N69" s="386">
        <f t="shared" si="7"/>
        <v>0</v>
      </c>
      <c r="O69" s="383"/>
      <c r="P69" s="384"/>
      <c r="Q69" s="384"/>
      <c r="R69" s="384"/>
      <c r="S69" s="384"/>
      <c r="T69" s="384"/>
      <c r="U69" s="384"/>
    </row>
    <row r="70" spans="1:21" s="385" customFormat="1" ht="12.75">
      <c r="A70" s="243" t="s">
        <v>207</v>
      </c>
      <c r="B70" s="373">
        <v>10000</v>
      </c>
      <c r="C70" s="373"/>
      <c r="D70" s="373"/>
      <c r="E70" s="373">
        <v>10000</v>
      </c>
      <c r="F70" s="373"/>
      <c r="G70" s="373"/>
      <c r="H70" s="373">
        <v>10000</v>
      </c>
      <c r="I70" s="373"/>
      <c r="J70" s="373"/>
      <c r="K70" s="373">
        <v>10000</v>
      </c>
      <c r="L70" s="373"/>
      <c r="M70" s="373"/>
      <c r="N70" s="386">
        <f t="shared" si="7"/>
        <v>40000</v>
      </c>
      <c r="O70" s="383"/>
      <c r="P70" s="384"/>
      <c r="Q70" s="384"/>
      <c r="R70" s="384"/>
      <c r="S70" s="384"/>
      <c r="T70" s="384"/>
      <c r="U70" s="384"/>
    </row>
    <row r="71" spans="1:21" s="385" customFormat="1" ht="12.75">
      <c r="A71" s="405" t="s">
        <v>208</v>
      </c>
      <c r="B71" s="373"/>
      <c r="C71" s="373"/>
      <c r="D71" s="373"/>
      <c r="E71" s="373"/>
      <c r="F71" s="373"/>
      <c r="G71" s="373"/>
      <c r="H71" s="373"/>
      <c r="I71" s="373"/>
      <c r="J71" s="373"/>
      <c r="K71" s="373"/>
      <c r="L71" s="373"/>
      <c r="M71" s="373"/>
      <c r="N71" s="386">
        <f t="shared" si="7"/>
        <v>0</v>
      </c>
      <c r="O71" s="383"/>
      <c r="P71" s="384"/>
      <c r="Q71" s="384"/>
      <c r="R71" s="384"/>
      <c r="S71" s="384"/>
      <c r="T71" s="384"/>
      <c r="U71" s="384"/>
    </row>
    <row r="72" spans="1:21" s="385" customFormat="1" ht="12.75">
      <c r="A72" s="377" t="s">
        <v>214</v>
      </c>
      <c r="B72" s="381">
        <f>SUM(B69:B71)</f>
        <v>10000</v>
      </c>
      <c r="C72" s="381">
        <f aca="true" t="shared" si="8" ref="C72:M72">SUM(C69:C71)</f>
        <v>0</v>
      </c>
      <c r="D72" s="381">
        <f t="shared" si="8"/>
        <v>0</v>
      </c>
      <c r="E72" s="381">
        <f t="shared" si="8"/>
        <v>10000</v>
      </c>
      <c r="F72" s="381">
        <f t="shared" si="8"/>
        <v>0</v>
      </c>
      <c r="G72" s="381">
        <f t="shared" si="8"/>
        <v>0</v>
      </c>
      <c r="H72" s="381">
        <f t="shared" si="8"/>
        <v>10000</v>
      </c>
      <c r="I72" s="381">
        <f t="shared" si="8"/>
        <v>0</v>
      </c>
      <c r="J72" s="381">
        <f t="shared" si="8"/>
        <v>0</v>
      </c>
      <c r="K72" s="381">
        <f t="shared" si="8"/>
        <v>10000</v>
      </c>
      <c r="L72" s="381">
        <f t="shared" si="8"/>
        <v>0</v>
      </c>
      <c r="M72" s="381">
        <f t="shared" si="8"/>
        <v>0</v>
      </c>
      <c r="N72" s="381">
        <f>SUM(N69:N71)</f>
        <v>40000</v>
      </c>
      <c r="O72" s="383"/>
      <c r="P72" s="384"/>
      <c r="Q72" s="384"/>
      <c r="R72" s="384"/>
      <c r="S72" s="384"/>
      <c r="T72" s="384"/>
      <c r="U72" s="384"/>
    </row>
    <row r="73" spans="1:21" s="385" customFormat="1" ht="12.75">
      <c r="A73" s="387"/>
      <c r="B73" s="381"/>
      <c r="C73" s="381"/>
      <c r="D73" s="381"/>
      <c r="E73" s="381"/>
      <c r="F73" s="381"/>
      <c r="G73" s="381"/>
      <c r="H73" s="381"/>
      <c r="I73" s="381"/>
      <c r="J73" s="381"/>
      <c r="K73" s="381"/>
      <c r="L73" s="381"/>
      <c r="M73" s="381"/>
      <c r="N73" s="266"/>
      <c r="O73" s="383"/>
      <c r="P73" s="384"/>
      <c r="Q73" s="384"/>
      <c r="R73" s="384"/>
      <c r="S73" s="384"/>
      <c r="T73" s="384"/>
      <c r="U73" s="384"/>
    </row>
    <row r="74" spans="1:16" ht="12.75">
      <c r="A74" s="253" t="s">
        <v>188</v>
      </c>
      <c r="B74" s="373"/>
      <c r="C74" s="373"/>
      <c r="D74" s="373"/>
      <c r="E74" s="373"/>
      <c r="F74" s="373"/>
      <c r="G74" s="373"/>
      <c r="H74" s="373"/>
      <c r="I74" s="373"/>
      <c r="J74" s="373"/>
      <c r="K74" s="373"/>
      <c r="L74" s="373"/>
      <c r="M74" s="373"/>
      <c r="N74" s="386">
        <f t="shared" si="7"/>
        <v>0</v>
      </c>
      <c r="O74" s="358" t="e">
        <f t="shared" si="1"/>
        <v>#VALUE!</v>
      </c>
      <c r="P74" s="342" t="e">
        <f t="shared" si="2"/>
        <v>#VALUE!</v>
      </c>
    </row>
    <row r="75" spans="1:16" ht="12.75">
      <c r="A75" s="253" t="s">
        <v>189</v>
      </c>
      <c r="B75" s="373"/>
      <c r="C75" s="373"/>
      <c r="D75" s="373"/>
      <c r="E75" s="373"/>
      <c r="F75" s="373"/>
      <c r="G75" s="373"/>
      <c r="H75" s="373"/>
      <c r="I75" s="373"/>
      <c r="J75" s="373"/>
      <c r="K75" s="373"/>
      <c r="L75" s="373"/>
      <c r="M75" s="373"/>
      <c r="N75" s="386">
        <f t="shared" si="7"/>
        <v>0</v>
      </c>
      <c r="O75" s="358" t="e">
        <f t="shared" si="1"/>
        <v>#VALUE!</v>
      </c>
      <c r="P75" s="342" t="e">
        <f t="shared" si="2"/>
        <v>#VALUE!</v>
      </c>
    </row>
    <row r="76" spans="1:21" s="243" customFormat="1" ht="12.75">
      <c r="A76" s="253" t="s">
        <v>190</v>
      </c>
      <c r="B76" s="373"/>
      <c r="C76" s="373"/>
      <c r="D76" s="373"/>
      <c r="E76" s="373"/>
      <c r="F76" s="373"/>
      <c r="G76" s="373"/>
      <c r="H76" s="373"/>
      <c r="I76" s="373"/>
      <c r="J76" s="373"/>
      <c r="K76" s="373"/>
      <c r="L76" s="373"/>
      <c r="M76" s="373"/>
      <c r="N76" s="386">
        <f t="shared" si="7"/>
        <v>0</v>
      </c>
      <c r="O76" s="358" t="e">
        <f t="shared" si="1"/>
        <v>#VALUE!</v>
      </c>
      <c r="P76" s="342" t="e">
        <f t="shared" si="2"/>
        <v>#VALUE!</v>
      </c>
      <c r="Q76" s="388"/>
      <c r="R76" s="388"/>
      <c r="S76" s="388"/>
      <c r="T76" s="388"/>
      <c r="U76" s="388"/>
    </row>
    <row r="77" spans="1:21" s="243" customFormat="1" ht="12.75">
      <c r="A77" s="406" t="s">
        <v>191</v>
      </c>
      <c r="B77" s="373"/>
      <c r="C77" s="373"/>
      <c r="D77" s="373"/>
      <c r="E77" s="373"/>
      <c r="F77" s="373"/>
      <c r="G77" s="373"/>
      <c r="H77" s="373"/>
      <c r="I77" s="373"/>
      <c r="J77" s="373"/>
      <c r="K77" s="373"/>
      <c r="L77" s="373"/>
      <c r="M77" s="373"/>
      <c r="N77" s="386">
        <f t="shared" si="7"/>
        <v>0</v>
      </c>
      <c r="O77" s="358"/>
      <c r="P77" s="342"/>
      <c r="Q77" s="388"/>
      <c r="R77" s="388"/>
      <c r="S77" s="388"/>
      <c r="T77" s="388"/>
      <c r="U77" s="388"/>
    </row>
    <row r="78" spans="1:21" s="243" customFormat="1" ht="12.75">
      <c r="A78" s="406" t="s">
        <v>192</v>
      </c>
      <c r="B78" s="373"/>
      <c r="C78" s="373"/>
      <c r="D78" s="373">
        <v>262</v>
      </c>
      <c r="E78" s="373">
        <v>263</v>
      </c>
      <c r="F78" s="373">
        <v>262</v>
      </c>
      <c r="G78" s="373">
        <v>263</v>
      </c>
      <c r="H78" s="373">
        <v>262</v>
      </c>
      <c r="I78" s="373">
        <v>263</v>
      </c>
      <c r="J78" s="373">
        <v>262</v>
      </c>
      <c r="K78" s="373">
        <v>263</v>
      </c>
      <c r="L78" s="373">
        <v>262</v>
      </c>
      <c r="M78" s="373">
        <v>263</v>
      </c>
      <c r="N78" s="386">
        <f t="shared" si="7"/>
        <v>2625</v>
      </c>
      <c r="O78" s="358"/>
      <c r="P78" s="342"/>
      <c r="Q78" s="388"/>
      <c r="R78" s="388"/>
      <c r="S78" s="388"/>
      <c r="T78" s="388"/>
      <c r="U78" s="388"/>
    </row>
    <row r="79" spans="1:21" s="243" customFormat="1" ht="12.75">
      <c r="A79" s="406" t="s">
        <v>193</v>
      </c>
      <c r="B79" s="373"/>
      <c r="C79" s="373"/>
      <c r="D79" s="373"/>
      <c r="E79" s="373"/>
      <c r="F79" s="373"/>
      <c r="G79" s="373"/>
      <c r="H79" s="373"/>
      <c r="I79" s="373"/>
      <c r="J79" s="373"/>
      <c r="K79" s="373"/>
      <c r="L79" s="373"/>
      <c r="M79" s="373"/>
      <c r="N79" s="386">
        <f t="shared" si="7"/>
        <v>0</v>
      </c>
      <c r="O79" s="358"/>
      <c r="P79" s="342"/>
      <c r="Q79" s="388"/>
      <c r="R79" s="388"/>
      <c r="S79" s="388"/>
      <c r="T79" s="388"/>
      <c r="U79" s="388"/>
    </row>
    <row r="80" spans="1:21" s="385" customFormat="1" ht="12.75">
      <c r="A80" s="406" t="s">
        <v>194</v>
      </c>
      <c r="B80" s="373"/>
      <c r="C80" s="373"/>
      <c r="D80" s="373"/>
      <c r="E80" s="373"/>
      <c r="F80" s="373"/>
      <c r="G80" s="373"/>
      <c r="H80" s="373"/>
      <c r="I80" s="373"/>
      <c r="J80" s="373"/>
      <c r="K80" s="373"/>
      <c r="L80" s="373"/>
      <c r="M80" s="373"/>
      <c r="N80" s="386">
        <f t="shared" si="7"/>
        <v>0</v>
      </c>
      <c r="O80" s="383" t="e">
        <f t="shared" si="1"/>
        <v>#VALUE!</v>
      </c>
      <c r="P80" s="384" t="e">
        <f t="shared" si="2"/>
        <v>#VALUE!</v>
      </c>
      <c r="Q80" s="384"/>
      <c r="R80" s="384"/>
      <c r="S80" s="407"/>
      <c r="T80" s="384"/>
      <c r="U80" s="384"/>
    </row>
    <row r="81" spans="1:15" ht="12.75">
      <c r="A81" s="406" t="s">
        <v>215</v>
      </c>
      <c r="B81" s="373"/>
      <c r="C81" s="373"/>
      <c r="D81" s="373"/>
      <c r="E81" s="373"/>
      <c r="F81" s="373"/>
      <c r="G81" s="373">
        <v>2500</v>
      </c>
      <c r="H81" s="373"/>
      <c r="I81" s="373"/>
      <c r="J81" s="373"/>
      <c r="K81" s="373"/>
      <c r="L81" s="373"/>
      <c r="M81" s="373">
        <v>2500</v>
      </c>
      <c r="N81" s="386">
        <f t="shared" si="7"/>
        <v>5000</v>
      </c>
      <c r="O81" s="358"/>
    </row>
    <row r="82" spans="1:15" ht="12.75">
      <c r="A82" s="406" t="s">
        <v>216</v>
      </c>
      <c r="B82" s="373">
        <v>150</v>
      </c>
      <c r="C82" s="373">
        <v>150</v>
      </c>
      <c r="D82" s="373">
        <v>150</v>
      </c>
      <c r="E82" s="373">
        <v>150</v>
      </c>
      <c r="F82" s="373">
        <v>150</v>
      </c>
      <c r="G82" s="373">
        <v>150</v>
      </c>
      <c r="H82" s="373">
        <v>150</v>
      </c>
      <c r="I82" s="373">
        <v>150</v>
      </c>
      <c r="J82" s="373">
        <v>150</v>
      </c>
      <c r="K82" s="373">
        <v>150</v>
      </c>
      <c r="L82" s="373">
        <v>150</v>
      </c>
      <c r="M82" s="373">
        <v>150</v>
      </c>
      <c r="N82" s="386">
        <f t="shared" si="7"/>
        <v>1800</v>
      </c>
      <c r="O82" s="358"/>
    </row>
    <row r="83" spans="1:16" ht="12.75">
      <c r="A83" s="389" t="s">
        <v>217</v>
      </c>
      <c r="B83" s="373"/>
      <c r="C83" s="373"/>
      <c r="D83" s="373"/>
      <c r="E83" s="373"/>
      <c r="F83" s="373"/>
      <c r="G83" s="373">
        <v>875</v>
      </c>
      <c r="H83" s="373"/>
      <c r="I83" s="373"/>
      <c r="J83" s="373"/>
      <c r="K83" s="373"/>
      <c r="L83" s="373"/>
      <c r="M83" s="373">
        <v>875</v>
      </c>
      <c r="N83" s="386">
        <f t="shared" si="7"/>
        <v>1750</v>
      </c>
      <c r="O83" s="358" t="e">
        <f aca="true" t="shared" si="9" ref="O83:O109">N83*$O$8</f>
        <v>#VALUE!</v>
      </c>
      <c r="P83" s="342" t="e">
        <f aca="true" t="shared" si="10" ref="P83:P107">O83/4</f>
        <v>#VALUE!</v>
      </c>
    </row>
    <row r="84" spans="1:16" ht="12.75">
      <c r="A84" s="389"/>
      <c r="B84" s="373"/>
      <c r="C84" s="373"/>
      <c r="D84" s="373"/>
      <c r="E84" s="373"/>
      <c r="F84" s="373"/>
      <c r="G84" s="373"/>
      <c r="H84" s="373"/>
      <c r="I84" s="373"/>
      <c r="J84" s="373"/>
      <c r="K84" s="373"/>
      <c r="L84" s="373"/>
      <c r="M84" s="373"/>
      <c r="N84" s="386">
        <f t="shared" si="7"/>
        <v>0</v>
      </c>
      <c r="O84" s="358" t="e">
        <f t="shared" si="9"/>
        <v>#VALUE!</v>
      </c>
      <c r="P84" s="342" t="e">
        <f t="shared" si="10"/>
        <v>#VALUE!</v>
      </c>
    </row>
    <row r="85" spans="1:16" ht="12.75">
      <c r="A85" s="389"/>
      <c r="B85" s="373"/>
      <c r="C85" s="373"/>
      <c r="D85" s="373"/>
      <c r="E85" s="373"/>
      <c r="F85" s="373"/>
      <c r="G85" s="373"/>
      <c r="H85" s="373"/>
      <c r="I85" s="373"/>
      <c r="J85" s="373"/>
      <c r="K85" s="373"/>
      <c r="L85" s="373"/>
      <c r="M85" s="373"/>
      <c r="N85" s="386">
        <f t="shared" si="7"/>
        <v>0</v>
      </c>
      <c r="O85" s="358" t="e">
        <f t="shared" si="9"/>
        <v>#VALUE!</v>
      </c>
      <c r="P85" s="342" t="e">
        <f t="shared" si="10"/>
        <v>#VALUE!</v>
      </c>
    </row>
    <row r="86" spans="1:16" ht="15" customHeight="1">
      <c r="A86" s="389"/>
      <c r="B86" s="373"/>
      <c r="C86" s="373"/>
      <c r="D86" s="373"/>
      <c r="E86" s="373"/>
      <c r="F86" s="373"/>
      <c r="G86" s="373"/>
      <c r="H86" s="373"/>
      <c r="I86" s="373"/>
      <c r="J86" s="373"/>
      <c r="K86" s="373"/>
      <c r="L86" s="373"/>
      <c r="M86" s="373"/>
      <c r="N86" s="386">
        <f t="shared" si="7"/>
        <v>0</v>
      </c>
      <c r="O86" s="365" t="e">
        <f t="shared" si="9"/>
        <v>#VALUE!</v>
      </c>
      <c r="P86" s="345" t="e">
        <f t="shared" si="10"/>
        <v>#VALUE!</v>
      </c>
    </row>
    <row r="87" spans="1:15" ht="16.5" customHeight="1">
      <c r="A87" s="389"/>
      <c r="B87" s="373"/>
      <c r="C87" s="373"/>
      <c r="D87" s="373"/>
      <c r="E87" s="373"/>
      <c r="F87" s="373"/>
      <c r="G87" s="373"/>
      <c r="H87" s="373"/>
      <c r="I87" s="373"/>
      <c r="J87" s="373"/>
      <c r="K87" s="373"/>
      <c r="L87" s="373"/>
      <c r="M87" s="373"/>
      <c r="N87" s="386">
        <f t="shared" si="7"/>
        <v>0</v>
      </c>
      <c r="O87" s="358"/>
    </row>
    <row r="88" spans="1:16" ht="12.75">
      <c r="A88" s="389"/>
      <c r="B88" s="373"/>
      <c r="C88" s="373"/>
      <c r="D88" s="373"/>
      <c r="E88" s="373"/>
      <c r="F88" s="373"/>
      <c r="G88" s="373"/>
      <c r="H88" s="373"/>
      <c r="I88" s="373"/>
      <c r="J88" s="373"/>
      <c r="K88" s="373"/>
      <c r="L88" s="373"/>
      <c r="M88" s="373"/>
      <c r="N88" s="386">
        <f t="shared" si="7"/>
        <v>0</v>
      </c>
      <c r="O88" s="358" t="e">
        <f t="shared" si="9"/>
        <v>#VALUE!</v>
      </c>
      <c r="P88" s="342" t="e">
        <f t="shared" si="10"/>
        <v>#VALUE!</v>
      </c>
    </row>
    <row r="89" spans="1:16" ht="12.75">
      <c r="A89" s="389"/>
      <c r="B89" s="373"/>
      <c r="C89" s="373"/>
      <c r="D89" s="373"/>
      <c r="E89" s="373"/>
      <c r="F89" s="373"/>
      <c r="G89" s="373"/>
      <c r="H89" s="373"/>
      <c r="I89" s="373"/>
      <c r="J89" s="373"/>
      <c r="K89" s="373"/>
      <c r="L89" s="373"/>
      <c r="M89" s="373"/>
      <c r="N89" s="386">
        <f t="shared" si="7"/>
        <v>0</v>
      </c>
      <c r="O89" s="358" t="e">
        <f t="shared" si="9"/>
        <v>#VALUE!</v>
      </c>
      <c r="P89" s="342" t="e">
        <f t="shared" si="10"/>
        <v>#VALUE!</v>
      </c>
    </row>
    <row r="90" spans="1:16" ht="12.75">
      <c r="A90" s="389"/>
      <c r="B90" s="373"/>
      <c r="C90" s="373"/>
      <c r="D90" s="373"/>
      <c r="E90" s="373"/>
      <c r="F90" s="373"/>
      <c r="G90" s="373"/>
      <c r="H90" s="373"/>
      <c r="I90" s="373"/>
      <c r="J90" s="373"/>
      <c r="K90" s="373"/>
      <c r="L90" s="373"/>
      <c r="M90" s="373"/>
      <c r="N90" s="386">
        <f t="shared" si="7"/>
        <v>0</v>
      </c>
      <c r="O90" s="358" t="e">
        <f t="shared" si="9"/>
        <v>#VALUE!</v>
      </c>
      <c r="P90" s="342" t="e">
        <f t="shared" si="10"/>
        <v>#VALUE!</v>
      </c>
    </row>
    <row r="91" spans="1:16" ht="12.75">
      <c r="A91" s="389"/>
      <c r="B91" s="373"/>
      <c r="C91" s="373"/>
      <c r="D91" s="373"/>
      <c r="E91" s="373"/>
      <c r="F91" s="373"/>
      <c r="G91" s="373"/>
      <c r="H91" s="373"/>
      <c r="I91" s="373"/>
      <c r="J91" s="373"/>
      <c r="K91" s="373"/>
      <c r="L91" s="373"/>
      <c r="M91" s="373"/>
      <c r="N91" s="386">
        <f t="shared" si="7"/>
        <v>0</v>
      </c>
      <c r="O91" s="358" t="e">
        <f t="shared" si="9"/>
        <v>#VALUE!</v>
      </c>
      <c r="P91" s="342" t="e">
        <f t="shared" si="10"/>
        <v>#VALUE!</v>
      </c>
    </row>
    <row r="92" spans="1:16" ht="12.75">
      <c r="A92" s="389"/>
      <c r="B92" s="373"/>
      <c r="C92" s="373"/>
      <c r="D92" s="373"/>
      <c r="E92" s="373"/>
      <c r="F92" s="373"/>
      <c r="G92" s="373"/>
      <c r="H92" s="373"/>
      <c r="I92" s="373"/>
      <c r="J92" s="373"/>
      <c r="K92" s="373"/>
      <c r="L92" s="373"/>
      <c r="M92" s="373"/>
      <c r="N92" s="386">
        <f t="shared" si="7"/>
        <v>0</v>
      </c>
      <c r="O92" s="358" t="e">
        <f t="shared" si="9"/>
        <v>#VALUE!</v>
      </c>
      <c r="P92" s="342" t="e">
        <f t="shared" si="10"/>
        <v>#VALUE!</v>
      </c>
    </row>
    <row r="93" spans="1:16" ht="13.5" thickBot="1">
      <c r="A93" s="377" t="s">
        <v>125</v>
      </c>
      <c r="B93" s="390">
        <f>SUM(B74:B92)</f>
        <v>150</v>
      </c>
      <c r="C93" s="390">
        <f aca="true" t="shared" si="11" ref="C93:N93">SUM(C74:C92)</f>
        <v>150</v>
      </c>
      <c r="D93" s="390">
        <f t="shared" si="11"/>
        <v>412</v>
      </c>
      <c r="E93" s="390">
        <f t="shared" si="11"/>
        <v>413</v>
      </c>
      <c r="F93" s="390">
        <f t="shared" si="11"/>
        <v>412</v>
      </c>
      <c r="G93" s="390">
        <f t="shared" si="11"/>
        <v>3788</v>
      </c>
      <c r="H93" s="390">
        <f t="shared" si="11"/>
        <v>412</v>
      </c>
      <c r="I93" s="390">
        <f t="shared" si="11"/>
        <v>413</v>
      </c>
      <c r="J93" s="390">
        <f t="shared" si="11"/>
        <v>412</v>
      </c>
      <c r="K93" s="390">
        <f t="shared" si="11"/>
        <v>413</v>
      </c>
      <c r="L93" s="390">
        <f t="shared" si="11"/>
        <v>412</v>
      </c>
      <c r="M93" s="390">
        <f t="shared" si="11"/>
        <v>3788</v>
      </c>
      <c r="N93" s="408">
        <f t="shared" si="11"/>
        <v>11175</v>
      </c>
      <c r="O93" s="365" t="e">
        <f t="shared" si="9"/>
        <v>#VALUE!</v>
      </c>
      <c r="P93" s="345" t="e">
        <f t="shared" si="10"/>
        <v>#VALUE!</v>
      </c>
    </row>
    <row r="94" spans="1:16" ht="12.75">
      <c r="A94" s="391"/>
      <c r="B94" s="392"/>
      <c r="C94" s="392"/>
      <c r="D94" s="392"/>
      <c r="E94" s="392"/>
      <c r="F94" s="392"/>
      <c r="G94" s="392"/>
      <c r="H94" s="392"/>
      <c r="I94" s="392"/>
      <c r="J94" s="392"/>
      <c r="K94" s="392"/>
      <c r="L94" s="392"/>
      <c r="M94" s="392"/>
      <c r="N94" s="409"/>
      <c r="O94" s="365"/>
      <c r="P94" s="345"/>
    </row>
    <row r="95" spans="1:16" ht="12.75">
      <c r="A95" s="377" t="s">
        <v>132</v>
      </c>
      <c r="B95" s="392">
        <f aca="true" t="shared" si="12" ref="B95:M95">B93+B72+B67</f>
        <v>10150</v>
      </c>
      <c r="C95" s="392">
        <f t="shared" si="12"/>
        <v>150</v>
      </c>
      <c r="D95" s="392">
        <f t="shared" si="12"/>
        <v>412</v>
      </c>
      <c r="E95" s="392">
        <f t="shared" si="12"/>
        <v>10413</v>
      </c>
      <c r="F95" s="392">
        <f t="shared" si="12"/>
        <v>412</v>
      </c>
      <c r="G95" s="392">
        <f t="shared" si="12"/>
        <v>3788</v>
      </c>
      <c r="H95" s="392">
        <f t="shared" si="12"/>
        <v>10412</v>
      </c>
      <c r="I95" s="392">
        <f t="shared" si="12"/>
        <v>413</v>
      </c>
      <c r="J95" s="392">
        <f t="shared" si="12"/>
        <v>412</v>
      </c>
      <c r="K95" s="392">
        <f t="shared" si="12"/>
        <v>10413</v>
      </c>
      <c r="L95" s="392">
        <f t="shared" si="12"/>
        <v>412</v>
      </c>
      <c r="M95" s="392">
        <f t="shared" si="12"/>
        <v>3788</v>
      </c>
      <c r="N95" s="409">
        <f>SUM(B95:M95)</f>
        <v>51175</v>
      </c>
      <c r="O95" s="365"/>
      <c r="P95" s="345"/>
    </row>
    <row r="96" spans="15:16" ht="13.5" thickBot="1">
      <c r="O96" s="358" t="e">
        <f t="shared" si="9"/>
        <v>#VALUE!</v>
      </c>
      <c r="P96" s="342" t="e">
        <f t="shared" si="10"/>
        <v>#VALUE!</v>
      </c>
    </row>
    <row r="97" spans="1:16" ht="14.25" thickBot="1" thickTop="1">
      <c r="A97" s="393" t="s">
        <v>43</v>
      </c>
      <c r="B97" s="394">
        <f aca="true" t="shared" si="13" ref="B97:M97">B95-B58</f>
        <v>5171.32</v>
      </c>
      <c r="C97" s="394">
        <f t="shared" si="13"/>
        <v>-4529.67</v>
      </c>
      <c r="D97" s="394">
        <f t="shared" si="13"/>
        <v>-6000.74</v>
      </c>
      <c r="E97" s="394">
        <f t="shared" si="13"/>
        <v>5433.33</v>
      </c>
      <c r="F97" s="394">
        <f t="shared" si="13"/>
        <v>-4266.68</v>
      </c>
      <c r="G97" s="394">
        <f t="shared" si="13"/>
        <v>-904.1700000000001</v>
      </c>
      <c r="H97" s="394">
        <f t="shared" si="13"/>
        <v>5433.32</v>
      </c>
      <c r="I97" s="394">
        <f t="shared" si="13"/>
        <v>-5988.17</v>
      </c>
      <c r="J97" s="394">
        <f t="shared" si="13"/>
        <v>-4279.18</v>
      </c>
      <c r="K97" s="394">
        <f t="shared" si="13"/>
        <v>5433.33</v>
      </c>
      <c r="L97" s="394">
        <f t="shared" si="13"/>
        <v>-4266.68</v>
      </c>
      <c r="M97" s="394">
        <f t="shared" si="13"/>
        <v>-910.4700000000003</v>
      </c>
      <c r="N97" s="394">
        <f>SUM(B97:M97)</f>
        <v>-9674.460000000003</v>
      </c>
      <c r="O97" s="365" t="e">
        <f t="shared" si="9"/>
        <v>#VALUE!</v>
      </c>
      <c r="P97" s="345" t="e">
        <f t="shared" si="10"/>
        <v>#VALUE!</v>
      </c>
    </row>
    <row r="98" spans="15:16" ht="13.5" thickTop="1">
      <c r="O98" s="358" t="e">
        <f t="shared" si="9"/>
        <v>#VALUE!</v>
      </c>
      <c r="P98" s="342" t="e">
        <f t="shared" si="10"/>
        <v>#VALUE!</v>
      </c>
    </row>
    <row r="99" spans="1:16" ht="12.75">
      <c r="A99" s="350" t="s">
        <v>165</v>
      </c>
      <c r="O99" s="358" t="e">
        <f t="shared" si="9"/>
        <v>#VALUE!</v>
      </c>
      <c r="P99" s="342" t="e">
        <f t="shared" si="10"/>
        <v>#VALUE!</v>
      </c>
    </row>
    <row r="100" spans="1:15" ht="12.75">
      <c r="A100" s="350"/>
      <c r="B100" s="354" t="s">
        <v>99</v>
      </c>
      <c r="C100" s="354" t="s">
        <v>100</v>
      </c>
      <c r="D100" s="354" t="s">
        <v>101</v>
      </c>
      <c r="E100" s="354" t="s">
        <v>102</v>
      </c>
      <c r="F100" s="354" t="s">
        <v>103</v>
      </c>
      <c r="G100" s="354" t="s">
        <v>104</v>
      </c>
      <c r="H100" s="354" t="s">
        <v>105</v>
      </c>
      <c r="I100" s="354" t="s">
        <v>106</v>
      </c>
      <c r="J100" s="354" t="s">
        <v>107</v>
      </c>
      <c r="K100" s="354" t="s">
        <v>108</v>
      </c>
      <c r="L100" s="354" t="s">
        <v>109</v>
      </c>
      <c r="M100" s="354" t="s">
        <v>110</v>
      </c>
      <c r="N100" s="395" t="s">
        <v>119</v>
      </c>
      <c r="O100" s="358"/>
    </row>
    <row r="101" spans="1:16" ht="19.5" customHeight="1">
      <c r="A101" s="410" t="s">
        <v>166</v>
      </c>
      <c r="B101" s="396">
        <f aca="true" t="shared" si="14" ref="B101:M101">B42</f>
        <v>650</v>
      </c>
      <c r="C101" s="396">
        <f t="shared" si="14"/>
        <v>351</v>
      </c>
      <c r="D101" s="396">
        <f t="shared" si="14"/>
        <v>362.5</v>
      </c>
      <c r="E101" s="396">
        <f t="shared" si="14"/>
        <v>651</v>
      </c>
      <c r="F101" s="396">
        <f t="shared" si="14"/>
        <v>350</v>
      </c>
      <c r="G101" s="396">
        <f t="shared" si="14"/>
        <v>363.5</v>
      </c>
      <c r="H101" s="396">
        <f t="shared" si="14"/>
        <v>650</v>
      </c>
      <c r="I101" s="396">
        <f t="shared" si="14"/>
        <v>351</v>
      </c>
      <c r="J101" s="396">
        <f t="shared" si="14"/>
        <v>362.5</v>
      </c>
      <c r="K101" s="396">
        <f t="shared" si="14"/>
        <v>651</v>
      </c>
      <c r="L101" s="396">
        <f t="shared" si="14"/>
        <v>350</v>
      </c>
      <c r="M101" s="396">
        <f t="shared" si="14"/>
        <v>369.8</v>
      </c>
      <c r="N101" s="396">
        <f>SUM(B101:M101)</f>
        <v>5462.3</v>
      </c>
      <c r="O101" s="358" t="e">
        <f t="shared" si="9"/>
        <v>#VALUE!</v>
      </c>
      <c r="P101" s="342" t="e">
        <f t="shared" si="10"/>
        <v>#VALUE!</v>
      </c>
    </row>
    <row r="102" spans="1:16" ht="19.5" customHeight="1">
      <c r="A102" s="375" t="s">
        <v>163</v>
      </c>
      <c r="B102" s="397">
        <f aca="true" t="shared" si="15" ref="B102:M102">B56</f>
        <v>4328.68</v>
      </c>
      <c r="C102" s="397">
        <f t="shared" si="15"/>
        <v>4328.67</v>
      </c>
      <c r="D102" s="397">
        <f t="shared" si="15"/>
        <v>6050.24</v>
      </c>
      <c r="E102" s="397">
        <f t="shared" si="15"/>
        <v>4328.67</v>
      </c>
      <c r="F102" s="397">
        <f t="shared" si="15"/>
        <v>4328.68</v>
      </c>
      <c r="G102" s="397">
        <f t="shared" si="15"/>
        <v>4328.67</v>
      </c>
      <c r="H102" s="397">
        <f t="shared" si="15"/>
        <v>4328.68</v>
      </c>
      <c r="I102" s="397">
        <f t="shared" si="15"/>
        <v>6050.17</v>
      </c>
      <c r="J102" s="397">
        <f t="shared" si="15"/>
        <v>4328.68</v>
      </c>
      <c r="K102" s="397">
        <f t="shared" si="15"/>
        <v>4328.67</v>
      </c>
      <c r="L102" s="397">
        <f t="shared" si="15"/>
        <v>4328.68</v>
      </c>
      <c r="M102" s="397">
        <f t="shared" si="15"/>
        <v>4328.67</v>
      </c>
      <c r="N102" s="396">
        <f>SUM(B102:M102)</f>
        <v>55387.159999999996</v>
      </c>
      <c r="O102" s="358" t="e">
        <f t="shared" si="9"/>
        <v>#VALUE!</v>
      </c>
      <c r="P102" s="342" t="e">
        <f t="shared" si="10"/>
        <v>#VALUE!</v>
      </c>
    </row>
    <row r="103" spans="1:16" ht="19.5" customHeight="1">
      <c r="A103" s="411" t="s">
        <v>120</v>
      </c>
      <c r="B103" s="398">
        <f aca="true" t="shared" si="16" ref="B103:N103">SUM(B101:B102)</f>
        <v>4978.68</v>
      </c>
      <c r="C103" s="398">
        <f t="shared" si="16"/>
        <v>4679.67</v>
      </c>
      <c r="D103" s="398">
        <f t="shared" si="16"/>
        <v>6412.74</v>
      </c>
      <c r="E103" s="398">
        <f t="shared" si="16"/>
        <v>4979.67</v>
      </c>
      <c r="F103" s="398">
        <f t="shared" si="16"/>
        <v>4678.68</v>
      </c>
      <c r="G103" s="398">
        <f t="shared" si="16"/>
        <v>4692.17</v>
      </c>
      <c r="H103" s="398">
        <f t="shared" si="16"/>
        <v>4978.68</v>
      </c>
      <c r="I103" s="398">
        <f t="shared" si="16"/>
        <v>6401.17</v>
      </c>
      <c r="J103" s="398">
        <f t="shared" si="16"/>
        <v>4691.18</v>
      </c>
      <c r="K103" s="398">
        <f t="shared" si="16"/>
        <v>4979.67</v>
      </c>
      <c r="L103" s="398">
        <f t="shared" si="16"/>
        <v>4678.68</v>
      </c>
      <c r="M103" s="398">
        <f t="shared" si="16"/>
        <v>4698.47</v>
      </c>
      <c r="N103" s="398">
        <f t="shared" si="16"/>
        <v>60849.46</v>
      </c>
      <c r="O103" s="365" t="e">
        <f t="shared" si="9"/>
        <v>#VALUE!</v>
      </c>
      <c r="P103" s="345" t="e">
        <f t="shared" si="10"/>
        <v>#VALUE!</v>
      </c>
    </row>
    <row r="104" spans="1:16" ht="19.5" customHeight="1">
      <c r="A104" s="412" t="s">
        <v>218</v>
      </c>
      <c r="B104" s="399">
        <f aca="true" t="shared" si="17" ref="B104:M104">B72</f>
        <v>10000</v>
      </c>
      <c r="C104" s="399">
        <f t="shared" si="17"/>
        <v>0</v>
      </c>
      <c r="D104" s="399">
        <f t="shared" si="17"/>
        <v>0</v>
      </c>
      <c r="E104" s="399">
        <f t="shared" si="17"/>
        <v>10000</v>
      </c>
      <c r="F104" s="399">
        <f t="shared" si="17"/>
        <v>0</v>
      </c>
      <c r="G104" s="399">
        <f t="shared" si="17"/>
        <v>0</v>
      </c>
      <c r="H104" s="399">
        <f t="shared" si="17"/>
        <v>10000</v>
      </c>
      <c r="I104" s="399">
        <f t="shared" si="17"/>
        <v>0</v>
      </c>
      <c r="J104" s="399">
        <f t="shared" si="17"/>
        <v>0</v>
      </c>
      <c r="K104" s="399">
        <f t="shared" si="17"/>
        <v>10000</v>
      </c>
      <c r="L104" s="399">
        <f t="shared" si="17"/>
        <v>0</v>
      </c>
      <c r="M104" s="399">
        <f t="shared" si="17"/>
        <v>0</v>
      </c>
      <c r="N104" s="399">
        <f>SUM(B104:M104)</f>
        <v>40000</v>
      </c>
      <c r="O104" s="365"/>
      <c r="P104" s="345"/>
    </row>
    <row r="105" spans="1:16" ht="19.5" customHeight="1">
      <c r="A105" s="412" t="s">
        <v>204</v>
      </c>
      <c r="B105" s="399">
        <f>B93</f>
        <v>150</v>
      </c>
      <c r="C105" s="399">
        <f aca="true" t="shared" si="18" ref="C105:M105">C93</f>
        <v>150</v>
      </c>
      <c r="D105" s="399">
        <f t="shared" si="18"/>
        <v>412</v>
      </c>
      <c r="E105" s="399">
        <f t="shared" si="18"/>
        <v>413</v>
      </c>
      <c r="F105" s="399">
        <f t="shared" si="18"/>
        <v>412</v>
      </c>
      <c r="G105" s="399">
        <f t="shared" si="18"/>
        <v>3788</v>
      </c>
      <c r="H105" s="399">
        <f t="shared" si="18"/>
        <v>412</v>
      </c>
      <c r="I105" s="399">
        <f t="shared" si="18"/>
        <v>413</v>
      </c>
      <c r="J105" s="399">
        <f t="shared" si="18"/>
        <v>412</v>
      </c>
      <c r="K105" s="399">
        <f t="shared" si="18"/>
        <v>413</v>
      </c>
      <c r="L105" s="399">
        <f t="shared" si="18"/>
        <v>412</v>
      </c>
      <c r="M105" s="399">
        <f t="shared" si="18"/>
        <v>3788</v>
      </c>
      <c r="N105" s="399">
        <f>SUM(B105:M105)</f>
        <v>11175</v>
      </c>
      <c r="O105" s="365"/>
      <c r="P105" s="345"/>
    </row>
    <row r="106" spans="1:16" ht="19.5" customHeight="1">
      <c r="A106" s="413" t="s">
        <v>132</v>
      </c>
      <c r="B106" s="400">
        <f aca="true" t="shared" si="19" ref="B106:M106">B67+B104+B105</f>
        <v>10150</v>
      </c>
      <c r="C106" s="400">
        <f t="shared" si="19"/>
        <v>150</v>
      </c>
      <c r="D106" s="400">
        <f t="shared" si="19"/>
        <v>412</v>
      </c>
      <c r="E106" s="400">
        <f t="shared" si="19"/>
        <v>10413</v>
      </c>
      <c r="F106" s="400">
        <f t="shared" si="19"/>
        <v>412</v>
      </c>
      <c r="G106" s="400">
        <f t="shared" si="19"/>
        <v>3788</v>
      </c>
      <c r="H106" s="400">
        <f t="shared" si="19"/>
        <v>10412</v>
      </c>
      <c r="I106" s="400">
        <f t="shared" si="19"/>
        <v>413</v>
      </c>
      <c r="J106" s="400">
        <f t="shared" si="19"/>
        <v>412</v>
      </c>
      <c r="K106" s="400">
        <f t="shared" si="19"/>
        <v>10413</v>
      </c>
      <c r="L106" s="400">
        <f t="shared" si="19"/>
        <v>412</v>
      </c>
      <c r="M106" s="400">
        <f t="shared" si="19"/>
        <v>3788</v>
      </c>
      <c r="N106" s="400">
        <f>SUM(B106:M106)</f>
        <v>51175</v>
      </c>
      <c r="O106" s="358" t="e">
        <f t="shared" si="9"/>
        <v>#VALUE!</v>
      </c>
      <c r="P106" s="342" t="e">
        <f t="shared" si="10"/>
        <v>#VALUE!</v>
      </c>
    </row>
    <row r="107" spans="1:16" ht="19.5" customHeight="1" thickBot="1">
      <c r="A107" s="414" t="s">
        <v>46</v>
      </c>
      <c r="B107" s="401">
        <f>SUM(B106-B103)</f>
        <v>5171.32</v>
      </c>
      <c r="C107" s="401">
        <f aca="true" t="shared" si="20" ref="C107:N107">SUM(C106-C103)</f>
        <v>-4529.67</v>
      </c>
      <c r="D107" s="401">
        <f t="shared" si="20"/>
        <v>-6000.74</v>
      </c>
      <c r="E107" s="401">
        <f t="shared" si="20"/>
        <v>5433.33</v>
      </c>
      <c r="F107" s="401">
        <f t="shared" si="20"/>
        <v>-4266.68</v>
      </c>
      <c r="G107" s="401">
        <f t="shared" si="20"/>
        <v>-904.1700000000001</v>
      </c>
      <c r="H107" s="401">
        <f t="shared" si="20"/>
        <v>5433.32</v>
      </c>
      <c r="I107" s="401">
        <f t="shared" si="20"/>
        <v>-5988.17</v>
      </c>
      <c r="J107" s="401">
        <f t="shared" si="20"/>
        <v>-4279.18</v>
      </c>
      <c r="K107" s="401">
        <f t="shared" si="20"/>
        <v>5433.33</v>
      </c>
      <c r="L107" s="401">
        <f t="shared" si="20"/>
        <v>-4266.68</v>
      </c>
      <c r="M107" s="401">
        <f t="shared" si="20"/>
        <v>-910.4700000000003</v>
      </c>
      <c r="N107" s="401">
        <f t="shared" si="20"/>
        <v>-9674.46</v>
      </c>
      <c r="O107" s="365" t="e">
        <f t="shared" si="9"/>
        <v>#VALUE!</v>
      </c>
      <c r="P107" s="345" t="e">
        <f t="shared" si="10"/>
        <v>#VALUE!</v>
      </c>
    </row>
    <row r="108" spans="1:15" ht="24.75" customHeight="1" thickTop="1">
      <c r="A108" s="360"/>
      <c r="B108" s="359"/>
      <c r="C108" s="359"/>
      <c r="D108" s="359">
        <f>SUM(B107:D107)</f>
        <v>-5359.09</v>
      </c>
      <c r="E108" s="359"/>
      <c r="F108" s="359"/>
      <c r="G108" s="359">
        <f>SUM(E107:G107)</f>
        <v>262.47999999999956</v>
      </c>
      <c r="H108" s="359"/>
      <c r="I108" s="359"/>
      <c r="J108" s="359">
        <f>SUM(H107:J107)</f>
        <v>-4834.030000000001</v>
      </c>
      <c r="K108" s="359"/>
      <c r="L108" s="359"/>
      <c r="M108" s="359">
        <f>SUM(K107:M107)</f>
        <v>256.1799999999994</v>
      </c>
      <c r="N108" s="359"/>
      <c r="O108" s="358" t="e">
        <f t="shared" si="9"/>
        <v>#VALUE!</v>
      </c>
    </row>
    <row r="109" spans="1:15" ht="24.75" customHeight="1">
      <c r="A109" s="360" t="s">
        <v>46</v>
      </c>
      <c r="B109" s="359">
        <f>+B97-B107</f>
        <v>0</v>
      </c>
      <c r="C109" s="359">
        <f aca="true" t="shared" si="21" ref="C109:N109">+C97-C107</f>
        <v>0</v>
      </c>
      <c r="D109" s="359">
        <f t="shared" si="21"/>
        <v>0</v>
      </c>
      <c r="E109" s="359">
        <f t="shared" si="21"/>
        <v>0</v>
      </c>
      <c r="F109" s="359">
        <f t="shared" si="21"/>
        <v>0</v>
      </c>
      <c r="G109" s="359">
        <f t="shared" si="21"/>
        <v>0</v>
      </c>
      <c r="H109" s="359">
        <f t="shared" si="21"/>
        <v>0</v>
      </c>
      <c r="I109" s="359">
        <f t="shared" si="21"/>
        <v>0</v>
      </c>
      <c r="J109" s="359">
        <f t="shared" si="21"/>
        <v>0</v>
      </c>
      <c r="K109" s="359">
        <f t="shared" si="21"/>
        <v>0</v>
      </c>
      <c r="L109" s="359">
        <f t="shared" si="21"/>
        <v>0</v>
      </c>
      <c r="M109" s="359">
        <f t="shared" si="21"/>
        <v>0</v>
      </c>
      <c r="N109" s="359">
        <f t="shared" si="21"/>
        <v>0</v>
      </c>
      <c r="O109" s="358" t="e">
        <f t="shared" si="9"/>
        <v>#VALUE!</v>
      </c>
    </row>
    <row r="110" spans="1:14" ht="24.75" customHeight="1">
      <c r="A110" s="360"/>
      <c r="B110" s="359"/>
      <c r="C110" s="359"/>
      <c r="D110" s="359">
        <f>+B97+C97+D97</f>
        <v>-5359.09</v>
      </c>
      <c r="E110" s="359"/>
      <c r="F110" s="359"/>
      <c r="G110" s="359"/>
      <c r="H110" s="359"/>
      <c r="I110" s="359"/>
      <c r="J110" s="359"/>
      <c r="K110" s="359"/>
      <c r="L110" s="359"/>
      <c r="M110" s="359"/>
      <c r="N110" s="359"/>
    </row>
  </sheetData>
  <sheetProtection password="C72A" sheet="1"/>
  <printOptions gridLines="1"/>
  <pageMargins left="0.196850393700787" right="0.196850393700787" top="0.196850393700787" bottom="0.393700787401575" header="0.196850393700787" footer="0.15748031496063"/>
  <pageSetup fitToHeight="2" fitToWidth="2" horizontalDpi="600" verticalDpi="600" orientation="landscape" scale="70" r:id="rId1"/>
  <headerFooter alignWithMargins="0">
    <oddFooter>&amp;CPagina &amp;P</oddFooter>
  </headerFooter>
  <rowBreaks count="2" manualBreakCount="2">
    <brk id="58" max="15" man="1"/>
    <brk id="10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</dc:creator>
  <cp:keywords/>
  <dc:description/>
  <cp:lastModifiedBy>devers286</cp:lastModifiedBy>
  <cp:lastPrinted>2023-01-13T14:23:04Z</cp:lastPrinted>
  <dcterms:created xsi:type="dcterms:W3CDTF">2012-01-13T01:53:47Z</dcterms:created>
  <dcterms:modified xsi:type="dcterms:W3CDTF">2023-01-13T14:23:18Z</dcterms:modified>
  <cp:category/>
  <cp:version/>
  <cp:contentType/>
  <cp:contentStatus/>
</cp:coreProperties>
</file>