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320" windowHeight="11760" activeTab="0"/>
  </bookViews>
  <sheets>
    <sheet name="Sheet1" sheetId="1" r:id="rId1"/>
    <sheet name="Sheet6" sheetId="2" state="hidden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>
    <definedName name="_xlnm.Print_Area" localSheetId="0">'Sheet1'!$A$20:$J$37</definedName>
  </definedNames>
  <calcPr fullCalcOnLoad="1"/>
</workbook>
</file>

<file path=xl/sharedStrings.xml><?xml version="1.0" encoding="utf-8"?>
<sst xmlns="http://schemas.openxmlformats.org/spreadsheetml/2006/main" count="116" uniqueCount="110">
  <si>
    <t>YEAR</t>
  </si>
  <si>
    <t>Apr1980-Mar1981</t>
  </si>
  <si>
    <t>UNIT VALUE</t>
  </si>
  <si>
    <t>Apr1981-Mar1982</t>
  </si>
  <si>
    <t>Apr1982-Mar1983</t>
  </si>
  <si>
    <t>Apr1983-Mar1984</t>
  </si>
  <si>
    <t xml:space="preserve"> </t>
  </si>
  <si>
    <t>Apr1984-Mar1985</t>
  </si>
  <si>
    <t>Apr1985-Mar1986</t>
  </si>
  <si>
    <t>Apr1986-Mar1987</t>
  </si>
  <si>
    <t>Apr1987-Mar1988</t>
  </si>
  <si>
    <t>Apr1988-Mar1989</t>
  </si>
  <si>
    <t>Apr1989-Mar1990</t>
  </si>
  <si>
    <t>Apr1990-Mar1991</t>
  </si>
  <si>
    <t>Apr1991-Mar1992</t>
  </si>
  <si>
    <t>Apr1992-Mar1993</t>
  </si>
  <si>
    <t>Apr1993-Mar1994</t>
  </si>
  <si>
    <t>Apr1994-Mar-1995</t>
  </si>
  <si>
    <t>Apr1995-Mar1996</t>
  </si>
  <si>
    <t>Apr1996-Mar-1997</t>
  </si>
  <si>
    <t>Apr1997-Mar1998</t>
  </si>
  <si>
    <t>Apr1998-Mar1999</t>
  </si>
  <si>
    <t>Apr1999-Mar2000</t>
  </si>
  <si>
    <t>Apr2000-Mar2001</t>
  </si>
  <si>
    <t>Apr2001-Mar2002</t>
  </si>
  <si>
    <t>Apr2002-Mar2003</t>
  </si>
  <si>
    <t>Apr2003-Mar2004</t>
  </si>
  <si>
    <t>Apr2004-Mar2005</t>
  </si>
  <si>
    <t>Apr2005-Mar2006</t>
  </si>
  <si>
    <t>Apr2006-Mar2007</t>
  </si>
  <si>
    <t>Apr2007-Mar2008</t>
  </si>
  <si>
    <t>Apr2008-Mar2009</t>
  </si>
  <si>
    <t>Line</t>
  </si>
  <si>
    <t>Final Average Earnings</t>
  </si>
  <si>
    <t>Line #1 multiplied by .3</t>
  </si>
  <si>
    <t>Years of Delta service (maximum 25)</t>
  </si>
  <si>
    <t xml:space="preserve">Line #3 divided by 25 </t>
  </si>
  <si>
    <t>Line #2 multiplied by line #4</t>
  </si>
  <si>
    <t>Line #8 subtracted from 1.0</t>
  </si>
  <si>
    <t xml:space="preserve">Line #5 multiplied by line #9  </t>
  </si>
  <si>
    <t>Line #10 divided by 2</t>
  </si>
  <si>
    <t>Variable benefit unit value as of retirement date</t>
  </si>
  <si>
    <t>Line #11 divided by line #12 to determine # of benefit units</t>
  </si>
  <si>
    <t>Variable benefit unit value as of date of death</t>
  </si>
  <si>
    <t>CALCULATION</t>
  </si>
  <si>
    <t>Line #13 multiplied by line #14 to determine Variable Benefit</t>
  </si>
  <si>
    <t>Larger amount from line #11 or line 15</t>
  </si>
  <si>
    <t>Line #11 added to #16 to determine annual Survivor's Benefit</t>
  </si>
  <si>
    <t>ANNUAL</t>
  </si>
  <si>
    <t>MONTHLY</t>
  </si>
  <si>
    <t>YEARS</t>
  </si>
  <si>
    <t>MONTHS</t>
  </si>
  <si>
    <t>TOTAL</t>
  </si>
  <si>
    <t>ADJUSTED</t>
  </si>
  <si>
    <t>RETIREMENT CALCULATION</t>
  </si>
  <si>
    <t>SERVICE CALCULATION</t>
  </si>
  <si>
    <t>MONTHS EARLY</t>
  </si>
  <si>
    <t>Age at retirement (maximum 720 months)</t>
  </si>
  <si>
    <t>Months early retirement</t>
  </si>
  <si>
    <t>Line #7 multiplied by .0025</t>
  </si>
  <si>
    <t>FINAL AVERAGE EARNINGS :</t>
  </si>
  <si>
    <t xml:space="preserve">AGE AT RETIREMENT :          </t>
  </si>
  <si>
    <t>TABLE FOR VARIABLE BENEFIT UNIT VALUES:</t>
  </si>
  <si>
    <t>PLTFXLTD        =</t>
  </si>
  <si>
    <t xml:space="preserve">DELTA SERVICE : </t>
  </si>
  <si>
    <t>YEARS =</t>
  </si>
  <si>
    <t>MONTHS =</t>
  </si>
  <si>
    <t>NOT FOR DISPLAY ON WORKSHEET</t>
  </si>
  <si>
    <t>Monthly to annual and vice versa.</t>
  </si>
  <si>
    <t>Apr 2009-Mar2010</t>
  </si>
  <si>
    <t>Apr 2010-Mar2011</t>
  </si>
  <si>
    <t>Apr 2011-Mar2012</t>
  </si>
  <si>
    <t>Apr 2012-Mar2013</t>
  </si>
  <si>
    <t>Apr 2013-Mar2014</t>
  </si>
  <si>
    <r>
      <t xml:space="preserve">    </t>
    </r>
    <r>
      <rPr>
        <b/>
        <sz val="12"/>
        <color indexed="10"/>
        <rFont val="Arial"/>
        <family val="2"/>
      </rPr>
      <t>AND</t>
    </r>
  </si>
  <si>
    <t>RETIREMENT DATE:</t>
  </si>
  <si>
    <t>MONTH=</t>
  </si>
  <si>
    <t>YEAR =</t>
  </si>
  <si>
    <t>It should be used only for estimation purposes. No warrantees are made or implied as to the accuracy of the information.</t>
  </si>
  <si>
    <t xml:space="preserve">    Former WAL pilots began Delta service on Oct 1,1987; PAA, on date of Delta employment.  </t>
  </si>
  <si>
    <t>PLTVRLTD  =</t>
  </si>
  <si>
    <t>ESTIMATE OF DELTA PILOTS D&amp;S PLAN SURVIVOR BENEFITS</t>
  </si>
  <si>
    <t xml:space="preserve">  AND</t>
  </si>
  <si>
    <r>
      <t xml:space="preserve">1. Enter retirement </t>
    </r>
    <r>
      <rPr>
        <b/>
        <sz val="12"/>
        <color indexed="10"/>
        <rFont val="Arial"/>
        <family val="2"/>
      </rPr>
      <t>FINAL AVERAGE EARNINGS</t>
    </r>
    <r>
      <rPr>
        <sz val="12"/>
        <color indexed="62"/>
        <rFont val="Arial"/>
        <family val="2"/>
      </rPr>
      <t xml:space="preserve"> as a </t>
    </r>
    <r>
      <rPr>
        <b/>
        <sz val="12"/>
        <color indexed="62"/>
        <rFont val="Arial"/>
        <family val="2"/>
      </rPr>
      <t>MONTHLY</t>
    </r>
    <r>
      <rPr>
        <sz val="12"/>
        <color indexed="62"/>
        <rFont val="Arial"/>
        <family val="2"/>
      </rPr>
      <t xml:space="preserve"> figure.</t>
    </r>
  </si>
  <si>
    <r>
      <t xml:space="preserve">2. Enter </t>
    </r>
    <r>
      <rPr>
        <b/>
        <sz val="12"/>
        <color indexed="10"/>
        <rFont val="Arial"/>
        <family val="2"/>
      </rPr>
      <t>DELTA SERVICE</t>
    </r>
    <r>
      <rPr>
        <sz val="12"/>
        <color indexed="62"/>
        <rFont val="Arial"/>
        <family val="2"/>
      </rPr>
      <t xml:space="preserve">. If your Delta service is 25 years or greater, enter 25 years. If your </t>
    </r>
  </si>
  <si>
    <r>
      <t xml:space="preserve">    service is less than 25 years, enter </t>
    </r>
    <r>
      <rPr>
        <b/>
        <sz val="12"/>
        <color indexed="62"/>
        <rFont val="Arial"/>
        <family val="2"/>
      </rPr>
      <t xml:space="preserve">YEARS </t>
    </r>
    <r>
      <rPr>
        <sz val="12"/>
        <color indexed="62"/>
        <rFont val="Arial"/>
        <family val="2"/>
      </rPr>
      <t xml:space="preserve">and </t>
    </r>
    <r>
      <rPr>
        <b/>
        <sz val="12"/>
        <color indexed="62"/>
        <rFont val="Arial"/>
        <family val="2"/>
      </rPr>
      <t>MONTHS</t>
    </r>
    <r>
      <rPr>
        <sz val="12"/>
        <color indexed="62"/>
        <rFont val="Arial"/>
        <family val="2"/>
      </rPr>
      <t xml:space="preserve"> of Delta service.</t>
    </r>
  </si>
  <si>
    <r>
      <t xml:space="preserve">3. Enter retirement </t>
    </r>
    <r>
      <rPr>
        <b/>
        <sz val="12"/>
        <color indexed="10"/>
        <rFont val="Arial"/>
        <family val="2"/>
      </rPr>
      <t>AGE</t>
    </r>
    <r>
      <rPr>
        <b/>
        <sz val="12"/>
        <color indexed="62"/>
        <rFont val="Arial"/>
        <family val="2"/>
      </rPr>
      <t xml:space="preserve"> </t>
    </r>
    <r>
      <rPr>
        <sz val="12"/>
        <color indexed="62"/>
        <rFont val="Arial"/>
        <family val="2"/>
      </rPr>
      <t xml:space="preserve">as </t>
    </r>
    <r>
      <rPr>
        <b/>
        <sz val="12"/>
        <color indexed="62"/>
        <rFont val="Arial"/>
        <family val="2"/>
      </rPr>
      <t>YEARS</t>
    </r>
    <r>
      <rPr>
        <sz val="12"/>
        <color indexed="62"/>
        <rFont val="Arial"/>
        <family val="2"/>
      </rPr>
      <t xml:space="preserve"> </t>
    </r>
    <r>
      <rPr>
        <b/>
        <sz val="12"/>
        <color indexed="62"/>
        <rFont val="Arial"/>
        <family val="2"/>
      </rPr>
      <t>and</t>
    </r>
    <r>
      <rPr>
        <sz val="12"/>
        <color indexed="62"/>
        <rFont val="Arial"/>
        <family val="2"/>
      </rPr>
      <t xml:space="preserve"> </t>
    </r>
    <r>
      <rPr>
        <b/>
        <sz val="12"/>
        <color indexed="62"/>
        <rFont val="Arial"/>
        <family val="2"/>
      </rPr>
      <t>MONTHS</t>
    </r>
    <r>
      <rPr>
        <sz val="12"/>
        <color indexed="62"/>
        <rFont val="Arial"/>
        <family val="2"/>
      </rPr>
      <t xml:space="preserve"> (if months greater than zero). </t>
    </r>
  </si>
  <si>
    <r>
      <t xml:space="preserve">4. Enter </t>
    </r>
    <r>
      <rPr>
        <b/>
        <sz val="12"/>
        <color indexed="10"/>
        <rFont val="Arial"/>
        <family val="2"/>
      </rPr>
      <t>MONTH</t>
    </r>
    <r>
      <rPr>
        <sz val="12"/>
        <color indexed="62"/>
        <rFont val="Arial"/>
        <family val="2"/>
      </rPr>
      <t xml:space="preserve"> of retirement as digit or digits (Jan = 1, Dec =12).</t>
    </r>
  </si>
  <si>
    <r>
      <t xml:space="preserve">5. Enter </t>
    </r>
    <r>
      <rPr>
        <b/>
        <sz val="12"/>
        <color indexed="10"/>
        <rFont val="Arial"/>
        <family val="2"/>
      </rPr>
      <t>YEAR</t>
    </r>
    <r>
      <rPr>
        <sz val="12"/>
        <color indexed="62"/>
        <rFont val="Arial"/>
        <family val="2"/>
      </rPr>
      <t xml:space="preserve"> of retirement as four digits. </t>
    </r>
  </si>
  <si>
    <t xml:space="preserve">   **  Note for pilots who retired under the 1996 Special Retirement:You can add up to 5 years</t>
  </si>
  <si>
    <t xml:space="preserve">        to your Delta credited service or to your age upon retirement.</t>
  </si>
  <si>
    <t>RETIRED PILOTS: Enter information in yellow boxes.</t>
  </si>
  <si>
    <t>PILOTS ON LONG TERM DISABILITY (LTD):</t>
  </si>
  <si>
    <t>****************************************************************************************************************************************************************************</t>
  </si>
  <si>
    <t>RETIRED PILOT'S MONTHLY SURVIVOR BENEFIT   =</t>
  </si>
  <si>
    <t xml:space="preserve">    Delta net, click on Employee Pay, click on View My Pay Check and select the year and month.</t>
  </si>
  <si>
    <r>
      <rPr>
        <b/>
        <sz val="12"/>
        <color indexed="8"/>
        <rFont val="Arial"/>
        <family val="2"/>
      </rPr>
      <t>1. Enter figures as indicated on latest</t>
    </r>
    <r>
      <rPr>
        <b/>
        <sz val="12"/>
        <color indexed="10"/>
        <rFont val="Arial"/>
        <family val="2"/>
      </rPr>
      <t xml:space="preserve"> D&amp;S Trust </t>
    </r>
    <r>
      <rPr>
        <b/>
        <sz val="12"/>
        <rFont val="Arial"/>
        <family val="2"/>
      </rPr>
      <t>pay stub in yellow boxes below.</t>
    </r>
    <r>
      <rPr>
        <b/>
        <sz val="12"/>
        <color indexed="57"/>
        <rFont val="Arial"/>
        <family val="2"/>
      </rPr>
      <t xml:space="preserve">  </t>
    </r>
    <r>
      <rPr>
        <b/>
        <sz val="12"/>
        <rFont val="Arial"/>
        <family val="2"/>
      </rPr>
      <t>To view pay stub log on to</t>
    </r>
  </si>
  <si>
    <t>LTD PILOT'S MONTHLY SURVIVOR BENEFIT   =</t>
  </si>
  <si>
    <t>This worksheet provides an estimate of the D&amp;S Plan benefit for an eligible surviving spouse of a Delta pilot who retired before Jan 2008.</t>
  </si>
  <si>
    <t>Apr 2014-Mar2015</t>
  </si>
  <si>
    <t>MONTHLY=</t>
  </si>
  <si>
    <t>Apr2015-Mar2016</t>
  </si>
  <si>
    <t>Apr2016-Mar2017</t>
  </si>
  <si>
    <t xml:space="preserve">Apr2017-Mar2018 </t>
  </si>
  <si>
    <t>APPROXIMATE ESTIMATE if the pilot dies between April 1, 2018 and March 31, 2019:</t>
  </si>
  <si>
    <t xml:space="preserve">                            Copyright Evan Gost Oct 2018</t>
  </si>
  <si>
    <t>Copyright Evan Gost May 2018</t>
  </si>
  <si>
    <t>Apr2018-Mar2019</t>
  </si>
  <si>
    <t>APPROXIMATE ESTIMATE if the pilot dies between April 1, 2019 and March 31, 2020:</t>
  </si>
  <si>
    <t>Apr2019-Mar2020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</si>
</sst>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00"/>
    <numFmt numFmtId="167" formatCode="&quot;$&quot;#,##0.0"/>
    <numFmt numFmtId="168" formatCode="0.0"/>
    <numFmt numFmtId="169" formatCode="0.0000"/>
  </numFmts>
  <fonts count="7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4"/>
      <color indexed="57"/>
      <name val="Arial"/>
      <family val="2"/>
    </font>
    <font>
      <sz val="14"/>
      <color indexed="57"/>
      <name val="Arial"/>
      <family val="2"/>
    </font>
    <font>
      <b/>
      <sz val="12"/>
      <color indexed="8"/>
      <name val="Arial"/>
      <family val="2"/>
    </font>
    <font>
      <b/>
      <sz val="16"/>
      <color indexed="5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62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Arial"/>
      <family val="2"/>
    </font>
    <font>
      <sz val="14"/>
      <color theme="4" tint="-0.24997000396251678"/>
      <name val="Arial"/>
      <family val="2"/>
    </font>
    <font>
      <sz val="12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6"/>
      <color theme="3"/>
      <name val="Arial"/>
      <family val="2"/>
    </font>
    <font>
      <b/>
      <sz val="14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8" fontId="0" fillId="0" borderId="0" xfId="0" applyNumberFormat="1" applyAlignment="1">
      <alignment horizontal="right"/>
    </xf>
    <xf numFmtId="0" fontId="60" fillId="0" borderId="0" xfId="53" applyAlignment="1" applyProtection="1">
      <alignment/>
      <protection/>
    </xf>
    <xf numFmtId="3" fontId="2" fillId="33" borderId="0" xfId="0" applyNumberFormat="1" applyFont="1" applyFill="1" applyAlignment="1">
      <alignment horizontal="center"/>
    </xf>
    <xf numFmtId="165" fontId="2" fillId="33" borderId="0" xfId="0" applyNumberFormat="1" applyFont="1" applyFill="1" applyAlignment="1" quotePrefix="1">
      <alignment horizontal="right" indent="2"/>
    </xf>
    <xf numFmtId="0" fontId="2" fillId="33" borderId="0" xfId="0" applyFont="1" applyFill="1" applyAlignment="1" quotePrefix="1">
      <alignment horizontal="left" indent="2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4" fillId="33" borderId="0" xfId="0" applyNumberFormat="1" applyFont="1" applyFill="1" applyAlignment="1" quotePrefix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165" fontId="15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3" fillId="0" borderId="0" xfId="0" applyFont="1" applyAlignment="1" quotePrefix="1">
      <alignment/>
    </xf>
    <xf numFmtId="165" fontId="11" fillId="0" borderId="0" xfId="0" applyNumberFormat="1" applyFont="1" applyAlignment="1">
      <alignment horizontal="right"/>
    </xf>
    <xf numFmtId="44" fontId="0" fillId="0" borderId="0" xfId="44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 horizontal="left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0" fillId="0" borderId="0" xfId="0" applyFont="1" applyAlignment="1">
      <alignment horizontal="left"/>
    </xf>
    <xf numFmtId="0" fontId="25" fillId="0" borderId="0" xfId="0" applyFont="1" applyAlignment="1">
      <alignment/>
    </xf>
    <xf numFmtId="165" fontId="17" fillId="0" borderId="0" xfId="0" applyNumberFormat="1" applyFont="1" applyAlignment="1">
      <alignment horizontal="right" inden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3" fontId="4" fillId="34" borderId="0" xfId="0" applyNumberFormat="1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/>
      <protection locked="0"/>
    </xf>
    <xf numFmtId="1" fontId="4" fillId="35" borderId="0" xfId="0" applyNumberFormat="1" applyFont="1" applyFill="1" applyAlignment="1" applyProtection="1">
      <alignment horizontal="center"/>
      <protection locked="0"/>
    </xf>
    <xf numFmtId="165" fontId="4" fillId="34" borderId="0" xfId="0" applyNumberFormat="1" applyFont="1" applyFill="1" applyAlignment="1" applyProtection="1" quotePrefix="1">
      <alignment horizontal="right" indent="2"/>
      <protection locked="0"/>
    </xf>
    <xf numFmtId="0" fontId="4" fillId="34" borderId="0" xfId="0" applyFont="1" applyFill="1" applyAlignment="1" applyProtection="1" quotePrefix="1">
      <alignment horizontal="left" indent="2"/>
      <protection locked="0"/>
    </xf>
    <xf numFmtId="0" fontId="4" fillId="35" borderId="0" xfId="0" applyFont="1" applyFill="1" applyAlignment="1" applyProtection="1">
      <alignment horizontal="center"/>
      <protection locked="0"/>
    </xf>
    <xf numFmtId="164" fontId="4" fillId="34" borderId="0" xfId="0" applyNumberFormat="1" applyFont="1" applyFill="1" applyAlignment="1" applyProtection="1">
      <alignment/>
      <protection locked="0"/>
    </xf>
    <xf numFmtId="0" fontId="70" fillId="33" borderId="0" xfId="0" applyFont="1" applyFill="1" applyAlignment="1">
      <alignment horizontal="left"/>
    </xf>
    <xf numFmtId="164" fontId="11" fillId="36" borderId="10" xfId="0" applyNumberFormat="1" applyFont="1" applyFill="1" applyBorder="1" applyAlignment="1">
      <alignment horizontal="right" indent="1"/>
    </xf>
    <xf numFmtId="44" fontId="15" fillId="36" borderId="10" xfId="44" applyFont="1" applyFill="1" applyBorder="1" applyAlignment="1">
      <alignment horizontal="right" indent="1"/>
    </xf>
    <xf numFmtId="165" fontId="9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=@IF(F2%3C25,%20O23)" TargetMode="External" /><Relationship Id="rId2" Type="http://schemas.openxmlformats.org/officeDocument/2006/relationships/hyperlink" Target="mailto:=@sum(e55.e88)" TargetMode="External" /><Relationship Id="rId3" Type="http://schemas.openxmlformats.org/officeDocument/2006/relationships/hyperlink" Target="mailto:=@sum(e55.e88)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92"/>
  <sheetViews>
    <sheetView showGridLines="0" showRowColHeaders="0" tabSelected="1" zoomScalePageLayoutView="0" workbookViewId="0" topLeftCell="A1">
      <selection activeCell="J20" sqref="J20"/>
    </sheetView>
  </sheetViews>
  <sheetFormatPr defaultColWidth="9.140625" defaultRowHeight="12.75"/>
  <cols>
    <col min="1" max="1" width="6.8515625" style="0" customWidth="1"/>
    <col min="2" max="2" width="11.28125" style="0" customWidth="1"/>
    <col min="3" max="3" width="12.7109375" style="0" customWidth="1"/>
    <col min="4" max="4" width="14.8515625" style="0" customWidth="1"/>
    <col min="5" max="5" width="10.140625" style="0" customWidth="1"/>
    <col min="6" max="6" width="12.421875" style="0" customWidth="1"/>
    <col min="7" max="7" width="14.00390625" style="0" customWidth="1"/>
    <col min="8" max="8" width="17.57421875" style="7" customWidth="1"/>
    <col min="9" max="9" width="16.00390625" style="0" customWidth="1"/>
    <col min="10" max="10" width="16.7109375" style="0" customWidth="1"/>
    <col min="12" max="12" width="13.00390625" style="0" customWidth="1"/>
    <col min="13" max="13" width="11.140625" style="0" customWidth="1"/>
  </cols>
  <sheetData>
    <row r="1" spans="2:9" ht="23.25">
      <c r="B1" s="55" t="s">
        <v>81</v>
      </c>
      <c r="C1" s="55"/>
      <c r="D1" s="55"/>
      <c r="E1" s="55"/>
      <c r="F1" s="56"/>
      <c r="G1" s="56"/>
      <c r="H1" s="56"/>
      <c r="I1" s="8"/>
    </row>
    <row r="2" spans="3:10" ht="12.75">
      <c r="C2" s="11"/>
      <c r="D2" s="11"/>
      <c r="E2" s="11"/>
      <c r="F2" s="11"/>
      <c r="G2" s="11"/>
      <c r="H2" s="11"/>
      <c r="I2" s="12"/>
      <c r="J2" s="11"/>
    </row>
    <row r="3" spans="2:10" ht="12.75">
      <c r="B3" s="30" t="s">
        <v>98</v>
      </c>
      <c r="C3" s="11"/>
      <c r="D3" s="11"/>
      <c r="E3" s="11"/>
      <c r="F3" s="11"/>
      <c r="G3" s="11"/>
      <c r="H3" s="11"/>
      <c r="I3" s="12"/>
      <c r="J3" s="11"/>
    </row>
    <row r="4" spans="2:11" s="4" customFormat="1" ht="12.75">
      <c r="B4" s="30" t="s">
        <v>78</v>
      </c>
      <c r="C4" s="13"/>
      <c r="D4" s="13"/>
      <c r="E4" s="13"/>
      <c r="F4" s="13"/>
      <c r="G4" s="13"/>
      <c r="H4" s="13"/>
      <c r="I4" s="14"/>
      <c r="J4" s="13"/>
      <c r="K4"/>
    </row>
    <row r="5" spans="4:9" ht="12.75">
      <c r="D5" s="30" t="s">
        <v>105</v>
      </c>
      <c r="H5"/>
      <c r="I5" s="7"/>
    </row>
    <row r="6" spans="2:11" ht="12.75">
      <c r="B6" s="11"/>
      <c r="D6" s="15"/>
      <c r="H6"/>
      <c r="I6" s="7"/>
      <c r="K6" s="4"/>
    </row>
    <row r="7" spans="8:9" ht="12.75">
      <c r="H7"/>
      <c r="I7" s="7"/>
    </row>
    <row r="8" spans="2:11" ht="20.25">
      <c r="B8" s="62" t="s">
        <v>91</v>
      </c>
      <c r="C8" s="63"/>
      <c r="D8" s="63"/>
      <c r="E8" s="63"/>
      <c r="F8" s="63"/>
      <c r="G8" s="63"/>
      <c r="H8" s="63"/>
      <c r="I8" s="52"/>
      <c r="J8" s="51"/>
      <c r="K8" s="36"/>
    </row>
    <row r="9" spans="2:11" ht="18">
      <c r="B9" s="57" t="s">
        <v>83</v>
      </c>
      <c r="C9" s="58"/>
      <c r="D9" s="58"/>
      <c r="E9" s="58"/>
      <c r="F9" s="58"/>
      <c r="G9" s="57"/>
      <c r="H9" s="57"/>
      <c r="I9" s="59"/>
      <c r="J9" s="57"/>
      <c r="K9" s="36"/>
    </row>
    <row r="10" spans="2:11" ht="18">
      <c r="B10" s="57" t="s">
        <v>84</v>
      </c>
      <c r="C10" s="57"/>
      <c r="D10" s="57"/>
      <c r="E10" s="57"/>
      <c r="F10" s="57"/>
      <c r="G10" s="57"/>
      <c r="H10" s="57"/>
      <c r="I10" s="59"/>
      <c r="J10" s="57"/>
      <c r="K10" s="36"/>
    </row>
    <row r="11" spans="2:11" ht="18">
      <c r="B11" s="57" t="s">
        <v>85</v>
      </c>
      <c r="C11" s="57"/>
      <c r="D11" s="57"/>
      <c r="E11" s="57"/>
      <c r="F11" s="57"/>
      <c r="G11" s="57"/>
      <c r="H11" s="57"/>
      <c r="I11" s="59"/>
      <c r="J11" s="57"/>
      <c r="K11" s="36"/>
    </row>
    <row r="12" spans="2:11" ht="18">
      <c r="B12" s="57" t="s">
        <v>79</v>
      </c>
      <c r="C12" s="57"/>
      <c r="D12" s="57"/>
      <c r="E12" s="57"/>
      <c r="F12" s="57"/>
      <c r="G12" s="57"/>
      <c r="H12" s="57"/>
      <c r="I12" s="59"/>
      <c r="J12" s="57"/>
      <c r="K12" s="36"/>
    </row>
    <row r="13" spans="2:11" ht="18">
      <c r="B13" s="57" t="s">
        <v>86</v>
      </c>
      <c r="C13" s="57"/>
      <c r="D13" s="57"/>
      <c r="E13" s="57"/>
      <c r="F13" s="57"/>
      <c r="G13" s="57"/>
      <c r="H13" s="57"/>
      <c r="I13" s="71"/>
      <c r="J13" s="57"/>
      <c r="K13" s="36"/>
    </row>
    <row r="14" spans="2:11" ht="18">
      <c r="B14" s="57" t="s">
        <v>87</v>
      </c>
      <c r="C14" s="57"/>
      <c r="D14" s="57"/>
      <c r="E14" s="57"/>
      <c r="F14" s="57"/>
      <c r="G14" s="57"/>
      <c r="H14" s="57"/>
      <c r="I14" s="59"/>
      <c r="J14" s="57"/>
      <c r="K14" s="36"/>
    </row>
    <row r="15" spans="2:11" ht="18">
      <c r="B15" s="57" t="s">
        <v>88</v>
      </c>
      <c r="C15" s="57"/>
      <c r="D15" s="57"/>
      <c r="E15" s="57"/>
      <c r="F15" s="57"/>
      <c r="G15" s="57"/>
      <c r="H15" s="57"/>
      <c r="I15" s="59"/>
      <c r="J15" s="57"/>
      <c r="K15" s="36"/>
    </row>
    <row r="16" spans="2:11" ht="18">
      <c r="B16" s="57" t="s">
        <v>89</v>
      </c>
      <c r="C16" s="57"/>
      <c r="D16" s="57"/>
      <c r="E16" s="57"/>
      <c r="F16" s="57"/>
      <c r="G16" s="57"/>
      <c r="H16" s="57"/>
      <c r="I16" s="59"/>
      <c r="J16" s="57"/>
      <c r="K16" s="36"/>
    </row>
    <row r="17" spans="2:11" ht="18">
      <c r="B17" s="57" t="s">
        <v>90</v>
      </c>
      <c r="C17" s="57"/>
      <c r="D17" s="57"/>
      <c r="E17" s="57"/>
      <c r="F17" s="57"/>
      <c r="G17" s="57"/>
      <c r="H17" s="57"/>
      <c r="I17" s="57"/>
      <c r="J17" s="57"/>
      <c r="K17" s="36"/>
    </row>
    <row r="18" spans="2:10" ht="18">
      <c r="B18" s="51"/>
      <c r="H18"/>
      <c r="I18" s="7"/>
      <c r="J18" s="28"/>
    </row>
    <row r="19" spans="2:14" ht="12.75">
      <c r="B19" s="4"/>
      <c r="C19" s="4"/>
      <c r="D19" s="4"/>
      <c r="E19" s="4"/>
      <c r="G19" s="27"/>
      <c r="H19"/>
      <c r="J19" s="29"/>
      <c r="N19" t="s">
        <v>6</v>
      </c>
    </row>
    <row r="20" spans="2:10" ht="15.75">
      <c r="B20" s="19" t="s">
        <v>60</v>
      </c>
      <c r="C20" s="19"/>
      <c r="D20" s="19"/>
      <c r="E20" s="19"/>
      <c r="F20" s="33"/>
      <c r="G20" s="39"/>
      <c r="H20" s="74"/>
      <c r="I20" s="33" t="s">
        <v>100</v>
      </c>
      <c r="J20" s="67"/>
    </row>
    <row r="21" spans="2:10" ht="15.75">
      <c r="B21" s="19" t="s">
        <v>64</v>
      </c>
      <c r="C21" s="19"/>
      <c r="D21" s="19"/>
      <c r="E21" s="19"/>
      <c r="F21" s="33" t="s">
        <v>65</v>
      </c>
      <c r="G21" s="64"/>
      <c r="H21" s="33" t="s">
        <v>74</v>
      </c>
      <c r="I21" s="33" t="s">
        <v>66</v>
      </c>
      <c r="J21" s="68"/>
    </row>
    <row r="22" spans="2:10" ht="15.75">
      <c r="B22" s="19" t="s">
        <v>61</v>
      </c>
      <c r="C22" s="19"/>
      <c r="D22" s="19"/>
      <c r="E22" s="19"/>
      <c r="F22" s="33" t="s">
        <v>65</v>
      </c>
      <c r="G22" s="65"/>
      <c r="H22" s="33" t="s">
        <v>74</v>
      </c>
      <c r="I22" s="33" t="s">
        <v>66</v>
      </c>
      <c r="J22" s="68"/>
    </row>
    <row r="23" spans="2:10" ht="15.75">
      <c r="B23" s="19" t="s">
        <v>75</v>
      </c>
      <c r="C23" s="33"/>
      <c r="D23" s="33"/>
      <c r="E23" s="33"/>
      <c r="F23" s="33" t="s">
        <v>76</v>
      </c>
      <c r="G23" s="66"/>
      <c r="H23" s="33"/>
      <c r="I23" s="35" t="s">
        <v>77</v>
      </c>
      <c r="J23" s="69"/>
    </row>
    <row r="24" spans="2:10" ht="16.5" thickBot="1">
      <c r="B24" s="31" t="s">
        <v>108</v>
      </c>
      <c r="C24" s="34"/>
      <c r="D24" s="34"/>
      <c r="E24" s="33"/>
      <c r="F24" s="33"/>
      <c r="G24" s="34"/>
      <c r="H24" s="33"/>
      <c r="I24" s="32"/>
      <c r="J24" s="33"/>
    </row>
    <row r="25" spans="2:11" ht="48" customHeight="1" thickBot="1">
      <c r="B25" s="60" t="s">
        <v>94</v>
      </c>
      <c r="C25" s="37"/>
      <c r="D25" s="37"/>
      <c r="E25" s="37"/>
      <c r="F25" s="47"/>
      <c r="G25" s="48"/>
      <c r="H25" s="34"/>
      <c r="I25" s="72">
        <f>IF(ISERROR(Sheet4!B5+Sheet4!C5),"",(Sheet4!B5+Sheet4!C5))</f>
      </c>
      <c r="K25" s="50"/>
    </row>
    <row r="26" spans="2:10" ht="15">
      <c r="B26" s="33"/>
      <c r="C26" s="33"/>
      <c r="D26" s="33"/>
      <c r="E26" s="33"/>
      <c r="F26" s="33"/>
      <c r="G26" s="33"/>
      <c r="H26" s="33"/>
      <c r="I26" s="35"/>
      <c r="J26" s="33"/>
    </row>
    <row r="27" spans="2:10" ht="15">
      <c r="B27" t="s">
        <v>93</v>
      </c>
      <c r="J27" s="33"/>
    </row>
    <row r="28" ht="15">
      <c r="J28" s="33"/>
    </row>
    <row r="29" spans="2:10" ht="20.25">
      <c r="B29" s="54" t="s">
        <v>92</v>
      </c>
      <c r="C29" s="33"/>
      <c r="D29" s="33"/>
      <c r="E29" s="33"/>
      <c r="F29" s="33"/>
      <c r="G29" s="33"/>
      <c r="H29" s="33"/>
      <c r="I29" s="35"/>
      <c r="J29" s="33"/>
    </row>
    <row r="30" spans="2:10" ht="15.75">
      <c r="B30" s="40" t="s">
        <v>96</v>
      </c>
      <c r="C30" s="33"/>
      <c r="D30" s="33"/>
      <c r="E30" s="33"/>
      <c r="F30" s="33"/>
      <c r="G30" s="33"/>
      <c r="H30" s="33"/>
      <c r="I30" s="35"/>
      <c r="J30" s="33"/>
    </row>
    <row r="31" spans="2:10" ht="15.75">
      <c r="B31" s="19" t="s">
        <v>95</v>
      </c>
      <c r="J31" s="33"/>
    </row>
    <row r="32" ht="15">
      <c r="J32" s="33"/>
    </row>
    <row r="33" spans="2:10" ht="20.25">
      <c r="B33" s="19" t="s">
        <v>80</v>
      </c>
      <c r="C33" s="33"/>
      <c r="D33" s="70"/>
      <c r="E33" s="41" t="s">
        <v>82</v>
      </c>
      <c r="F33" s="19" t="s">
        <v>63</v>
      </c>
      <c r="G33" s="33"/>
      <c r="H33" s="70"/>
      <c r="I33" s="35"/>
      <c r="J33" s="38"/>
    </row>
    <row r="34" spans="2:9" ht="15.75">
      <c r="B34" s="40" t="s">
        <v>104</v>
      </c>
      <c r="C34" s="42"/>
      <c r="D34" s="42"/>
      <c r="E34" s="33"/>
      <c r="F34" s="33"/>
      <c r="G34" s="33"/>
      <c r="H34" s="33"/>
      <c r="I34" s="35"/>
    </row>
    <row r="35" spans="5:9" ht="15.75" thickBot="1">
      <c r="E35" s="42"/>
      <c r="F35" s="42"/>
      <c r="G35" s="42"/>
      <c r="H35" s="43"/>
      <c r="I35" s="43"/>
    </row>
    <row r="36" spans="2:9" ht="21" thickBot="1">
      <c r="B36" s="54" t="s">
        <v>97</v>
      </c>
      <c r="C36" s="53"/>
      <c r="D36" s="53"/>
      <c r="E36" s="53"/>
      <c r="F36" s="53"/>
      <c r="G36" s="44"/>
      <c r="H36" s="73">
        <f>(D33+H33)/2</f>
        <v>0</v>
      </c>
      <c r="I36" s="61"/>
    </row>
    <row r="38" ht="12.75">
      <c r="M38" s="7"/>
    </row>
    <row r="84" ht="12.75">
      <c r="I84" s="7"/>
    </row>
    <row r="85" ht="12.75">
      <c r="I85" s="7"/>
    </row>
    <row r="92" ht="12.75">
      <c r="I92" s="7"/>
    </row>
  </sheetData>
  <sheetProtection sheet="1" selectLockedCells="1"/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0"/>
  <sheetViews>
    <sheetView zoomScalePageLayoutView="0" workbookViewId="0" topLeftCell="A1">
      <selection activeCell="K16" sqref="K16"/>
    </sheetView>
  </sheetViews>
  <sheetFormatPr defaultColWidth="9.140625" defaultRowHeight="12.75"/>
  <sheetData>
    <row r="1" spans="2:8" ht="12.75">
      <c r="B1" s="4" t="s">
        <v>44</v>
      </c>
      <c r="C1" s="4"/>
      <c r="D1" s="10" t="s">
        <v>67</v>
      </c>
      <c r="E1" s="10"/>
      <c r="F1" s="10"/>
      <c r="G1" s="10"/>
      <c r="H1" s="7"/>
    </row>
    <row r="2" spans="1:10" ht="12.75">
      <c r="A2" t="s">
        <v>32</v>
      </c>
      <c r="H2" s="4" t="s">
        <v>48</v>
      </c>
      <c r="I2" s="4"/>
      <c r="J2" s="4" t="s">
        <v>49</v>
      </c>
    </row>
    <row r="3" spans="1:10" ht="12.75">
      <c r="A3">
        <v>1</v>
      </c>
      <c r="B3" t="s">
        <v>33</v>
      </c>
      <c r="H3" s="6" t="e">
        <f>Sheet1!#REF!</f>
        <v>#REF!</v>
      </c>
      <c r="J3">
        <f>Sheet1!J18</f>
        <v>0</v>
      </c>
    </row>
    <row r="4" spans="1:10" ht="12.75">
      <c r="A4">
        <v>2</v>
      </c>
      <c r="B4" t="s">
        <v>34</v>
      </c>
      <c r="H4" s="6" t="e">
        <f>H3*0.3</f>
        <v>#REF!</v>
      </c>
      <c r="J4" s="6">
        <f>J3*0.3</f>
        <v>0</v>
      </c>
    </row>
    <row r="5" spans="1:10" ht="12.75">
      <c r="A5">
        <v>3</v>
      </c>
      <c r="B5" t="s">
        <v>35</v>
      </c>
      <c r="H5" s="9">
        <f>E27</f>
        <v>0</v>
      </c>
      <c r="I5" s="9"/>
      <c r="J5" s="9">
        <f>E27</f>
        <v>0</v>
      </c>
    </row>
    <row r="6" spans="1:10" ht="12.75">
      <c r="A6">
        <v>4</v>
      </c>
      <c r="B6" t="s">
        <v>36</v>
      </c>
      <c r="H6" s="9">
        <f>H5/25</f>
        <v>0</v>
      </c>
      <c r="I6" s="9"/>
      <c r="J6" s="9">
        <f>J5/25</f>
        <v>0</v>
      </c>
    </row>
    <row r="7" spans="1:10" ht="12.75">
      <c r="A7">
        <v>5</v>
      </c>
      <c r="B7" t="s">
        <v>37</v>
      </c>
      <c r="H7" s="6" t="e">
        <f>H4*H6</f>
        <v>#REF!</v>
      </c>
      <c r="J7" s="6">
        <f>J4*J6</f>
        <v>0</v>
      </c>
    </row>
    <row r="8" spans="1:10" ht="12.75">
      <c r="A8">
        <v>6</v>
      </c>
      <c r="B8" t="s">
        <v>57</v>
      </c>
      <c r="H8">
        <f>H27</f>
        <v>0</v>
      </c>
      <c r="J8">
        <f>H27</f>
        <v>0</v>
      </c>
    </row>
    <row r="9" spans="1:10" ht="12.75">
      <c r="A9">
        <v>7</v>
      </c>
      <c r="B9" t="s">
        <v>58</v>
      </c>
      <c r="H9">
        <f>H28</f>
        <v>720</v>
      </c>
      <c r="J9">
        <f>H28</f>
        <v>720</v>
      </c>
    </row>
    <row r="10" spans="1:10" ht="12.75">
      <c r="A10">
        <v>8</v>
      </c>
      <c r="B10" t="s">
        <v>59</v>
      </c>
      <c r="H10">
        <f>H9*0.0025</f>
        <v>1.8</v>
      </c>
      <c r="J10">
        <f>J9*0.0025</f>
        <v>1.8</v>
      </c>
    </row>
    <row r="11" spans="1:10" ht="12.75">
      <c r="A11">
        <v>9</v>
      </c>
      <c r="B11" t="s">
        <v>38</v>
      </c>
      <c r="H11">
        <f>1-H10</f>
        <v>-0.8</v>
      </c>
      <c r="J11">
        <f>1-J10</f>
        <v>-0.8</v>
      </c>
    </row>
    <row r="12" spans="1:10" ht="12.75">
      <c r="A12">
        <v>10</v>
      </c>
      <c r="B12" t="s">
        <v>39</v>
      </c>
      <c r="H12" s="6" t="e">
        <f>H7*H11</f>
        <v>#REF!</v>
      </c>
      <c r="J12" s="6">
        <f>J7*J11</f>
        <v>0</v>
      </c>
    </row>
    <row r="13" spans="1:10" ht="12.75">
      <c r="A13">
        <v>11</v>
      </c>
      <c r="B13" t="s">
        <v>40</v>
      </c>
      <c r="H13" s="6" t="e">
        <f>H12/2</f>
        <v>#REF!</v>
      </c>
      <c r="J13" s="6">
        <f>J12/2</f>
        <v>0</v>
      </c>
    </row>
    <row r="14" spans="1:10" ht="12.75">
      <c r="A14">
        <v>12</v>
      </c>
      <c r="B14" t="s">
        <v>41</v>
      </c>
      <c r="H14" s="3">
        <f>Sheet1!J21</f>
        <v>0</v>
      </c>
      <c r="J14" s="3">
        <f>Sheet1!J21</f>
        <v>0</v>
      </c>
    </row>
    <row r="15" spans="1:10" ht="12.75">
      <c r="A15">
        <v>13</v>
      </c>
      <c r="B15" t="s">
        <v>42</v>
      </c>
      <c r="H15" t="e">
        <f>H13/H14</f>
        <v>#REF!</v>
      </c>
      <c r="J15" t="e">
        <f>J13/J14</f>
        <v>#DIV/0!</v>
      </c>
    </row>
    <row r="16" spans="1:10" ht="12.75">
      <c r="A16">
        <v>14</v>
      </c>
      <c r="B16" t="s">
        <v>43</v>
      </c>
      <c r="H16" s="3">
        <v>35.9</v>
      </c>
      <c r="J16" s="3">
        <v>35.9</v>
      </c>
    </row>
    <row r="17" spans="1:10" ht="12.75">
      <c r="A17">
        <v>15</v>
      </c>
      <c r="B17" t="s">
        <v>45</v>
      </c>
      <c r="H17" s="6" t="e">
        <f>H15*H16</f>
        <v>#REF!</v>
      </c>
      <c r="J17" s="6" t="e">
        <f>J15*J16</f>
        <v>#DIV/0!</v>
      </c>
    </row>
    <row r="18" spans="1:10" ht="12.75">
      <c r="A18">
        <v>16</v>
      </c>
      <c r="B18" t="s">
        <v>46</v>
      </c>
      <c r="H18" s="6" t="e">
        <f>IF(H13&gt;H17,H13,H17)</f>
        <v>#REF!</v>
      </c>
      <c r="J18" s="6" t="e">
        <f>IF(J13&gt;J17,J13,J17)</f>
        <v>#DIV/0!</v>
      </c>
    </row>
    <row r="19" spans="1:10" ht="12.75">
      <c r="A19">
        <v>17</v>
      </c>
      <c r="B19" t="s">
        <v>47</v>
      </c>
      <c r="H19" s="6" t="e">
        <f>H13+H18</f>
        <v>#REF!</v>
      </c>
      <c r="J19" s="6" t="e">
        <f>J13+J18</f>
        <v>#DIV/0!</v>
      </c>
    </row>
    <row r="20" spans="1:10" ht="12.75">
      <c r="A20">
        <v>18</v>
      </c>
      <c r="B20" t="s">
        <v>68</v>
      </c>
      <c r="H20" s="16" t="e">
        <f>J19*12</f>
        <v>#DIV/0!</v>
      </c>
      <c r="J20" s="17" t="e">
        <f>H19/12</f>
        <v>#REF!</v>
      </c>
    </row>
    <row r="21" ht="12.75">
      <c r="H21" s="7"/>
    </row>
    <row r="22" ht="12.75">
      <c r="H22" s="7"/>
    </row>
    <row r="23" spans="4:9" ht="12.75">
      <c r="D23" t="s">
        <v>55</v>
      </c>
      <c r="G23" t="s">
        <v>54</v>
      </c>
      <c r="I23" s="7"/>
    </row>
    <row r="24" spans="3:9" ht="12.75">
      <c r="C24" t="s">
        <v>50</v>
      </c>
      <c r="E24">
        <f>IF(Sheet1!G19&gt;25,25,Sheet1!G19)</f>
        <v>0</v>
      </c>
      <c r="H24">
        <f>IF(Sheet1!G20&gt;60,60,Sheet1!G20)</f>
        <v>0</v>
      </c>
      <c r="I24" s="7"/>
    </row>
    <row r="25" spans="3:9" ht="12.75">
      <c r="C25" t="s">
        <v>51</v>
      </c>
      <c r="E25">
        <f>Sheet1!J19/12</f>
        <v>0</v>
      </c>
      <c r="H25">
        <f>Sheet1!J20</f>
        <v>0</v>
      </c>
      <c r="I25" s="7"/>
    </row>
    <row r="26" spans="3:9" ht="12.75">
      <c r="C26" t="s">
        <v>52</v>
      </c>
      <c r="E26">
        <f>E24+E25</f>
        <v>0</v>
      </c>
      <c r="H26">
        <f>(H24*12)+H25</f>
        <v>0</v>
      </c>
      <c r="I26" s="7"/>
    </row>
    <row r="27" spans="3:9" ht="12.75">
      <c r="C27" t="s">
        <v>53</v>
      </c>
      <c r="E27">
        <f>IF(E26&gt;25,25,E26)</f>
        <v>0</v>
      </c>
      <c r="H27">
        <f>IF(H26&gt;720,720,H26)</f>
        <v>0</v>
      </c>
      <c r="I27" s="7"/>
    </row>
    <row r="28" spans="6:9" ht="12.75">
      <c r="F28" t="s">
        <v>56</v>
      </c>
      <c r="H28">
        <f>720-H27</f>
        <v>720</v>
      </c>
      <c r="I28" s="7"/>
    </row>
    <row r="29" ht="12.75">
      <c r="H29" s="7"/>
    </row>
    <row r="30" spans="3:8" ht="12.75">
      <c r="C30" t="s">
        <v>106</v>
      </c>
      <c r="H30" s="7"/>
    </row>
  </sheetData>
  <sheetProtection password="E999" sheet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8" sqref="A18"/>
    </sheetView>
  </sheetViews>
  <sheetFormatPr defaultColWidth="9.140625" defaultRowHeight="12.75"/>
  <sheetData/>
  <sheetProtection password="C752"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K65"/>
  <sheetViews>
    <sheetView zoomScalePageLayoutView="0" workbookViewId="0" topLeftCell="A1">
      <selection activeCell="J37" sqref="J37"/>
    </sheetView>
  </sheetViews>
  <sheetFormatPr defaultColWidth="9.140625" defaultRowHeight="12.75"/>
  <cols>
    <col min="3" max="3" width="10.28125" style="0" bestFit="1" customWidth="1"/>
  </cols>
  <sheetData>
    <row r="1" spans="2:6" ht="12.75">
      <c r="B1" s="45">
        <f>(Sheet1!$J$20*0.3)</f>
        <v>0</v>
      </c>
      <c r="C1" s="49">
        <f>Sheet4!C30</f>
        <v>0</v>
      </c>
      <c r="F1" s="26">
        <f>IF(Sheet1!$G$21&lt;25,$F$2,25)</f>
        <v>0</v>
      </c>
    </row>
    <row r="2" spans="2:6" ht="12.75">
      <c r="B2" s="30">
        <f>F1/25</f>
        <v>0</v>
      </c>
      <c r="C2" s="49">
        <v>35.9</v>
      </c>
      <c r="F2">
        <f>Sheet1!$G$21+(Sheet1!$J$21/12)</f>
        <v>0</v>
      </c>
    </row>
    <row r="3" spans="2:6" ht="12.75">
      <c r="B3">
        <f>E5</f>
        <v>-0.8</v>
      </c>
      <c r="C3" t="e">
        <f>C2/C1</f>
        <v>#DIV/0!</v>
      </c>
      <c r="F3">
        <f>720-(Sheet1!$G$22*12)-Sheet1!$J$22</f>
        <v>720</v>
      </c>
    </row>
    <row r="4" spans="2:5" ht="12.75">
      <c r="B4" s="3">
        <f>B1*B2*B3</f>
        <v>0</v>
      </c>
      <c r="C4" s="46" t="e">
        <f>B5*C3</f>
        <v>#DIV/0!</v>
      </c>
      <c r="E4">
        <f>1-(F3*0.0025)</f>
        <v>-0.8</v>
      </c>
    </row>
    <row r="5" spans="2:5" ht="12.75">
      <c r="B5" s="3">
        <f>B4/2</f>
        <v>0</v>
      </c>
      <c r="C5" s="49" t="e">
        <f>IF(C4&gt;B5,C4,B5)</f>
        <v>#DIV/0!</v>
      </c>
      <c r="E5">
        <f>IF(E4&gt;1,1,E4)</f>
        <v>-0.8</v>
      </c>
    </row>
    <row r="8" spans="2:8" ht="12.75">
      <c r="B8" s="21" t="s">
        <v>62</v>
      </c>
      <c r="C8" s="21"/>
      <c r="D8" s="21"/>
      <c r="E8" s="21"/>
      <c r="F8" s="22"/>
      <c r="G8" s="22"/>
      <c r="H8" s="23"/>
    </row>
    <row r="9" spans="2:11" ht="12.75">
      <c r="B9" s="21" t="s">
        <v>0</v>
      </c>
      <c r="C9" s="22"/>
      <c r="D9" s="21" t="s">
        <v>2</v>
      </c>
      <c r="E9" s="21"/>
      <c r="F9" s="21" t="s">
        <v>0</v>
      </c>
      <c r="G9" s="21"/>
      <c r="H9" s="24" t="s">
        <v>2</v>
      </c>
      <c r="K9" s="26"/>
    </row>
    <row r="10" spans="2:8" ht="12.75">
      <c r="B10" t="s">
        <v>1</v>
      </c>
      <c r="C10" s="5"/>
      <c r="D10" s="3">
        <v>7.92</v>
      </c>
      <c r="F10" t="s">
        <v>20</v>
      </c>
      <c r="H10" s="18">
        <v>25.5</v>
      </c>
    </row>
    <row r="11" spans="2:8" ht="12.75">
      <c r="B11" s="1" t="s">
        <v>3</v>
      </c>
      <c r="D11" s="3">
        <v>8.54</v>
      </c>
      <c r="F11" t="s">
        <v>21</v>
      </c>
      <c r="H11" s="18">
        <v>28.51</v>
      </c>
    </row>
    <row r="12" spans="2:8" ht="12.75">
      <c r="B12" t="s">
        <v>4</v>
      </c>
      <c r="D12" s="3">
        <v>9.02</v>
      </c>
      <c r="F12" t="s">
        <v>22</v>
      </c>
      <c r="H12" s="18">
        <v>31.65</v>
      </c>
    </row>
    <row r="13" spans="2:8" ht="12.75">
      <c r="B13" t="s">
        <v>5</v>
      </c>
      <c r="D13" s="3">
        <v>9.97</v>
      </c>
      <c r="F13" t="s">
        <v>23</v>
      </c>
      <c r="H13" s="18">
        <v>35.42</v>
      </c>
    </row>
    <row r="14" spans="2:8" ht="12.75">
      <c r="B14" t="s">
        <v>7</v>
      </c>
      <c r="D14" s="3">
        <v>11.04</v>
      </c>
      <c r="F14" t="s">
        <v>24</v>
      </c>
      <c r="H14" s="18">
        <v>37.55</v>
      </c>
    </row>
    <row r="15" spans="2:8" ht="12.75">
      <c r="B15" t="s">
        <v>8</v>
      </c>
      <c r="D15" s="3">
        <v>11.63</v>
      </c>
      <c r="F15" t="s">
        <v>25</v>
      </c>
      <c r="H15" s="18">
        <v>37.29</v>
      </c>
    </row>
    <row r="16" spans="2:8" ht="12.75">
      <c r="B16" t="s">
        <v>9</v>
      </c>
      <c r="D16" s="3">
        <v>12.68</v>
      </c>
      <c r="F16" t="s">
        <v>26</v>
      </c>
      <c r="H16" s="18">
        <v>34.19</v>
      </c>
    </row>
    <row r="17" spans="2:8" ht="12.75">
      <c r="B17" t="s">
        <v>10</v>
      </c>
      <c r="D17" s="3">
        <v>13.92</v>
      </c>
      <c r="F17" t="s">
        <v>27</v>
      </c>
      <c r="H17" s="18">
        <v>33.68</v>
      </c>
    </row>
    <row r="18" spans="2:8" ht="12.75">
      <c r="B18" t="s">
        <v>11</v>
      </c>
      <c r="D18" s="3">
        <v>14.69</v>
      </c>
      <c r="F18" t="s">
        <v>28</v>
      </c>
      <c r="H18" s="18">
        <v>33.78</v>
      </c>
    </row>
    <row r="19" spans="2:8" ht="12.75">
      <c r="B19" t="s">
        <v>12</v>
      </c>
      <c r="D19" s="3">
        <v>15.54</v>
      </c>
      <c r="F19" t="s">
        <v>29</v>
      </c>
      <c r="H19" s="18">
        <v>34.29</v>
      </c>
    </row>
    <row r="20" spans="2:9" ht="12.75">
      <c r="B20" t="s">
        <v>13</v>
      </c>
      <c r="D20" s="3">
        <v>16.92</v>
      </c>
      <c r="F20" s="2" t="s">
        <v>30</v>
      </c>
      <c r="H20" s="18">
        <v>35.59</v>
      </c>
      <c r="I20" s="7"/>
    </row>
    <row r="21" spans="2:9" ht="12.75">
      <c r="B21" t="s">
        <v>14</v>
      </c>
      <c r="D21" s="3">
        <v>17.31</v>
      </c>
      <c r="F21" t="s">
        <v>31</v>
      </c>
      <c r="H21" s="18">
        <v>37.3</v>
      </c>
      <c r="I21" s="7"/>
    </row>
    <row r="22" spans="2:9" ht="12.75">
      <c r="B22" t="s">
        <v>15</v>
      </c>
      <c r="D22" s="3">
        <v>18.66</v>
      </c>
      <c r="F22" t="s">
        <v>69</v>
      </c>
      <c r="H22" s="18">
        <v>33.61</v>
      </c>
      <c r="I22" s="7"/>
    </row>
    <row r="23" spans="2:9" ht="12.75">
      <c r="B23" t="s">
        <v>16</v>
      </c>
      <c r="D23" s="3">
        <v>19.8</v>
      </c>
      <c r="F23" t="s">
        <v>70</v>
      </c>
      <c r="H23" s="25">
        <v>33.58</v>
      </c>
      <c r="I23" s="7"/>
    </row>
    <row r="24" spans="2:9" ht="12.75">
      <c r="B24" t="s">
        <v>17</v>
      </c>
      <c r="D24" s="18">
        <v>21.19</v>
      </c>
      <c r="F24" t="s">
        <v>71</v>
      </c>
      <c r="G24" s="20"/>
      <c r="H24" s="25">
        <v>34.32</v>
      </c>
      <c r="I24" s="7"/>
    </row>
    <row r="25" spans="2:9" ht="12.75">
      <c r="B25" t="s">
        <v>18</v>
      </c>
      <c r="D25" s="18">
        <v>21.66</v>
      </c>
      <c r="F25" t="s">
        <v>72</v>
      </c>
      <c r="H25" s="25">
        <v>33.84</v>
      </c>
      <c r="I25" s="7"/>
    </row>
    <row r="26" spans="2:9" ht="12.75">
      <c r="B26" t="s">
        <v>19</v>
      </c>
      <c r="D26" s="18">
        <v>23.39</v>
      </c>
      <c r="F26" t="s">
        <v>73</v>
      </c>
      <c r="H26" s="25">
        <v>34.55</v>
      </c>
      <c r="I26" s="7"/>
    </row>
    <row r="27" spans="4:9" ht="12.75">
      <c r="D27" s="15"/>
      <c r="F27" t="s">
        <v>99</v>
      </c>
      <c r="H27" s="25">
        <v>36.31</v>
      </c>
      <c r="I27" s="7"/>
    </row>
    <row r="28" spans="6:9" ht="12.75">
      <c r="F28" t="s">
        <v>101</v>
      </c>
      <c r="H28" s="25">
        <v>37.15</v>
      </c>
      <c r="I28" s="7"/>
    </row>
    <row r="29" spans="2:9" ht="12.75">
      <c r="B29">
        <f>Sheet1!G23</f>
        <v>0</v>
      </c>
      <c r="C29">
        <f>Sheet1!J23</f>
        <v>0</v>
      </c>
      <c r="F29" t="s">
        <v>102</v>
      </c>
      <c r="H29" s="25">
        <v>36.59</v>
      </c>
      <c r="I29" s="7"/>
    </row>
    <row r="30" spans="3:9" ht="12.75">
      <c r="C30">
        <f>IF(B29&lt;4,F64,G64)</f>
        <v>0</v>
      </c>
      <c r="F30" t="s">
        <v>103</v>
      </c>
      <c r="H30" s="25">
        <v>36.19</v>
      </c>
      <c r="I30" s="7"/>
    </row>
    <row r="31" spans="3:9" ht="12.75">
      <c r="C31" t="s">
        <v>6</v>
      </c>
      <c r="F31" t="s">
        <v>107</v>
      </c>
      <c r="H31" s="25">
        <v>37.09</v>
      </c>
      <c r="I31" s="7"/>
    </row>
    <row r="32" spans="6:9" ht="12.75">
      <c r="F32" t="s">
        <v>109</v>
      </c>
      <c r="H32" s="25">
        <v>35.9</v>
      </c>
      <c r="I32" s="7"/>
    </row>
    <row r="33" spans="6:9" ht="12.75">
      <c r="F33">
        <f>IF($C$29=1984,D13,0)</f>
        <v>0</v>
      </c>
      <c r="G33">
        <f>IF($C$29=1984,D14,0)</f>
        <v>0</v>
      </c>
      <c r="I33" s="7"/>
    </row>
    <row r="34" spans="6:9" ht="12.75">
      <c r="F34">
        <f>IF($C$29=1985,D14,0)</f>
        <v>0</v>
      </c>
      <c r="G34">
        <f>IF($C$29=1985,D15,0)</f>
        <v>0</v>
      </c>
      <c r="I34" s="7"/>
    </row>
    <row r="35" spans="6:9" ht="12.75">
      <c r="F35">
        <f>IF($C$29=1986,D15,0)</f>
        <v>0</v>
      </c>
      <c r="G35">
        <f>IF($C$29=1986,D16,0)</f>
        <v>0</v>
      </c>
      <c r="I35" s="7"/>
    </row>
    <row r="36" spans="6:9" ht="12.75">
      <c r="F36">
        <f>IF($C$29=1987,D16,0)</f>
        <v>0</v>
      </c>
      <c r="G36">
        <f>IF($C$29=1987,D17,0)</f>
        <v>0</v>
      </c>
      <c r="I36" s="7"/>
    </row>
    <row r="37" spans="6:9" ht="12.75">
      <c r="F37">
        <f>IF($C$29=1988,D17,0)</f>
        <v>0</v>
      </c>
      <c r="G37">
        <f>IF($C$29=1988,D18,0)</f>
        <v>0</v>
      </c>
      <c r="I37" s="7"/>
    </row>
    <row r="38" spans="6:9" ht="12.75">
      <c r="F38">
        <f>IF($C$29=1989,D18,0)</f>
        <v>0</v>
      </c>
      <c r="G38">
        <f>IF($C$29=1989,D19,0)</f>
        <v>0</v>
      </c>
      <c r="I38" s="7"/>
    </row>
    <row r="39" spans="6:9" ht="12.75">
      <c r="F39">
        <f>IF($C$29=1990,D19,0)</f>
        <v>0</v>
      </c>
      <c r="G39">
        <f>IF($C$29=1990,D20,0)</f>
        <v>0</v>
      </c>
      <c r="I39" s="7"/>
    </row>
    <row r="40" spans="6:9" ht="12.75">
      <c r="F40">
        <f>IF($C$29=1991,D20,0)</f>
        <v>0</v>
      </c>
      <c r="G40">
        <f>IF($C$29=1991,D21,0)</f>
        <v>0</v>
      </c>
      <c r="I40" s="7"/>
    </row>
    <row r="41" spans="6:9" ht="12.75">
      <c r="F41">
        <f>IF($C$29=1992,D21,0)</f>
        <v>0</v>
      </c>
      <c r="G41">
        <f>IF($C$29=1992,D22,0)</f>
        <v>0</v>
      </c>
      <c r="I41" s="7"/>
    </row>
    <row r="42" spans="6:9" ht="12.75">
      <c r="F42">
        <f>IF($C$29=1993,D22,0)</f>
        <v>0</v>
      </c>
      <c r="G42">
        <f>IF($C$29=1993,D23,0)</f>
        <v>0</v>
      </c>
      <c r="I42" s="7"/>
    </row>
    <row r="43" spans="6:9" ht="12.75">
      <c r="F43">
        <f>IF($C$29=1994,D23,0)</f>
        <v>0</v>
      </c>
      <c r="G43">
        <f>IF($C$29=1994,D24,0)</f>
        <v>0</v>
      </c>
      <c r="I43" s="7"/>
    </row>
    <row r="44" spans="6:9" ht="12.75">
      <c r="F44">
        <f>IF($C$29=1995,D24,0)</f>
        <v>0</v>
      </c>
      <c r="G44">
        <f>IF($C$29=1995,D25,0)</f>
        <v>0</v>
      </c>
      <c r="I44" s="7"/>
    </row>
    <row r="45" spans="6:9" ht="12.75">
      <c r="F45">
        <f>IF($C$29=1996,D25,0)</f>
        <v>0</v>
      </c>
      <c r="G45">
        <f>IF($C$29=1996,D26,0)</f>
        <v>0</v>
      </c>
      <c r="I45" s="7"/>
    </row>
    <row r="46" spans="6:9" ht="12.75">
      <c r="F46">
        <f>IF($C$29=1997,D26,0)</f>
        <v>0</v>
      </c>
      <c r="G46">
        <f>IF($C$29=1997,H10,0)</f>
        <v>0</v>
      </c>
      <c r="I46" s="7"/>
    </row>
    <row r="47" spans="6:9" ht="12.75">
      <c r="F47">
        <f>IF($C$29=1998,H10,0)</f>
        <v>0</v>
      </c>
      <c r="G47">
        <f>IF($C$29=1998,H11,0)</f>
        <v>0</v>
      </c>
      <c r="I47" s="7"/>
    </row>
    <row r="48" spans="6:9" ht="12.75">
      <c r="F48">
        <f>IF($C$29=1999,H11,0)</f>
        <v>0</v>
      </c>
      <c r="G48">
        <f>IF($C$29=1999,H12,0)</f>
        <v>0</v>
      </c>
      <c r="I48" s="7"/>
    </row>
    <row r="49" spans="6:9" ht="12.75">
      <c r="F49">
        <f>IF($C$29=2000,H12,0)</f>
        <v>0</v>
      </c>
      <c r="G49">
        <f>IF($C$29=2000,H13,0)</f>
        <v>0</v>
      </c>
      <c r="I49" s="7"/>
    </row>
    <row r="50" spans="6:9" ht="12.75">
      <c r="F50">
        <f>IF($C$29=2001,H13,0)</f>
        <v>0</v>
      </c>
      <c r="G50">
        <f>IF($C$29=2001,H14,0)</f>
        <v>0</v>
      </c>
      <c r="I50" s="7"/>
    </row>
    <row r="51" spans="6:9" ht="12.75">
      <c r="F51">
        <f>IF($C$29=2002,H14,0)</f>
        <v>0</v>
      </c>
      <c r="G51">
        <f>IF($C$29=2002,H15,0)</f>
        <v>0</v>
      </c>
      <c r="I51" s="7"/>
    </row>
    <row r="52" spans="6:9" ht="12.75">
      <c r="F52">
        <f>IF($C$29=2003,H15,0)</f>
        <v>0</v>
      </c>
      <c r="G52">
        <f>IF($C$29=2003,H16,0)</f>
        <v>0</v>
      </c>
      <c r="I52" s="7"/>
    </row>
    <row r="53" spans="6:9" ht="12.75">
      <c r="F53">
        <f>IF($C$29=2004,H16,0)</f>
        <v>0</v>
      </c>
      <c r="G53">
        <f>IF($C$29=2004,H17,0)</f>
        <v>0</v>
      </c>
      <c r="I53" s="7"/>
    </row>
    <row r="54" spans="6:9" ht="12.75">
      <c r="F54">
        <f>IF($C$29=2005,H17,0)</f>
        <v>0</v>
      </c>
      <c r="G54">
        <f>IF($C$29=2005,H18,0)</f>
        <v>0</v>
      </c>
      <c r="I54" s="7"/>
    </row>
    <row r="55" spans="6:9" ht="12.75">
      <c r="F55">
        <f>IF($C$29=2006,H18,0)</f>
        <v>0</v>
      </c>
      <c r="G55">
        <f>IF($C$29=2006,H19,0)</f>
        <v>0</v>
      </c>
      <c r="I55" s="7"/>
    </row>
    <row r="56" spans="6:9" ht="12.75">
      <c r="F56">
        <f>IF($C$29=2007,H19,0)</f>
        <v>0</v>
      </c>
      <c r="G56">
        <f>IF($C$29=2007,H20,0)</f>
        <v>0</v>
      </c>
      <c r="I56" s="7"/>
    </row>
    <row r="57" ht="12.75">
      <c r="I57" s="7"/>
    </row>
    <row r="60" ht="12.75">
      <c r="I60" s="7"/>
    </row>
    <row r="61" ht="12.75">
      <c r="I61" s="7"/>
    </row>
    <row r="62" ht="12.75">
      <c r="I62" s="7"/>
    </row>
    <row r="63" ht="12.75">
      <c r="I63" s="7"/>
    </row>
    <row r="64" spans="6:9" ht="12.75">
      <c r="F64" s="26">
        <f>SUM(F29:F62)</f>
        <v>0</v>
      </c>
      <c r="G64" s="26">
        <f>SUM(G29:G62)</f>
        <v>0</v>
      </c>
      <c r="H64">
        <f>IF(F64&gt;G64,F64,G64)</f>
        <v>0</v>
      </c>
      <c r="I64" s="7"/>
    </row>
    <row r="65" ht="12.75">
      <c r="I65" s="7"/>
    </row>
  </sheetData>
  <sheetProtection password="E999" sheet="1"/>
  <hyperlinks>
    <hyperlink ref="F1" r:id="rId1" display="=@IF(F2&lt;25, O23)"/>
    <hyperlink ref="F64" r:id="rId2" display="=@sum(e55.e88)"/>
    <hyperlink ref="G64" r:id="rId3" display="=@sum(e55.e88)"/>
  </hyperlinks>
  <printOptions/>
  <pageMargins left="0.7" right="0.7" top="0.75" bottom="0.75" header="0.3" footer="0.3"/>
  <pageSetup fitToHeight="0" fitToWidth="2" horizontalDpi="600" verticalDpi="60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</dc:creator>
  <cp:keywords/>
  <dc:description/>
  <cp:lastModifiedBy>Windows User</cp:lastModifiedBy>
  <cp:lastPrinted>2013-10-14T20:27:47Z</cp:lastPrinted>
  <dcterms:created xsi:type="dcterms:W3CDTF">2008-04-19T01:47:06Z</dcterms:created>
  <dcterms:modified xsi:type="dcterms:W3CDTF">2019-05-10T13:09:17Z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