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\Interest Allocation Examination\"/>
    </mc:Choice>
  </mc:AlternateContent>
  <xr:revisionPtr revIDLastSave="0" documentId="8_{FB6785EB-D32B-4D52-A29C-CB8035BCB718}" xr6:coauthVersionLast="47" xr6:coauthVersionMax="47" xr10:uidLastSave="{00000000-0000-0000-0000-000000000000}"/>
  <workbookProtection workbookAlgorithmName="SHA-512" workbookHashValue="3iXNrvjYV6/ziIiFtIp+QPEy23BveSc0Lo9h4q3cRxFE7PcK4i8jaSOBOCxXlxcF7NywLgOza7iTGEfhULxLSg==" workbookSaltValue="IbHar1SW5hwuxUmw78KqPA==" workbookSpinCount="100000" lockStructure="1"/>
  <bookViews>
    <workbookView xWindow="-120" yWindow="480" windowWidth="29040" windowHeight="15840" xr2:uid="{E1AD59F1-6329-4EA3-9A89-01FE98702579}"/>
  </bookViews>
  <sheets>
    <sheet name="Summary FY13-FY20" sheetId="12" r:id="rId1"/>
    <sheet name="Summary by FY" sheetId="10" r:id="rId2"/>
    <sheet name="FY2020" sheetId="2" r:id="rId3"/>
    <sheet name="FY2019" sheetId="3" r:id="rId4"/>
    <sheet name="FY2018" sheetId="4" r:id="rId5"/>
    <sheet name="FY2017" sheetId="5" r:id="rId6"/>
    <sheet name="FY2016" sheetId="6" r:id="rId7"/>
    <sheet name="FY2015" sheetId="7" r:id="rId8"/>
    <sheet name="FY2014" sheetId="8" r:id="rId9"/>
    <sheet name="$500K &quot;Undistributed&quot; 4Q FY2013" sheetId="9" r:id="rId10"/>
    <sheet name="FY2013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  <c r="C6" i="12" l="1"/>
  <c r="L32" i="1"/>
  <c r="K32" i="9"/>
  <c r="H19" i="10"/>
  <c r="I19" i="10"/>
  <c r="D19" i="10"/>
  <c r="D21" i="10"/>
  <c r="G21" i="10"/>
  <c r="H21" i="10"/>
  <c r="I21" i="10"/>
  <c r="J21" i="10"/>
  <c r="K21" i="10"/>
  <c r="L21" i="10"/>
  <c r="O50" i="5" l="1"/>
  <c r="N50" i="5"/>
  <c r="M50" i="5"/>
  <c r="L31" i="5"/>
  <c r="J31" i="5"/>
  <c r="K31" i="5" l="1"/>
  <c r="J66" i="5" l="1"/>
  <c r="J67" i="5"/>
  <c r="J68" i="5"/>
  <c r="J69" i="5"/>
  <c r="J70" i="5"/>
  <c r="J71" i="5"/>
  <c r="J72" i="5"/>
  <c r="J73" i="5"/>
  <c r="J74" i="5"/>
  <c r="J75" i="5"/>
  <c r="J76" i="5"/>
  <c r="J77" i="5"/>
  <c r="J78" i="5"/>
  <c r="P58" i="6"/>
  <c r="M39" i="6"/>
  <c r="C59" i="8"/>
  <c r="K40" i="8"/>
  <c r="C40" i="1" l="1"/>
  <c r="F21" i="1"/>
  <c r="J29" i="1" l="1"/>
  <c r="J21" i="1"/>
  <c r="E71" i="3" l="1"/>
  <c r="L56" i="7"/>
  <c r="P56" i="7"/>
  <c r="O56" i="7"/>
  <c r="N56" i="7"/>
  <c r="M56" i="7"/>
  <c r="K56" i="6"/>
  <c r="J56" i="6"/>
  <c r="L56" i="6"/>
  <c r="P56" i="6"/>
  <c r="O56" i="6"/>
  <c r="N56" i="6"/>
  <c r="M56" i="6"/>
  <c r="K56" i="5"/>
  <c r="J56" i="5"/>
  <c r="L56" i="5"/>
  <c r="P56" i="5"/>
  <c r="O56" i="5"/>
  <c r="N56" i="5"/>
  <c r="M56" i="5"/>
  <c r="K56" i="4"/>
  <c r="J56" i="4"/>
  <c r="L56" i="4"/>
  <c r="P56" i="4"/>
  <c r="O56" i="4"/>
  <c r="N56" i="4"/>
  <c r="M56" i="4"/>
  <c r="K56" i="3"/>
  <c r="J56" i="3"/>
  <c r="L56" i="3"/>
  <c r="P56" i="3"/>
  <c r="O56" i="3"/>
  <c r="N56" i="3"/>
  <c r="M56" i="3"/>
  <c r="K56" i="2"/>
  <c r="J56" i="2"/>
  <c r="L56" i="2"/>
  <c r="P56" i="2"/>
  <c r="O56" i="2"/>
  <c r="N56" i="2"/>
  <c r="M56" i="2"/>
  <c r="M37" i="2"/>
  <c r="L37" i="2"/>
  <c r="N37" i="2"/>
  <c r="K37" i="2"/>
  <c r="J37" i="2"/>
  <c r="N37" i="3"/>
  <c r="M37" i="3"/>
  <c r="L37" i="3"/>
  <c r="K37" i="3"/>
  <c r="J37" i="3"/>
  <c r="N37" i="4"/>
  <c r="M37" i="4"/>
  <c r="L37" i="4"/>
  <c r="K37" i="4"/>
  <c r="J37" i="4"/>
  <c r="N37" i="5"/>
  <c r="M37" i="5"/>
  <c r="L37" i="5"/>
  <c r="K37" i="5"/>
  <c r="J37" i="5"/>
  <c r="N37" i="6"/>
  <c r="M37" i="6"/>
  <c r="L37" i="6"/>
  <c r="K37" i="6"/>
  <c r="J37" i="6"/>
  <c r="N37" i="7"/>
  <c r="N38" i="3"/>
  <c r="L29" i="4" l="1"/>
  <c r="O48" i="4"/>
  <c r="J65" i="7"/>
  <c r="J65" i="2" l="1"/>
  <c r="P78" i="2" l="1"/>
  <c r="N78" i="2"/>
  <c r="L78" i="2"/>
  <c r="J78" i="2"/>
  <c r="P77" i="2"/>
  <c r="N77" i="2"/>
  <c r="L77" i="2"/>
  <c r="J77" i="2"/>
  <c r="P76" i="2"/>
  <c r="N76" i="2"/>
  <c r="L76" i="2"/>
  <c r="J76" i="2"/>
  <c r="P75" i="2"/>
  <c r="N75" i="2"/>
  <c r="L75" i="2"/>
  <c r="J75" i="2"/>
  <c r="P74" i="2"/>
  <c r="N74" i="2"/>
  <c r="L74" i="2"/>
  <c r="J74" i="2"/>
  <c r="P73" i="2"/>
  <c r="N73" i="2"/>
  <c r="L73" i="2"/>
  <c r="J73" i="2"/>
  <c r="P72" i="2"/>
  <c r="N72" i="2"/>
  <c r="L72" i="2"/>
  <c r="J72" i="2"/>
  <c r="P71" i="2"/>
  <c r="N71" i="2"/>
  <c r="L71" i="2"/>
  <c r="J71" i="2"/>
  <c r="P70" i="2"/>
  <c r="N70" i="2"/>
  <c r="L70" i="2"/>
  <c r="J70" i="2"/>
  <c r="P69" i="2"/>
  <c r="N69" i="2"/>
  <c r="L69" i="2"/>
  <c r="J69" i="2"/>
  <c r="P68" i="2"/>
  <c r="N68" i="2"/>
  <c r="L68" i="2"/>
  <c r="J68" i="2"/>
  <c r="P67" i="2"/>
  <c r="N67" i="2"/>
  <c r="L67" i="2"/>
  <c r="J67" i="2"/>
  <c r="P66" i="2"/>
  <c r="N66" i="2"/>
  <c r="L66" i="2"/>
  <c r="J66" i="2"/>
  <c r="P65" i="2"/>
  <c r="N65" i="2"/>
  <c r="L65" i="2"/>
  <c r="P59" i="2"/>
  <c r="O59" i="2"/>
  <c r="N59" i="2"/>
  <c r="M59" i="2"/>
  <c r="J40" i="2"/>
  <c r="K40" i="2"/>
  <c r="L40" i="2"/>
  <c r="M40" i="2"/>
  <c r="L59" i="2"/>
  <c r="N40" i="3"/>
  <c r="K59" i="2"/>
  <c r="J59" i="2"/>
  <c r="P79" i="2" l="1"/>
  <c r="Q78" i="2" s="1"/>
  <c r="J79" i="2"/>
  <c r="K65" i="2" s="1"/>
  <c r="L79" i="2"/>
  <c r="M68" i="2" s="1"/>
  <c r="N79" i="2"/>
  <c r="O66" i="2" s="1"/>
  <c r="Q74" i="2"/>
  <c r="Q66" i="2"/>
  <c r="Q76" i="2"/>
  <c r="Q72" i="2"/>
  <c r="Q69" i="2"/>
  <c r="Q67" i="2"/>
  <c r="Q77" i="2"/>
  <c r="Q75" i="2"/>
  <c r="Q73" i="2"/>
  <c r="Q70" i="2"/>
  <c r="Q68" i="2"/>
  <c r="Q65" i="2"/>
  <c r="Q71" i="2" l="1"/>
  <c r="Q79" i="2" s="1"/>
  <c r="K72" i="2"/>
  <c r="K71" i="2"/>
  <c r="K67" i="2"/>
  <c r="K78" i="2"/>
  <c r="O78" i="2"/>
  <c r="K70" i="2"/>
  <c r="K66" i="2"/>
  <c r="K69" i="2"/>
  <c r="M65" i="2"/>
  <c r="O76" i="2"/>
  <c r="M66" i="2"/>
  <c r="K77" i="2"/>
  <c r="O77" i="2"/>
  <c r="M77" i="2"/>
  <c r="O75" i="2"/>
  <c r="M75" i="2"/>
  <c r="O72" i="2"/>
  <c r="K75" i="2"/>
  <c r="K76" i="2"/>
  <c r="O73" i="2"/>
  <c r="M73" i="2"/>
  <c r="M70" i="2"/>
  <c r="O74" i="2"/>
  <c r="O65" i="2"/>
  <c r="O70" i="2"/>
  <c r="M78" i="2"/>
  <c r="K74" i="2"/>
  <c r="O71" i="2"/>
  <c r="M71" i="2"/>
  <c r="O68" i="2"/>
  <c r="M76" i="2"/>
  <c r="O69" i="2"/>
  <c r="M69" i="2"/>
  <c r="M72" i="2"/>
  <c r="O67" i="2"/>
  <c r="M67" i="2"/>
  <c r="M74" i="2"/>
  <c r="K68" i="2"/>
  <c r="K73" i="2"/>
  <c r="K79" i="2" l="1"/>
  <c r="O79" i="2"/>
  <c r="M79" i="2"/>
  <c r="L52" i="3" l="1"/>
  <c r="N72" i="3" s="1"/>
  <c r="K52" i="3"/>
  <c r="J52" i="3"/>
  <c r="J71" i="3"/>
  <c r="P71" i="3"/>
  <c r="P72" i="3"/>
  <c r="P73" i="3"/>
  <c r="P74" i="3"/>
  <c r="N71" i="3"/>
  <c r="N73" i="3"/>
  <c r="N74" i="3"/>
  <c r="J72" i="3" l="1"/>
  <c r="K52" i="4" l="1"/>
  <c r="P78" i="3"/>
  <c r="N78" i="3"/>
  <c r="L78" i="3"/>
  <c r="J78" i="3"/>
  <c r="P77" i="3"/>
  <c r="N77" i="3"/>
  <c r="L77" i="3"/>
  <c r="J77" i="3"/>
  <c r="P76" i="3"/>
  <c r="N76" i="3"/>
  <c r="L76" i="3"/>
  <c r="J76" i="3"/>
  <c r="P75" i="3"/>
  <c r="N75" i="3"/>
  <c r="L75" i="3"/>
  <c r="J75" i="3"/>
  <c r="L74" i="3"/>
  <c r="J74" i="3"/>
  <c r="L73" i="3"/>
  <c r="J73" i="3"/>
  <c r="L72" i="3"/>
  <c r="L71" i="3"/>
  <c r="P70" i="3"/>
  <c r="N70" i="3"/>
  <c r="L70" i="3"/>
  <c r="J70" i="3"/>
  <c r="P69" i="3"/>
  <c r="N69" i="3"/>
  <c r="L69" i="3"/>
  <c r="J69" i="3"/>
  <c r="P68" i="3"/>
  <c r="N68" i="3"/>
  <c r="P67" i="3"/>
  <c r="N67" i="3"/>
  <c r="L67" i="3"/>
  <c r="J67" i="3"/>
  <c r="P66" i="3"/>
  <c r="N66" i="3"/>
  <c r="L66" i="3"/>
  <c r="J66" i="3"/>
  <c r="P65" i="3"/>
  <c r="N65" i="3"/>
  <c r="L65" i="3"/>
  <c r="J65" i="3"/>
  <c r="M59" i="3"/>
  <c r="L59" i="3"/>
  <c r="K59" i="3"/>
  <c r="K48" i="3"/>
  <c r="L68" i="3" s="1"/>
  <c r="J48" i="3"/>
  <c r="P59" i="3"/>
  <c r="O59" i="3"/>
  <c r="N59" i="3"/>
  <c r="M40" i="3"/>
  <c r="K40" i="3"/>
  <c r="J40" i="3"/>
  <c r="J65" i="4"/>
  <c r="P78" i="4"/>
  <c r="N78" i="4"/>
  <c r="L78" i="4"/>
  <c r="J78" i="4"/>
  <c r="P77" i="4"/>
  <c r="N77" i="4"/>
  <c r="L77" i="4"/>
  <c r="J77" i="4"/>
  <c r="P76" i="4"/>
  <c r="N76" i="4"/>
  <c r="L76" i="4"/>
  <c r="J76" i="4"/>
  <c r="P75" i="4"/>
  <c r="N75" i="4"/>
  <c r="L75" i="4"/>
  <c r="J75" i="4"/>
  <c r="P74" i="4"/>
  <c r="N74" i="4"/>
  <c r="L74" i="4"/>
  <c r="J74" i="4"/>
  <c r="P73" i="4"/>
  <c r="N73" i="4"/>
  <c r="L73" i="4"/>
  <c r="J73" i="4"/>
  <c r="L71" i="4"/>
  <c r="J71" i="4"/>
  <c r="P70" i="4"/>
  <c r="N70" i="4"/>
  <c r="L70" i="4"/>
  <c r="J70" i="4"/>
  <c r="P69" i="4"/>
  <c r="N69" i="4"/>
  <c r="L69" i="4"/>
  <c r="J69" i="4"/>
  <c r="P67" i="4"/>
  <c r="N67" i="4"/>
  <c r="L67" i="4"/>
  <c r="J67" i="4"/>
  <c r="P66" i="4"/>
  <c r="N66" i="4"/>
  <c r="L66" i="4"/>
  <c r="J66" i="4"/>
  <c r="P65" i="4"/>
  <c r="N65" i="4"/>
  <c r="L65" i="4"/>
  <c r="P52" i="4"/>
  <c r="P59" i="4" s="1"/>
  <c r="O52" i="4"/>
  <c r="N52" i="4"/>
  <c r="M52" i="4"/>
  <c r="N48" i="4"/>
  <c r="M48" i="4"/>
  <c r="L52" i="4"/>
  <c r="L48" i="4"/>
  <c r="L59" i="4" s="1"/>
  <c r="J52" i="4"/>
  <c r="K48" i="4"/>
  <c r="K59" i="4" s="1"/>
  <c r="J48" i="4"/>
  <c r="J65" i="5"/>
  <c r="L66" i="5"/>
  <c r="L67" i="5"/>
  <c r="L69" i="5"/>
  <c r="L70" i="5"/>
  <c r="L71" i="5"/>
  <c r="L73" i="5"/>
  <c r="L74" i="5"/>
  <c r="L77" i="5"/>
  <c r="L78" i="5"/>
  <c r="L65" i="5"/>
  <c r="P78" i="5"/>
  <c r="N78" i="5"/>
  <c r="P77" i="5"/>
  <c r="N77" i="5"/>
  <c r="P76" i="5"/>
  <c r="N76" i="5"/>
  <c r="P75" i="5"/>
  <c r="P74" i="5"/>
  <c r="N74" i="5"/>
  <c r="P73" i="5"/>
  <c r="N73" i="5"/>
  <c r="N71" i="5"/>
  <c r="P70" i="5"/>
  <c r="N70" i="5"/>
  <c r="P69" i="5"/>
  <c r="N69" i="5"/>
  <c r="P67" i="5"/>
  <c r="N67" i="5"/>
  <c r="P66" i="5"/>
  <c r="N66" i="5"/>
  <c r="P65" i="5"/>
  <c r="N65" i="5"/>
  <c r="L76" i="5"/>
  <c r="K55" i="5"/>
  <c r="J55" i="5"/>
  <c r="K52" i="5"/>
  <c r="J52" i="5"/>
  <c r="K48" i="5"/>
  <c r="J48" i="5"/>
  <c r="L55" i="5"/>
  <c r="N75" i="5" s="1"/>
  <c r="L52" i="5"/>
  <c r="L48" i="5"/>
  <c r="L59" i="5" s="1"/>
  <c r="P52" i="5"/>
  <c r="O52" i="5"/>
  <c r="O59" i="5" s="1"/>
  <c r="N52" i="5"/>
  <c r="M52" i="5"/>
  <c r="P72" i="5" s="1"/>
  <c r="P48" i="5"/>
  <c r="O48" i="5"/>
  <c r="N48" i="5"/>
  <c r="M48" i="5"/>
  <c r="P66" i="6"/>
  <c r="P67" i="6"/>
  <c r="P69" i="6"/>
  <c r="P70" i="6"/>
  <c r="P73" i="6"/>
  <c r="P74" i="6"/>
  <c r="P76" i="6"/>
  <c r="P77" i="6"/>
  <c r="P78" i="6"/>
  <c r="P65" i="6"/>
  <c r="N66" i="6"/>
  <c r="N67" i="6"/>
  <c r="N69" i="6"/>
  <c r="N70" i="6"/>
  <c r="N71" i="6"/>
  <c r="N73" i="6"/>
  <c r="N74" i="6"/>
  <c r="N77" i="6"/>
  <c r="N78" i="6"/>
  <c r="N65" i="6"/>
  <c r="L66" i="6"/>
  <c r="L67" i="6"/>
  <c r="L69" i="6"/>
  <c r="L70" i="6"/>
  <c r="L71" i="6"/>
  <c r="L73" i="6"/>
  <c r="L74" i="6"/>
  <c r="L77" i="6"/>
  <c r="L78" i="6"/>
  <c r="L65" i="6"/>
  <c r="J66" i="6"/>
  <c r="J67" i="6"/>
  <c r="J69" i="6"/>
  <c r="J70" i="6"/>
  <c r="J71" i="6"/>
  <c r="J73" i="6"/>
  <c r="J74" i="6"/>
  <c r="J77" i="6"/>
  <c r="J78" i="6"/>
  <c r="J65" i="6"/>
  <c r="J76" i="6"/>
  <c r="L55" i="6"/>
  <c r="L52" i="6"/>
  <c r="L48" i="6"/>
  <c r="N40" i="2"/>
  <c r="N21" i="2"/>
  <c r="N21" i="3"/>
  <c r="N33" i="4"/>
  <c r="N40" i="4" s="1"/>
  <c r="N21" i="4"/>
  <c r="N33" i="5"/>
  <c r="N29" i="5"/>
  <c r="N40" i="5" s="1"/>
  <c r="N21" i="5"/>
  <c r="N36" i="6"/>
  <c r="N29" i="6"/>
  <c r="N33" i="6"/>
  <c r="N21" i="6"/>
  <c r="J37" i="7"/>
  <c r="M37" i="7"/>
  <c r="L37" i="7"/>
  <c r="K37" i="7"/>
  <c r="K37" i="8"/>
  <c r="J68" i="3" l="1"/>
  <c r="P68" i="4"/>
  <c r="N72" i="4"/>
  <c r="L68" i="5"/>
  <c r="L59" i="6"/>
  <c r="N40" i="6"/>
  <c r="N76" i="6"/>
  <c r="L76" i="6"/>
  <c r="N59" i="5"/>
  <c r="L72" i="5"/>
  <c r="L79" i="5" s="1"/>
  <c r="M72" i="5" s="1"/>
  <c r="M59" i="5"/>
  <c r="L75" i="5"/>
  <c r="N72" i="5"/>
  <c r="N68" i="5"/>
  <c r="N79" i="5" s="1"/>
  <c r="O74" i="5" s="1"/>
  <c r="J79" i="5"/>
  <c r="K59" i="5"/>
  <c r="P68" i="5"/>
  <c r="J59" i="5"/>
  <c r="P59" i="5"/>
  <c r="J72" i="4"/>
  <c r="J79" i="4" s="1"/>
  <c r="K72" i="4" s="1"/>
  <c r="P72" i="4"/>
  <c r="J68" i="4"/>
  <c r="M59" i="4"/>
  <c r="N59" i="4"/>
  <c r="J59" i="3"/>
  <c r="J79" i="3"/>
  <c r="K66" i="3" s="1"/>
  <c r="P79" i="3"/>
  <c r="L79" i="3"/>
  <c r="M71" i="3" s="1"/>
  <c r="N79" i="3"/>
  <c r="O71" i="3" s="1"/>
  <c r="L68" i="4"/>
  <c r="N68" i="4"/>
  <c r="N79" i="4" s="1"/>
  <c r="O74" i="4" s="1"/>
  <c r="O59" i="4"/>
  <c r="J59" i="4"/>
  <c r="L72" i="4"/>
  <c r="P79" i="4"/>
  <c r="Q74" i="4" s="1"/>
  <c r="P79" i="5"/>
  <c r="Q71" i="5" s="1"/>
  <c r="G45" i="8"/>
  <c r="G46" i="8"/>
  <c r="G47" i="8"/>
  <c r="G49" i="8"/>
  <c r="G50" i="8"/>
  <c r="G53" i="8"/>
  <c r="G54" i="8"/>
  <c r="G57" i="8"/>
  <c r="G58" i="8"/>
  <c r="P65" i="7"/>
  <c r="N65" i="7"/>
  <c r="L65" i="7"/>
  <c r="P55" i="7"/>
  <c r="P52" i="7"/>
  <c r="P48" i="7"/>
  <c r="L55" i="7"/>
  <c r="L52" i="7"/>
  <c r="N72" i="7" s="1"/>
  <c r="L48" i="7"/>
  <c r="K55" i="7"/>
  <c r="J55" i="7"/>
  <c r="K52" i="7"/>
  <c r="J52" i="7"/>
  <c r="K48" i="7"/>
  <c r="J48" i="7"/>
  <c r="O55" i="7"/>
  <c r="N75" i="7" s="1"/>
  <c r="N55" i="7"/>
  <c r="M55" i="7"/>
  <c r="O52" i="7"/>
  <c r="N52" i="7"/>
  <c r="M52" i="7"/>
  <c r="P72" i="7" s="1"/>
  <c r="O48" i="7"/>
  <c r="N48" i="7"/>
  <c r="M48" i="7"/>
  <c r="P78" i="7"/>
  <c r="N78" i="7"/>
  <c r="L78" i="7"/>
  <c r="J78" i="7"/>
  <c r="P77" i="7"/>
  <c r="N77" i="7"/>
  <c r="L77" i="7"/>
  <c r="J77" i="7"/>
  <c r="P76" i="7"/>
  <c r="N76" i="7"/>
  <c r="L76" i="7"/>
  <c r="J76" i="7"/>
  <c r="P75" i="7"/>
  <c r="P74" i="7"/>
  <c r="N74" i="7"/>
  <c r="L74" i="7"/>
  <c r="J74" i="7"/>
  <c r="P73" i="7"/>
  <c r="N73" i="7"/>
  <c r="L73" i="7"/>
  <c r="J73" i="7"/>
  <c r="P70" i="7"/>
  <c r="N70" i="7"/>
  <c r="L70" i="7"/>
  <c r="J70" i="7"/>
  <c r="P69" i="7"/>
  <c r="N69" i="7"/>
  <c r="L69" i="7"/>
  <c r="J69" i="7"/>
  <c r="P67" i="7"/>
  <c r="N67" i="7"/>
  <c r="L67" i="7"/>
  <c r="J67" i="7"/>
  <c r="P66" i="7"/>
  <c r="N66" i="7"/>
  <c r="L66" i="7"/>
  <c r="J66" i="7"/>
  <c r="L75" i="7"/>
  <c r="J75" i="7"/>
  <c r="K36" i="8"/>
  <c r="K29" i="8"/>
  <c r="K33" i="8"/>
  <c r="K21" i="8"/>
  <c r="N36" i="7"/>
  <c r="N29" i="7"/>
  <c r="N33" i="7"/>
  <c r="N21" i="7"/>
  <c r="K55" i="6"/>
  <c r="J55" i="6"/>
  <c r="K52" i="6"/>
  <c r="J52" i="6"/>
  <c r="K48" i="6"/>
  <c r="J48" i="6"/>
  <c r="P55" i="6"/>
  <c r="O55" i="6"/>
  <c r="N55" i="6"/>
  <c r="M55" i="6"/>
  <c r="P52" i="6"/>
  <c r="O52" i="6"/>
  <c r="N52" i="6"/>
  <c r="M52" i="6"/>
  <c r="P48" i="6"/>
  <c r="O48" i="6"/>
  <c r="N48" i="6"/>
  <c r="M48" i="6"/>
  <c r="Q68" i="3" l="1"/>
  <c r="Q71" i="3"/>
  <c r="J72" i="7"/>
  <c r="J59" i="7"/>
  <c r="Q67" i="5"/>
  <c r="Q69" i="5"/>
  <c r="Q75" i="5"/>
  <c r="Q67" i="3"/>
  <c r="Q66" i="3"/>
  <c r="Q78" i="3"/>
  <c r="Q75" i="3"/>
  <c r="Q65" i="3"/>
  <c r="Q77" i="3"/>
  <c r="Q76" i="3"/>
  <c r="Q74" i="3"/>
  <c r="Q70" i="3"/>
  <c r="Q69" i="3"/>
  <c r="L72" i="7"/>
  <c r="P59" i="6"/>
  <c r="P72" i="6"/>
  <c r="P75" i="6"/>
  <c r="J75" i="6"/>
  <c r="M59" i="6"/>
  <c r="P68" i="6"/>
  <c r="L75" i="6"/>
  <c r="J68" i="6"/>
  <c r="N75" i="6"/>
  <c r="N59" i="6"/>
  <c r="L68" i="6"/>
  <c r="N68" i="6"/>
  <c r="O59" i="6"/>
  <c r="J72" i="6"/>
  <c r="N72" i="6"/>
  <c r="L72" i="6"/>
  <c r="Q66" i="5"/>
  <c r="Q73" i="4"/>
  <c r="K77" i="4"/>
  <c r="M73" i="3"/>
  <c r="M78" i="3"/>
  <c r="M65" i="3"/>
  <c r="M67" i="3"/>
  <c r="M68" i="3"/>
  <c r="M75" i="3"/>
  <c r="Q72" i="3"/>
  <c r="Q73" i="3"/>
  <c r="O67" i="3"/>
  <c r="O73" i="3"/>
  <c r="O70" i="3"/>
  <c r="K77" i="3"/>
  <c r="O78" i="3"/>
  <c r="O65" i="3"/>
  <c r="O76" i="3"/>
  <c r="O74" i="3"/>
  <c r="M76" i="3"/>
  <c r="K78" i="3"/>
  <c r="K75" i="3"/>
  <c r="K67" i="3"/>
  <c r="O68" i="3"/>
  <c r="K71" i="3"/>
  <c r="K69" i="3"/>
  <c r="O72" i="3"/>
  <c r="M74" i="3"/>
  <c r="K76" i="3"/>
  <c r="M69" i="3"/>
  <c r="K65" i="3"/>
  <c r="K73" i="3"/>
  <c r="M70" i="3"/>
  <c r="K70" i="3"/>
  <c r="M72" i="3"/>
  <c r="K74" i="3"/>
  <c r="O66" i="3"/>
  <c r="M77" i="3"/>
  <c r="K68" i="3"/>
  <c r="K72" i="3"/>
  <c r="O77" i="3"/>
  <c r="M66" i="3"/>
  <c r="O69" i="3"/>
  <c r="O75" i="3"/>
  <c r="Q78" i="4"/>
  <c r="K75" i="4"/>
  <c r="O76" i="4"/>
  <c r="K78" i="4"/>
  <c r="Q76" i="4"/>
  <c r="K74" i="4"/>
  <c r="L79" i="4"/>
  <c r="M68" i="4" s="1"/>
  <c r="K76" i="4"/>
  <c r="Q75" i="4"/>
  <c r="O73" i="4"/>
  <c r="O75" i="4"/>
  <c r="O72" i="4"/>
  <c r="Q72" i="4"/>
  <c r="O77" i="4"/>
  <c r="O78" i="4"/>
  <c r="O71" i="4"/>
  <c r="O70" i="4"/>
  <c r="O67" i="4"/>
  <c r="O66" i="4"/>
  <c r="O65" i="4"/>
  <c r="O68" i="4"/>
  <c r="O69" i="4"/>
  <c r="Q71" i="4"/>
  <c r="Q69" i="4"/>
  <c r="Q67" i="4"/>
  <c r="Q65" i="4"/>
  <c r="Q70" i="4"/>
  <c r="Q68" i="4"/>
  <c r="Q66" i="4"/>
  <c r="K71" i="4"/>
  <c r="K70" i="4"/>
  <c r="K69" i="4"/>
  <c r="K68" i="4"/>
  <c r="K67" i="4"/>
  <c r="K66" i="4"/>
  <c r="K65" i="4"/>
  <c r="Q77" i="4"/>
  <c r="K73" i="4"/>
  <c r="M78" i="5"/>
  <c r="M75" i="5"/>
  <c r="O75" i="5"/>
  <c r="M77" i="5"/>
  <c r="M76" i="5"/>
  <c r="O76" i="5"/>
  <c r="M74" i="5"/>
  <c r="M73" i="5"/>
  <c r="K74" i="5"/>
  <c r="K65" i="5"/>
  <c r="K76" i="5"/>
  <c r="K75" i="5"/>
  <c r="K73" i="5"/>
  <c r="K78" i="5"/>
  <c r="O73" i="5"/>
  <c r="O72" i="5"/>
  <c r="Q65" i="5"/>
  <c r="Q77" i="5"/>
  <c r="Q70" i="5"/>
  <c r="K77" i="5"/>
  <c r="Q73" i="5"/>
  <c r="Q78" i="5"/>
  <c r="Q68" i="5"/>
  <c r="M71" i="5"/>
  <c r="M69" i="5"/>
  <c r="M68" i="5"/>
  <c r="M67" i="5"/>
  <c r="M65" i="5"/>
  <c r="M70" i="5"/>
  <c r="M66" i="5"/>
  <c r="Q72" i="5"/>
  <c r="Q76" i="5"/>
  <c r="O68" i="5"/>
  <c r="O69" i="5"/>
  <c r="O67" i="5"/>
  <c r="O71" i="5"/>
  <c r="O66" i="5"/>
  <c r="O70" i="5"/>
  <c r="O65" i="5"/>
  <c r="K71" i="5"/>
  <c r="K70" i="5"/>
  <c r="K69" i="5"/>
  <c r="K68" i="5"/>
  <c r="K67" i="5"/>
  <c r="K66" i="5"/>
  <c r="K72" i="5"/>
  <c r="O77" i="5"/>
  <c r="O78" i="5"/>
  <c r="Q74" i="5"/>
  <c r="K59" i="6"/>
  <c r="J59" i="6"/>
  <c r="P68" i="7"/>
  <c r="P79" i="7" s="1"/>
  <c r="Q65" i="7" s="1"/>
  <c r="K59" i="7"/>
  <c r="L68" i="7"/>
  <c r="L79" i="7" s="1"/>
  <c r="L59" i="7"/>
  <c r="N68" i="7"/>
  <c r="J68" i="7"/>
  <c r="J79" i="7" s="1"/>
  <c r="N40" i="7"/>
  <c r="M59" i="7"/>
  <c r="N59" i="7"/>
  <c r="O59" i="7"/>
  <c r="P59" i="7"/>
  <c r="M72" i="4" l="1"/>
  <c r="Q79" i="3"/>
  <c r="P79" i="6"/>
  <c r="Q71" i="6" s="1"/>
  <c r="J79" i="6"/>
  <c r="N79" i="6"/>
  <c r="L79" i="6"/>
  <c r="Q79" i="5"/>
  <c r="M79" i="3"/>
  <c r="K79" i="3"/>
  <c r="O79" i="3"/>
  <c r="M77" i="4"/>
  <c r="M74" i="4"/>
  <c r="M66" i="4"/>
  <c r="M70" i="4"/>
  <c r="M75" i="4"/>
  <c r="M78" i="4"/>
  <c r="M65" i="4"/>
  <c r="M76" i="4"/>
  <c r="M67" i="4"/>
  <c r="M69" i="4"/>
  <c r="M73" i="4"/>
  <c r="M71" i="4"/>
  <c r="Q79" i="4"/>
  <c r="O79" i="4"/>
  <c r="K79" i="4"/>
  <c r="M79" i="5"/>
  <c r="K79" i="5"/>
  <c r="O79" i="5"/>
  <c r="Q67" i="7"/>
  <c r="Q69" i="7"/>
  <c r="Q75" i="7"/>
  <c r="K71" i="7"/>
  <c r="K69" i="7"/>
  <c r="K77" i="7"/>
  <c r="K67" i="7"/>
  <c r="K72" i="7"/>
  <c r="K70" i="7"/>
  <c r="K66" i="7"/>
  <c r="K74" i="7"/>
  <c r="K75" i="7"/>
  <c r="K76" i="7"/>
  <c r="K65" i="7"/>
  <c r="K78" i="7"/>
  <c r="K73" i="7"/>
  <c r="M71" i="7"/>
  <c r="M78" i="7"/>
  <c r="M77" i="7"/>
  <c r="M66" i="7"/>
  <c r="M65" i="7"/>
  <c r="M67" i="7"/>
  <c r="M69" i="7"/>
  <c r="M70" i="7"/>
  <c r="M73" i="7"/>
  <c r="M74" i="7"/>
  <c r="M75" i="7"/>
  <c r="M72" i="7"/>
  <c r="M76" i="7"/>
  <c r="Q74" i="7"/>
  <c r="Q66" i="7"/>
  <c r="Q70" i="7"/>
  <c r="Q78" i="7"/>
  <c r="Q77" i="7"/>
  <c r="Q76" i="7"/>
  <c r="K68" i="7"/>
  <c r="M68" i="7"/>
  <c r="Q72" i="7"/>
  <c r="Q71" i="7"/>
  <c r="Q73" i="7"/>
  <c r="Q68" i="7"/>
  <c r="N79" i="7"/>
  <c r="O68" i="7" s="1"/>
  <c r="Q69" i="6" l="1"/>
  <c r="Q74" i="6"/>
  <c r="Q67" i="6"/>
  <c r="Q66" i="6"/>
  <c r="Q77" i="6"/>
  <c r="Q76" i="6"/>
  <c r="Q75" i="6"/>
  <c r="Q68" i="6"/>
  <c r="Q70" i="6"/>
  <c r="Q65" i="6"/>
  <c r="Q78" i="6"/>
  <c r="Q72" i="6"/>
  <c r="Q73" i="6"/>
  <c r="K68" i="6"/>
  <c r="K65" i="6"/>
  <c r="K72" i="6"/>
  <c r="K71" i="6"/>
  <c r="K76" i="6"/>
  <c r="K77" i="6"/>
  <c r="K66" i="6"/>
  <c r="K78" i="6"/>
  <c r="K73" i="6"/>
  <c r="K74" i="6"/>
  <c r="K67" i="6"/>
  <c r="K69" i="6"/>
  <c r="K70" i="6"/>
  <c r="K75" i="6"/>
  <c r="M65" i="6"/>
  <c r="M73" i="6"/>
  <c r="M66" i="6"/>
  <c r="M68" i="6"/>
  <c r="M74" i="6"/>
  <c r="M69" i="6"/>
  <c r="M67" i="6"/>
  <c r="M75" i="6"/>
  <c r="M70" i="6"/>
  <c r="M72" i="6"/>
  <c r="M76" i="6"/>
  <c r="M77" i="6"/>
  <c r="M78" i="6"/>
  <c r="M71" i="6"/>
  <c r="O73" i="6"/>
  <c r="O70" i="6"/>
  <c r="O66" i="6"/>
  <c r="O68" i="6"/>
  <c r="O78" i="6"/>
  <c r="O74" i="6"/>
  <c r="O67" i="6"/>
  <c r="O75" i="6"/>
  <c r="O76" i="6"/>
  <c r="O77" i="6"/>
  <c r="O69" i="6"/>
  <c r="O71" i="6"/>
  <c r="O65" i="6"/>
  <c r="O72" i="6"/>
  <c r="M79" i="4"/>
  <c r="Q79" i="7"/>
  <c r="O71" i="7"/>
  <c r="O74" i="7"/>
  <c r="O70" i="7"/>
  <c r="O76" i="7"/>
  <c r="O78" i="7"/>
  <c r="O77" i="7"/>
  <c r="O67" i="7"/>
  <c r="O66" i="7"/>
  <c r="O72" i="7"/>
  <c r="O75" i="7"/>
  <c r="O69" i="7"/>
  <c r="O65" i="7"/>
  <c r="O73" i="7"/>
  <c r="K79" i="7"/>
  <c r="M79" i="7"/>
  <c r="Q79" i="6" l="1"/>
  <c r="M79" i="6"/>
  <c r="O79" i="6"/>
  <c r="K79" i="6"/>
  <c r="O79" i="7"/>
  <c r="M36" i="6" l="1"/>
  <c r="L36" i="6"/>
  <c r="K36" i="6"/>
  <c r="J36" i="6"/>
  <c r="M36" i="7"/>
  <c r="L36" i="7"/>
  <c r="K36" i="7"/>
  <c r="J36" i="7"/>
  <c r="G36" i="8"/>
  <c r="L40" i="3"/>
  <c r="C21" i="3"/>
  <c r="C59" i="3" s="1"/>
  <c r="J33" i="4"/>
  <c r="M21" i="2"/>
  <c r="L21" i="2"/>
  <c r="K21" i="2"/>
  <c r="J21" i="2"/>
  <c r="F21" i="2"/>
  <c r="F59" i="2" s="1"/>
  <c r="E21" i="2"/>
  <c r="E59" i="2" s="1"/>
  <c r="D21" i="2"/>
  <c r="D59" i="2" s="1"/>
  <c r="C21" i="2"/>
  <c r="C59" i="2" s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M21" i="3"/>
  <c r="L21" i="3"/>
  <c r="K21" i="3"/>
  <c r="J21" i="3"/>
  <c r="F21" i="3"/>
  <c r="F59" i="3" s="1"/>
  <c r="E21" i="3"/>
  <c r="E59" i="3" s="1"/>
  <c r="D21" i="3"/>
  <c r="D59" i="3" s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M33" i="4"/>
  <c r="M40" i="4" s="1"/>
  <c r="L33" i="4"/>
  <c r="K33" i="4"/>
  <c r="K29" i="4"/>
  <c r="J29" i="4"/>
  <c r="M21" i="4"/>
  <c r="L21" i="4"/>
  <c r="K21" i="4"/>
  <c r="J21" i="4"/>
  <c r="F21" i="4"/>
  <c r="F59" i="4" s="1"/>
  <c r="E21" i="4"/>
  <c r="E59" i="4" s="1"/>
  <c r="D21" i="4"/>
  <c r="D59" i="4" s="1"/>
  <c r="C21" i="4"/>
  <c r="C59" i="4" s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M29" i="5"/>
  <c r="L29" i="5"/>
  <c r="K29" i="5"/>
  <c r="J29" i="5"/>
  <c r="J40" i="5"/>
  <c r="M33" i="5"/>
  <c r="L33" i="5"/>
  <c r="K33" i="5"/>
  <c r="J33" i="5"/>
  <c r="M29" i="6"/>
  <c r="L29" i="6"/>
  <c r="K29" i="6"/>
  <c r="J29" i="6"/>
  <c r="M33" i="6"/>
  <c r="L33" i="6"/>
  <c r="K33" i="6"/>
  <c r="J33" i="6"/>
  <c r="M29" i="7"/>
  <c r="L29" i="7"/>
  <c r="K29" i="7"/>
  <c r="J29" i="7"/>
  <c r="M33" i="7"/>
  <c r="L33" i="7"/>
  <c r="K33" i="7"/>
  <c r="J33" i="7"/>
  <c r="M21" i="5"/>
  <c r="L21" i="5"/>
  <c r="K21" i="5"/>
  <c r="J21" i="5"/>
  <c r="F21" i="5"/>
  <c r="F59" i="5" s="1"/>
  <c r="E21" i="5"/>
  <c r="E59" i="5" s="1"/>
  <c r="D21" i="5"/>
  <c r="D59" i="5" s="1"/>
  <c r="C21" i="5"/>
  <c r="C59" i="5" s="1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M21" i="6"/>
  <c r="L21" i="6"/>
  <c r="K21" i="6"/>
  <c r="J21" i="6"/>
  <c r="F21" i="6"/>
  <c r="F59" i="6" s="1"/>
  <c r="E21" i="6"/>
  <c r="E59" i="6" s="1"/>
  <c r="D21" i="6"/>
  <c r="D59" i="6" s="1"/>
  <c r="C21" i="6"/>
  <c r="C59" i="6" s="1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D60" i="3" l="1"/>
  <c r="C46" i="3"/>
  <c r="C55" i="3"/>
  <c r="C56" i="3"/>
  <c r="C53" i="3"/>
  <c r="C47" i="3"/>
  <c r="C58" i="3"/>
  <c r="C48" i="3"/>
  <c r="C54" i="3"/>
  <c r="C45" i="3"/>
  <c r="C50" i="3"/>
  <c r="C57" i="3"/>
  <c r="C49" i="3"/>
  <c r="D60" i="4"/>
  <c r="D56" i="4" s="1"/>
  <c r="C55" i="4"/>
  <c r="C57" i="4"/>
  <c r="C48" i="4"/>
  <c r="C46" i="4"/>
  <c r="C49" i="4"/>
  <c r="C45" i="4"/>
  <c r="C47" i="4"/>
  <c r="C56" i="4"/>
  <c r="C58" i="4"/>
  <c r="C54" i="4"/>
  <c r="C50" i="4"/>
  <c r="C53" i="4"/>
  <c r="C51" i="4"/>
  <c r="D60" i="5"/>
  <c r="C53" i="5"/>
  <c r="C54" i="5"/>
  <c r="C55" i="5"/>
  <c r="C47" i="5"/>
  <c r="C46" i="5"/>
  <c r="C51" i="5"/>
  <c r="C57" i="5"/>
  <c r="C50" i="5"/>
  <c r="C48" i="5"/>
  <c r="C58" i="5"/>
  <c r="C56" i="5"/>
  <c r="C45" i="5"/>
  <c r="C49" i="5"/>
  <c r="K40" i="5"/>
  <c r="E60" i="5"/>
  <c r="F60" i="5" s="1"/>
  <c r="L40" i="5"/>
  <c r="D60" i="6"/>
  <c r="C45" i="6"/>
  <c r="C50" i="6"/>
  <c r="C57" i="6"/>
  <c r="C51" i="6"/>
  <c r="C53" i="6"/>
  <c r="C56" i="6"/>
  <c r="C46" i="6"/>
  <c r="C54" i="6"/>
  <c r="C47" i="6"/>
  <c r="C48" i="6"/>
  <c r="C58" i="6"/>
  <c r="C55" i="6"/>
  <c r="C49" i="6"/>
  <c r="E60" i="6"/>
  <c r="F60" i="6"/>
  <c r="L40" i="7"/>
  <c r="J40" i="7"/>
  <c r="K40" i="7"/>
  <c r="M40" i="7"/>
  <c r="J40" i="6"/>
  <c r="M40" i="6"/>
  <c r="L40" i="4"/>
  <c r="C45" i="2"/>
  <c r="C65" i="2" s="1"/>
  <c r="D60" i="2"/>
  <c r="C49" i="2"/>
  <c r="C58" i="2"/>
  <c r="C51" i="2"/>
  <c r="C52" i="2"/>
  <c r="C47" i="2"/>
  <c r="C50" i="2"/>
  <c r="C46" i="2"/>
  <c r="C55" i="2"/>
  <c r="C53" i="2"/>
  <c r="C48" i="2"/>
  <c r="C54" i="2"/>
  <c r="C57" i="2"/>
  <c r="C56" i="2"/>
  <c r="F72" i="4"/>
  <c r="C65" i="4"/>
  <c r="D72" i="4"/>
  <c r="E72" i="4"/>
  <c r="D72" i="3"/>
  <c r="C71" i="3"/>
  <c r="K40" i="6"/>
  <c r="L40" i="6"/>
  <c r="G21" i="2"/>
  <c r="G59" i="2"/>
  <c r="G21" i="3"/>
  <c r="E21" i="10" s="1"/>
  <c r="G21" i="4"/>
  <c r="F21" i="10" s="1"/>
  <c r="C21" i="10" s="1"/>
  <c r="G59" i="4"/>
  <c r="K40" i="4"/>
  <c r="J40" i="4"/>
  <c r="G21" i="5"/>
  <c r="M40" i="5"/>
  <c r="G59" i="5"/>
  <c r="G21" i="6"/>
  <c r="G59" i="6"/>
  <c r="E60" i="4" l="1"/>
  <c r="E56" i="4" s="1"/>
  <c r="D53" i="3"/>
  <c r="D54" i="3"/>
  <c r="D46" i="3"/>
  <c r="D49" i="3"/>
  <c r="D58" i="3"/>
  <c r="D55" i="3"/>
  <c r="D50" i="3"/>
  <c r="E50" i="3" s="1"/>
  <c r="D47" i="3"/>
  <c r="D56" i="3"/>
  <c r="D45" i="3"/>
  <c r="D57" i="3"/>
  <c r="D48" i="3"/>
  <c r="E60" i="3"/>
  <c r="D48" i="4"/>
  <c r="D50" i="4"/>
  <c r="D47" i="4"/>
  <c r="E47" i="4" s="1"/>
  <c r="D53" i="4"/>
  <c r="D46" i="4"/>
  <c r="D45" i="4"/>
  <c r="D51" i="4"/>
  <c r="D49" i="4"/>
  <c r="D58" i="4"/>
  <c r="D54" i="4"/>
  <c r="E54" i="4" s="1"/>
  <c r="D55" i="4"/>
  <c r="D57" i="4"/>
  <c r="D46" i="5"/>
  <c r="E46" i="5" s="1"/>
  <c r="F46" i="5" s="1"/>
  <c r="D57" i="5"/>
  <c r="E57" i="5" s="1"/>
  <c r="F57" i="5" s="1"/>
  <c r="D49" i="5"/>
  <c r="E49" i="5" s="1"/>
  <c r="F49" i="5" s="1"/>
  <c r="D55" i="5"/>
  <c r="E55" i="5" s="1"/>
  <c r="F55" i="5" s="1"/>
  <c r="D45" i="5"/>
  <c r="E45" i="5" s="1"/>
  <c r="F45" i="5" s="1"/>
  <c r="F65" i="5" s="1"/>
  <c r="D58" i="5"/>
  <c r="E58" i="5" s="1"/>
  <c r="F58" i="5" s="1"/>
  <c r="D47" i="5"/>
  <c r="E47" i="5" s="1"/>
  <c r="F47" i="5" s="1"/>
  <c r="F67" i="5" s="1"/>
  <c r="D51" i="5"/>
  <c r="E51" i="5" s="1"/>
  <c r="F51" i="5" s="1"/>
  <c r="D56" i="5"/>
  <c r="E56" i="5" s="1"/>
  <c r="F56" i="5" s="1"/>
  <c r="D53" i="5"/>
  <c r="E53" i="5" s="1"/>
  <c r="F53" i="5" s="1"/>
  <c r="D54" i="5"/>
  <c r="E54" i="5" s="1"/>
  <c r="F54" i="5" s="1"/>
  <c r="D48" i="5"/>
  <c r="E48" i="5" s="1"/>
  <c r="F48" i="5" s="1"/>
  <c r="D50" i="5"/>
  <c r="E50" i="5" s="1"/>
  <c r="F50" i="5" s="1"/>
  <c r="E46" i="6"/>
  <c r="F46" i="6" s="1"/>
  <c r="D50" i="6"/>
  <c r="E50" i="6" s="1"/>
  <c r="F50" i="6" s="1"/>
  <c r="D56" i="6"/>
  <c r="E56" i="6" s="1"/>
  <c r="F56" i="6" s="1"/>
  <c r="D55" i="6"/>
  <c r="E55" i="6" s="1"/>
  <c r="F55" i="6" s="1"/>
  <c r="D45" i="6"/>
  <c r="E45" i="6" s="1"/>
  <c r="F45" i="6" s="1"/>
  <c r="D57" i="6"/>
  <c r="E57" i="6" s="1"/>
  <c r="F57" i="6" s="1"/>
  <c r="D46" i="6"/>
  <c r="D54" i="6"/>
  <c r="E54" i="6" s="1"/>
  <c r="F54" i="6" s="1"/>
  <c r="D47" i="6"/>
  <c r="E47" i="6" s="1"/>
  <c r="F47" i="6" s="1"/>
  <c r="D53" i="6"/>
  <c r="E53" i="6" s="1"/>
  <c r="F53" i="6" s="1"/>
  <c r="D58" i="6"/>
  <c r="E58" i="6" s="1"/>
  <c r="F58" i="6" s="1"/>
  <c r="D51" i="6"/>
  <c r="E51" i="6" s="1"/>
  <c r="F51" i="6" s="1"/>
  <c r="D49" i="6"/>
  <c r="E49" i="6" s="1"/>
  <c r="F49" i="6" s="1"/>
  <c r="D48" i="6"/>
  <c r="E48" i="6" s="1"/>
  <c r="F48" i="6" s="1"/>
  <c r="D71" i="3"/>
  <c r="C72" i="3"/>
  <c r="D51" i="2"/>
  <c r="D45" i="2"/>
  <c r="D52" i="2"/>
  <c r="D53" i="2"/>
  <c r="D46" i="2"/>
  <c r="D54" i="2"/>
  <c r="D48" i="2"/>
  <c r="D49" i="2"/>
  <c r="D57" i="2"/>
  <c r="D50" i="2"/>
  <c r="D58" i="2"/>
  <c r="D47" i="2"/>
  <c r="D55" i="2"/>
  <c r="D56" i="2"/>
  <c r="E60" i="2"/>
  <c r="G52" i="4"/>
  <c r="C72" i="4"/>
  <c r="G72" i="4" s="1"/>
  <c r="F12" i="10" s="1"/>
  <c r="D75" i="4"/>
  <c r="C75" i="5"/>
  <c r="D72" i="6"/>
  <c r="D65" i="5"/>
  <c r="F56" i="4" l="1"/>
  <c r="F76" i="4" s="1"/>
  <c r="E58" i="4"/>
  <c r="F58" i="4" s="1"/>
  <c r="F78" i="4" s="1"/>
  <c r="E49" i="4"/>
  <c r="F49" i="4" s="1"/>
  <c r="F60" i="4"/>
  <c r="E57" i="4"/>
  <c r="E50" i="4"/>
  <c r="F50" i="4" s="1"/>
  <c r="E51" i="4"/>
  <c r="F51" i="4" s="1"/>
  <c r="F71" i="4" s="1"/>
  <c r="E48" i="4"/>
  <c r="F48" i="4" s="1"/>
  <c r="F68" i="4" s="1"/>
  <c r="E45" i="4"/>
  <c r="F54" i="4"/>
  <c r="F74" i="4" s="1"/>
  <c r="E46" i="4"/>
  <c r="F46" i="4" s="1"/>
  <c r="F66" i="4" s="1"/>
  <c r="E55" i="4"/>
  <c r="E53" i="4"/>
  <c r="F53" i="4" s="1"/>
  <c r="E55" i="3"/>
  <c r="E47" i="3"/>
  <c r="E48" i="3"/>
  <c r="E46" i="3"/>
  <c r="F60" i="3"/>
  <c r="F51" i="3" s="1"/>
  <c r="E58" i="3"/>
  <c r="F58" i="3" s="1"/>
  <c r="E49" i="3"/>
  <c r="E57" i="3"/>
  <c r="E45" i="3"/>
  <c r="E54" i="3"/>
  <c r="E56" i="3"/>
  <c r="E53" i="3"/>
  <c r="E65" i="5"/>
  <c r="E67" i="5"/>
  <c r="E51" i="2"/>
  <c r="E71" i="2" s="1"/>
  <c r="E45" i="2"/>
  <c r="E65" i="2" s="1"/>
  <c r="E52" i="2"/>
  <c r="E72" i="2" s="1"/>
  <c r="E53" i="2"/>
  <c r="E73" i="2" s="1"/>
  <c r="E46" i="2"/>
  <c r="E66" i="2" s="1"/>
  <c r="E54" i="2"/>
  <c r="E74" i="2" s="1"/>
  <c r="E48" i="2"/>
  <c r="E68" i="2" s="1"/>
  <c r="E50" i="2"/>
  <c r="E70" i="2" s="1"/>
  <c r="E58" i="2"/>
  <c r="E78" i="2" s="1"/>
  <c r="E47" i="2"/>
  <c r="E67" i="2" s="1"/>
  <c r="E55" i="2"/>
  <c r="E75" i="2" s="1"/>
  <c r="E56" i="2"/>
  <c r="E76" i="2" s="1"/>
  <c r="E49" i="2"/>
  <c r="E69" i="2" s="1"/>
  <c r="E57" i="2"/>
  <c r="E77" i="2" s="1"/>
  <c r="F60" i="2"/>
  <c r="D71" i="2"/>
  <c r="D72" i="2"/>
  <c r="D73" i="2"/>
  <c r="D66" i="2"/>
  <c r="D67" i="2"/>
  <c r="D76" i="2"/>
  <c r="D70" i="2"/>
  <c r="D75" i="2"/>
  <c r="D69" i="2"/>
  <c r="D65" i="2"/>
  <c r="D78" i="2"/>
  <c r="D77" i="2"/>
  <c r="D68" i="2"/>
  <c r="D74" i="2"/>
  <c r="D68" i="4"/>
  <c r="D74" i="4"/>
  <c r="E74" i="4"/>
  <c r="E73" i="4"/>
  <c r="D73" i="4"/>
  <c r="F73" i="4"/>
  <c r="E76" i="4"/>
  <c r="D76" i="4"/>
  <c r="E65" i="4"/>
  <c r="D65" i="4"/>
  <c r="D70" i="4"/>
  <c r="F70" i="4"/>
  <c r="D71" i="4"/>
  <c r="D67" i="4"/>
  <c r="E67" i="4"/>
  <c r="E77" i="4"/>
  <c r="D77" i="4"/>
  <c r="E69" i="4"/>
  <c r="D69" i="4"/>
  <c r="F69" i="4"/>
  <c r="C75" i="4"/>
  <c r="D66" i="4"/>
  <c r="E66" i="4"/>
  <c r="D78" i="4"/>
  <c r="C67" i="5"/>
  <c r="D67" i="5"/>
  <c r="D75" i="5"/>
  <c r="F75" i="5"/>
  <c r="E75" i="5"/>
  <c r="F72" i="6"/>
  <c r="E72" i="6"/>
  <c r="C65" i="5"/>
  <c r="G45" i="5"/>
  <c r="E68" i="5"/>
  <c r="F68" i="5"/>
  <c r="D68" i="5"/>
  <c r="E72" i="5"/>
  <c r="D72" i="5"/>
  <c r="F72" i="5"/>
  <c r="F78" i="5"/>
  <c r="D78" i="5"/>
  <c r="E78" i="5"/>
  <c r="F71" i="5"/>
  <c r="D71" i="5"/>
  <c r="E71" i="5"/>
  <c r="D74" i="5"/>
  <c r="F74" i="5"/>
  <c r="E74" i="5"/>
  <c r="D66" i="5"/>
  <c r="F66" i="5"/>
  <c r="E66" i="5"/>
  <c r="F77" i="5"/>
  <c r="E77" i="5"/>
  <c r="D77" i="5"/>
  <c r="F69" i="5"/>
  <c r="E69" i="5"/>
  <c r="D69" i="5"/>
  <c r="D70" i="5"/>
  <c r="F70" i="5"/>
  <c r="E70" i="5"/>
  <c r="E76" i="5"/>
  <c r="F76" i="5"/>
  <c r="D76" i="5"/>
  <c r="D73" i="5"/>
  <c r="E73" i="5"/>
  <c r="F73" i="5"/>
  <c r="D71" i="6"/>
  <c r="F71" i="6"/>
  <c r="E71" i="6"/>
  <c r="D77" i="6"/>
  <c r="F77" i="6"/>
  <c r="E77" i="6"/>
  <c r="E70" i="6"/>
  <c r="D70" i="6"/>
  <c r="F70" i="6"/>
  <c r="F73" i="6"/>
  <c r="E73" i="6"/>
  <c r="D73" i="6"/>
  <c r="E69" i="6"/>
  <c r="F69" i="6"/>
  <c r="D69" i="6"/>
  <c r="D75" i="6"/>
  <c r="E75" i="6"/>
  <c r="F75" i="6"/>
  <c r="E65" i="6"/>
  <c r="C65" i="6"/>
  <c r="F65" i="6"/>
  <c r="D65" i="6"/>
  <c r="E76" i="6"/>
  <c r="F76" i="6"/>
  <c r="D76" i="6"/>
  <c r="F66" i="6"/>
  <c r="D66" i="6"/>
  <c r="E66" i="6"/>
  <c r="D74" i="6"/>
  <c r="F74" i="6"/>
  <c r="E74" i="6"/>
  <c r="E67" i="6"/>
  <c r="F67" i="6"/>
  <c r="D67" i="6"/>
  <c r="D68" i="6"/>
  <c r="F68" i="6"/>
  <c r="E68" i="6"/>
  <c r="E78" i="6"/>
  <c r="D78" i="6"/>
  <c r="F78" i="6"/>
  <c r="C72" i="6"/>
  <c r="G52" i="6"/>
  <c r="E78" i="4" l="1"/>
  <c r="E71" i="4"/>
  <c r="F55" i="4"/>
  <c r="E75" i="4"/>
  <c r="F57" i="4"/>
  <c r="F77" i="4" s="1"/>
  <c r="E68" i="4"/>
  <c r="E79" i="4" s="1"/>
  <c r="E70" i="4"/>
  <c r="F45" i="4"/>
  <c r="F65" i="4" s="1"/>
  <c r="F47" i="4"/>
  <c r="F67" i="4" s="1"/>
  <c r="F49" i="3"/>
  <c r="F52" i="3"/>
  <c r="F72" i="3" s="1"/>
  <c r="F53" i="3"/>
  <c r="F46" i="3"/>
  <c r="F56" i="3"/>
  <c r="F48" i="3"/>
  <c r="F54" i="3"/>
  <c r="F74" i="3" s="1"/>
  <c r="F47" i="3"/>
  <c r="F45" i="3"/>
  <c r="F55" i="3"/>
  <c r="F57" i="3"/>
  <c r="F50" i="3"/>
  <c r="F66" i="3"/>
  <c r="F75" i="3"/>
  <c r="F67" i="3"/>
  <c r="F69" i="3"/>
  <c r="F65" i="3"/>
  <c r="F49" i="2"/>
  <c r="F69" i="2" s="1"/>
  <c r="F57" i="2"/>
  <c r="F77" i="2" s="1"/>
  <c r="F50" i="2"/>
  <c r="F70" i="2" s="1"/>
  <c r="F58" i="2"/>
  <c r="F78" i="2" s="1"/>
  <c r="F51" i="2"/>
  <c r="F71" i="2" s="1"/>
  <c r="F45" i="2"/>
  <c r="F65" i="2" s="1"/>
  <c r="F52" i="2"/>
  <c r="F72" i="2" s="1"/>
  <c r="F55" i="2"/>
  <c r="F75" i="2" s="1"/>
  <c r="F48" i="2"/>
  <c r="F68" i="2" s="1"/>
  <c r="F56" i="2"/>
  <c r="F76" i="2" s="1"/>
  <c r="F53" i="2"/>
  <c r="F73" i="2" s="1"/>
  <c r="F46" i="2"/>
  <c r="F66" i="2" s="1"/>
  <c r="F54" i="2"/>
  <c r="F74" i="2" s="1"/>
  <c r="F47" i="2"/>
  <c r="F67" i="2" s="1"/>
  <c r="E72" i="3"/>
  <c r="G52" i="3"/>
  <c r="E65" i="3"/>
  <c r="D65" i="3"/>
  <c r="C65" i="3"/>
  <c r="C72" i="2"/>
  <c r="C68" i="2"/>
  <c r="C78" i="2"/>
  <c r="C69" i="2"/>
  <c r="C70" i="2"/>
  <c r="C67" i="2"/>
  <c r="D79" i="2"/>
  <c r="C71" i="2"/>
  <c r="C74" i="2"/>
  <c r="C77" i="2"/>
  <c r="C75" i="2"/>
  <c r="E79" i="2"/>
  <c r="C76" i="2"/>
  <c r="C66" i="2"/>
  <c r="C73" i="2"/>
  <c r="D75" i="3"/>
  <c r="E75" i="3"/>
  <c r="D74" i="3"/>
  <c r="E74" i="3"/>
  <c r="D68" i="3"/>
  <c r="E68" i="3"/>
  <c r="F68" i="3"/>
  <c r="E70" i="3"/>
  <c r="D70" i="3"/>
  <c r="F70" i="3"/>
  <c r="D73" i="3"/>
  <c r="F73" i="3"/>
  <c r="E73" i="3"/>
  <c r="D69" i="3"/>
  <c r="E69" i="3"/>
  <c r="D76" i="3"/>
  <c r="F76" i="3"/>
  <c r="E76" i="3"/>
  <c r="D77" i="3"/>
  <c r="F77" i="3"/>
  <c r="E77" i="3"/>
  <c r="F78" i="3"/>
  <c r="E78" i="3"/>
  <c r="D78" i="3"/>
  <c r="D66" i="3"/>
  <c r="E66" i="3"/>
  <c r="E67" i="3"/>
  <c r="D67" i="3"/>
  <c r="F71" i="3"/>
  <c r="G48" i="4"/>
  <c r="C68" i="4"/>
  <c r="G68" i="4" s="1"/>
  <c r="F8" i="10" s="1"/>
  <c r="G54" i="4"/>
  <c r="C74" i="4"/>
  <c r="G74" i="4" s="1"/>
  <c r="F14" i="10" s="1"/>
  <c r="C78" i="4"/>
  <c r="G78" i="4" s="1"/>
  <c r="F18" i="10" s="1"/>
  <c r="G58" i="4"/>
  <c r="C77" i="4"/>
  <c r="C71" i="4"/>
  <c r="G71" i="4" s="1"/>
  <c r="F11" i="10" s="1"/>
  <c r="G51" i="4"/>
  <c r="C73" i="4"/>
  <c r="G73" i="4" s="1"/>
  <c r="F13" i="10" s="1"/>
  <c r="G53" i="4"/>
  <c r="C69" i="4"/>
  <c r="G69" i="4" s="1"/>
  <c r="F9" i="10" s="1"/>
  <c r="G49" i="4"/>
  <c r="C70" i="4"/>
  <c r="G50" i="4"/>
  <c r="C76" i="4"/>
  <c r="G76" i="4" s="1"/>
  <c r="F16" i="10" s="1"/>
  <c r="G56" i="4"/>
  <c r="C67" i="4"/>
  <c r="G67" i="4" s="1"/>
  <c r="F7" i="10" s="1"/>
  <c r="G47" i="4"/>
  <c r="D79" i="4"/>
  <c r="C66" i="4"/>
  <c r="G66" i="4" s="1"/>
  <c r="F6" i="10" s="1"/>
  <c r="G46" i="4"/>
  <c r="G45" i="4"/>
  <c r="G67" i="5"/>
  <c r="G7" i="10" s="1"/>
  <c r="G75" i="5"/>
  <c r="G15" i="10" s="1"/>
  <c r="G55" i="5"/>
  <c r="G47" i="5"/>
  <c r="E79" i="5"/>
  <c r="D79" i="5"/>
  <c r="F79" i="5"/>
  <c r="G72" i="6"/>
  <c r="H12" i="10" s="1"/>
  <c r="G49" i="5"/>
  <c r="C69" i="5"/>
  <c r="G69" i="5" s="1"/>
  <c r="G9" i="10" s="1"/>
  <c r="G50" i="5"/>
  <c r="C70" i="5"/>
  <c r="G70" i="5" s="1"/>
  <c r="G10" i="10" s="1"/>
  <c r="G65" i="5"/>
  <c r="G5" i="10" s="1"/>
  <c r="C74" i="5"/>
  <c r="G74" i="5" s="1"/>
  <c r="G14" i="10" s="1"/>
  <c r="G54" i="5"/>
  <c r="G51" i="5"/>
  <c r="C71" i="5"/>
  <c r="G71" i="5" s="1"/>
  <c r="G11" i="10" s="1"/>
  <c r="C76" i="5"/>
  <c r="G76" i="5" s="1"/>
  <c r="G16" i="10" s="1"/>
  <c r="G56" i="5"/>
  <c r="G57" i="5"/>
  <c r="C77" i="5"/>
  <c r="G77" i="5" s="1"/>
  <c r="G17" i="10" s="1"/>
  <c r="G52" i="5"/>
  <c r="C72" i="5"/>
  <c r="G72" i="5" s="1"/>
  <c r="G12" i="10" s="1"/>
  <c r="C68" i="5"/>
  <c r="G68" i="5" s="1"/>
  <c r="G8" i="10" s="1"/>
  <c r="G48" i="5"/>
  <c r="C73" i="5"/>
  <c r="G73" i="5" s="1"/>
  <c r="G13" i="10" s="1"/>
  <c r="G53" i="5"/>
  <c r="G46" i="5"/>
  <c r="C66" i="5"/>
  <c r="G66" i="5" s="1"/>
  <c r="G6" i="10" s="1"/>
  <c r="C78" i="5"/>
  <c r="G78" i="5" s="1"/>
  <c r="G18" i="10" s="1"/>
  <c r="G58" i="5"/>
  <c r="E79" i="6"/>
  <c r="G53" i="6"/>
  <c r="C73" i="6"/>
  <c r="G73" i="6" s="1"/>
  <c r="H13" i="10" s="1"/>
  <c r="C68" i="6"/>
  <c r="G68" i="6" s="1"/>
  <c r="H8" i="10" s="1"/>
  <c r="G48" i="6"/>
  <c r="C75" i="6"/>
  <c r="G75" i="6" s="1"/>
  <c r="H15" i="10" s="1"/>
  <c r="G55" i="6"/>
  <c r="C71" i="6"/>
  <c r="G71" i="6" s="1"/>
  <c r="H11" i="10" s="1"/>
  <c r="G51" i="6"/>
  <c r="C76" i="6"/>
  <c r="G76" i="6" s="1"/>
  <c r="H16" i="10" s="1"/>
  <c r="G56" i="6"/>
  <c r="C78" i="6"/>
  <c r="G78" i="6" s="1"/>
  <c r="H18" i="10" s="1"/>
  <c r="G58" i="6"/>
  <c r="C67" i="6"/>
  <c r="G67" i="6" s="1"/>
  <c r="H7" i="10" s="1"/>
  <c r="G47" i="6"/>
  <c r="D79" i="6"/>
  <c r="G57" i="6"/>
  <c r="C77" i="6"/>
  <c r="G77" i="6" s="1"/>
  <c r="H17" i="10" s="1"/>
  <c r="F79" i="6"/>
  <c r="C70" i="6"/>
  <c r="G70" i="6" s="1"/>
  <c r="H10" i="10" s="1"/>
  <c r="G50" i="6"/>
  <c r="G54" i="6"/>
  <c r="C74" i="6"/>
  <c r="G74" i="6" s="1"/>
  <c r="H14" i="10" s="1"/>
  <c r="G46" i="6"/>
  <c r="C66" i="6"/>
  <c r="G66" i="6" s="1"/>
  <c r="H6" i="10" s="1"/>
  <c r="G45" i="6"/>
  <c r="G49" i="6"/>
  <c r="C69" i="6"/>
  <c r="G69" i="6" s="1"/>
  <c r="H9" i="10" s="1"/>
  <c r="G70" i="4" l="1"/>
  <c r="F10" i="10" s="1"/>
  <c r="G57" i="4"/>
  <c r="G77" i="4"/>
  <c r="F17" i="10" s="1"/>
  <c r="F75" i="4"/>
  <c r="F79" i="4" s="1"/>
  <c r="G55" i="4"/>
  <c r="G19" i="10"/>
  <c r="G54" i="2"/>
  <c r="G49" i="2"/>
  <c r="G53" i="2"/>
  <c r="G46" i="2"/>
  <c r="G70" i="2"/>
  <c r="D10" i="10" s="1"/>
  <c r="G50" i="2"/>
  <c r="G69" i="2"/>
  <c r="D9" i="10" s="1"/>
  <c r="G66" i="2"/>
  <c r="D6" i="10" s="1"/>
  <c r="G68" i="2"/>
  <c r="D8" i="10" s="1"/>
  <c r="G57" i="2"/>
  <c r="G73" i="2"/>
  <c r="D13" i="10" s="1"/>
  <c r="G48" i="2"/>
  <c r="G56" i="2"/>
  <c r="G76" i="2"/>
  <c r="D16" i="10" s="1"/>
  <c r="G52" i="2"/>
  <c r="G72" i="2"/>
  <c r="D12" i="10" s="1"/>
  <c r="G77" i="2"/>
  <c r="D17" i="10" s="1"/>
  <c r="G72" i="3"/>
  <c r="E12" i="10" s="1"/>
  <c r="G55" i="2"/>
  <c r="G75" i="2"/>
  <c r="D15" i="10" s="1"/>
  <c r="F79" i="2"/>
  <c r="G58" i="2"/>
  <c r="G78" i="2"/>
  <c r="D18" i="10" s="1"/>
  <c r="G47" i="2"/>
  <c r="G67" i="2"/>
  <c r="D7" i="10" s="1"/>
  <c r="G45" i="2"/>
  <c r="G74" i="2"/>
  <c r="D14" i="10" s="1"/>
  <c r="G71" i="2"/>
  <c r="D11" i="10" s="1"/>
  <c r="G51" i="2"/>
  <c r="F79" i="3"/>
  <c r="C79" i="2"/>
  <c r="G79" i="2" s="1"/>
  <c r="G65" i="2"/>
  <c r="D5" i="10" s="1"/>
  <c r="D79" i="3"/>
  <c r="E79" i="3"/>
  <c r="G51" i="3"/>
  <c r="G71" i="3"/>
  <c r="E11" i="10" s="1"/>
  <c r="C79" i="4"/>
  <c r="G79" i="4" s="1"/>
  <c r="G65" i="4"/>
  <c r="F5" i="10" s="1"/>
  <c r="C79" i="5"/>
  <c r="G79" i="5" s="1"/>
  <c r="C79" i="6"/>
  <c r="G79" i="6" s="1"/>
  <c r="G65" i="6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4" i="8"/>
  <c r="J37" i="8"/>
  <c r="G56" i="8" s="1"/>
  <c r="G29" i="8"/>
  <c r="J36" i="8"/>
  <c r="I36" i="8"/>
  <c r="H36" i="8"/>
  <c r="G36" i="9"/>
  <c r="G75" i="4" l="1"/>
  <c r="F15" i="10" s="1"/>
  <c r="F19" i="10" s="1"/>
  <c r="G55" i="8"/>
  <c r="G48" i="8"/>
  <c r="H5" i="10"/>
  <c r="J29" i="8"/>
  <c r="I29" i="8"/>
  <c r="H29" i="8"/>
  <c r="J33" i="8"/>
  <c r="I33" i="8"/>
  <c r="H33" i="8"/>
  <c r="G33" i="8"/>
  <c r="G59" i="8" l="1"/>
  <c r="G52" i="8"/>
  <c r="G40" i="8"/>
  <c r="H40" i="8"/>
  <c r="I40" i="8"/>
  <c r="J40" i="8"/>
  <c r="H53" i="8" l="1"/>
  <c r="H49" i="8"/>
  <c r="H45" i="8"/>
  <c r="H59" i="8" s="1"/>
  <c r="H51" i="8"/>
  <c r="H46" i="8"/>
  <c r="H54" i="8"/>
  <c r="H57" i="8"/>
  <c r="H50" i="8"/>
  <c r="H47" i="8"/>
  <c r="H58" i="8"/>
  <c r="H56" i="8"/>
  <c r="H52" i="8"/>
  <c r="H55" i="8"/>
  <c r="H48" i="8"/>
  <c r="K36" i="1"/>
  <c r="J36" i="1"/>
  <c r="I36" i="1"/>
  <c r="L36" i="1" s="1"/>
  <c r="C21" i="1"/>
  <c r="E21" i="1"/>
  <c r="E40" i="1"/>
  <c r="L27" i="1"/>
  <c r="L28" i="1"/>
  <c r="L30" i="1"/>
  <c r="L31" i="1"/>
  <c r="L34" i="1"/>
  <c r="L35" i="1"/>
  <c r="L37" i="1"/>
  <c r="L38" i="1"/>
  <c r="L39" i="1"/>
  <c r="L26" i="1"/>
  <c r="K33" i="1"/>
  <c r="K29" i="1"/>
  <c r="K40" i="1" s="1"/>
  <c r="J33" i="1"/>
  <c r="J40" i="1" s="1"/>
  <c r="I33" i="1"/>
  <c r="L33" i="1" s="1"/>
  <c r="I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I40" i="1" l="1"/>
  <c r="L29" i="1"/>
  <c r="L40" i="1" s="1"/>
  <c r="M26" i="1" s="1"/>
  <c r="C26" i="1" l="1"/>
  <c r="C45" i="1" s="1"/>
  <c r="E26" i="1"/>
  <c r="E45" i="1" s="1"/>
  <c r="G21" i="9" l="1"/>
  <c r="J33" i="9"/>
  <c r="I33" i="9"/>
  <c r="H33" i="9"/>
  <c r="G33" i="9"/>
  <c r="K27" i="9"/>
  <c r="K28" i="9"/>
  <c r="K30" i="9"/>
  <c r="K31" i="9"/>
  <c r="K34" i="9"/>
  <c r="K35" i="9"/>
  <c r="K37" i="9"/>
  <c r="K38" i="9"/>
  <c r="K39" i="9"/>
  <c r="K26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4" i="9"/>
  <c r="J36" i="9"/>
  <c r="K36" i="9" s="1"/>
  <c r="I36" i="9"/>
  <c r="H36" i="9"/>
  <c r="K33" i="9" l="1"/>
  <c r="J29" i="9" l="1"/>
  <c r="J40" i="9" s="1"/>
  <c r="I29" i="9"/>
  <c r="I40" i="9" s="1"/>
  <c r="H29" i="9"/>
  <c r="H40" i="9" s="1"/>
  <c r="G29" i="9"/>
  <c r="K29" i="9" l="1"/>
  <c r="G40" i="9"/>
  <c r="J21" i="9" l="1"/>
  <c r="I21" i="9"/>
  <c r="H21" i="9"/>
  <c r="C21" i="9"/>
  <c r="C40" i="9" s="1"/>
  <c r="D21" i="9"/>
  <c r="D40" i="9" l="1"/>
  <c r="C32" i="9"/>
  <c r="K40" i="9"/>
  <c r="L40" i="9" s="1"/>
  <c r="D32" i="9" l="1"/>
  <c r="C51" i="9"/>
  <c r="L27" i="9"/>
  <c r="C27" i="9" s="1"/>
  <c r="L35" i="9"/>
  <c r="C35" i="9" s="1"/>
  <c r="L28" i="9"/>
  <c r="C28" i="9" s="1"/>
  <c r="L36" i="9"/>
  <c r="C36" i="9" s="1"/>
  <c r="L26" i="9"/>
  <c r="C26" i="9" s="1"/>
  <c r="L29" i="9"/>
  <c r="C29" i="9" s="1"/>
  <c r="L37" i="9"/>
  <c r="C37" i="9" s="1"/>
  <c r="L34" i="9"/>
  <c r="C34" i="9" s="1"/>
  <c r="L30" i="9"/>
  <c r="C30" i="9" s="1"/>
  <c r="L38" i="9"/>
  <c r="C38" i="9" s="1"/>
  <c r="L31" i="9"/>
  <c r="C31" i="9" s="1"/>
  <c r="L39" i="9"/>
  <c r="C39" i="9" s="1"/>
  <c r="L33" i="9"/>
  <c r="C33" i="9" s="1"/>
  <c r="D51" i="9"/>
  <c r="K11" i="10" s="1"/>
  <c r="C58" i="9" l="1"/>
  <c r="D58" i="9" s="1"/>
  <c r="K18" i="10" s="1"/>
  <c r="D39" i="9"/>
  <c r="C50" i="9"/>
  <c r="D50" i="9" s="1"/>
  <c r="K10" i="10" s="1"/>
  <c r="D31" i="9"/>
  <c r="C48" i="9"/>
  <c r="D48" i="9" s="1"/>
  <c r="K8" i="10" s="1"/>
  <c r="D29" i="9"/>
  <c r="D38" i="9"/>
  <c r="C57" i="9"/>
  <c r="D57" i="9" s="1"/>
  <c r="K17" i="10" s="1"/>
  <c r="D26" i="9"/>
  <c r="C45" i="9"/>
  <c r="D45" i="9" s="1"/>
  <c r="K5" i="10" s="1"/>
  <c r="D37" i="9"/>
  <c r="C56" i="9"/>
  <c r="D56" i="9" s="1"/>
  <c r="K16" i="10" s="1"/>
  <c r="C49" i="9"/>
  <c r="D49" i="9" s="1"/>
  <c r="K9" i="10" s="1"/>
  <c r="D30" i="9"/>
  <c r="C55" i="9"/>
  <c r="D55" i="9" s="1"/>
  <c r="K15" i="10" s="1"/>
  <c r="D36" i="9"/>
  <c r="C47" i="9"/>
  <c r="D47" i="9" s="1"/>
  <c r="K7" i="10" s="1"/>
  <c r="D28" i="9"/>
  <c r="C53" i="9"/>
  <c r="D53" i="9" s="1"/>
  <c r="K13" i="10" s="1"/>
  <c r="D34" i="9"/>
  <c r="C54" i="9"/>
  <c r="D54" i="9" s="1"/>
  <c r="K14" i="10" s="1"/>
  <c r="D35" i="9"/>
  <c r="C52" i="9"/>
  <c r="D52" i="9" s="1"/>
  <c r="K12" i="10" s="1"/>
  <c r="D33" i="9"/>
  <c r="C46" i="9"/>
  <c r="D46" i="9" s="1"/>
  <c r="K6" i="10" s="1"/>
  <c r="D27" i="9"/>
  <c r="K19" i="10" l="1"/>
  <c r="C59" i="9"/>
  <c r="D59" i="9" s="1"/>
  <c r="M21" i="7"/>
  <c r="L21" i="7"/>
  <c r="K21" i="7"/>
  <c r="J21" i="7"/>
  <c r="F21" i="7"/>
  <c r="F59" i="7" s="1"/>
  <c r="E21" i="7"/>
  <c r="E59" i="7" s="1"/>
  <c r="D21" i="7"/>
  <c r="D59" i="7" s="1"/>
  <c r="C21" i="7"/>
  <c r="C59" i="7" s="1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J21" i="8"/>
  <c r="I21" i="8"/>
  <c r="H21" i="8"/>
  <c r="G21" i="8"/>
  <c r="C21" i="8"/>
  <c r="K21" i="1"/>
  <c r="I21" i="1"/>
  <c r="D21" i="1"/>
  <c r="C45" i="8" l="1"/>
  <c r="C53" i="8"/>
  <c r="C54" i="8"/>
  <c r="C51" i="8"/>
  <c r="C48" i="8"/>
  <c r="C56" i="8"/>
  <c r="C50" i="8"/>
  <c r="C55" i="8"/>
  <c r="C58" i="8"/>
  <c r="C46" i="8"/>
  <c r="C49" i="8"/>
  <c r="C57" i="8"/>
  <c r="C52" i="8"/>
  <c r="C47" i="8"/>
  <c r="D60" i="7"/>
  <c r="C47" i="7"/>
  <c r="C58" i="7"/>
  <c r="C57" i="7"/>
  <c r="C50" i="7"/>
  <c r="C51" i="7"/>
  <c r="D51" i="7" s="1"/>
  <c r="C48" i="7"/>
  <c r="C46" i="7"/>
  <c r="C49" i="7"/>
  <c r="C53" i="7"/>
  <c r="C45" i="7"/>
  <c r="D45" i="7" s="1"/>
  <c r="C56" i="7"/>
  <c r="C54" i="7"/>
  <c r="D54" i="7" s="1"/>
  <c r="C55" i="7"/>
  <c r="D65" i="7"/>
  <c r="D71" i="7"/>
  <c r="G21" i="7"/>
  <c r="D21" i="8"/>
  <c r="D40" i="1"/>
  <c r="D26" i="1" s="1"/>
  <c r="D45" i="1"/>
  <c r="F45" i="1" s="1"/>
  <c r="L5" i="10" s="1"/>
  <c r="M28" i="1"/>
  <c r="M27" i="1"/>
  <c r="M39" i="1"/>
  <c r="M35" i="1"/>
  <c r="M38" i="1"/>
  <c r="M34" i="1"/>
  <c r="M33" i="1"/>
  <c r="M31" i="1"/>
  <c r="M32" i="1"/>
  <c r="M30" i="1"/>
  <c r="M29" i="1"/>
  <c r="M37" i="1"/>
  <c r="M36" i="1"/>
  <c r="E60" i="7" l="1"/>
  <c r="D57" i="7"/>
  <c r="D56" i="7"/>
  <c r="D76" i="7" s="1"/>
  <c r="D49" i="7"/>
  <c r="D69" i="7" s="1"/>
  <c r="D50" i="7"/>
  <c r="D70" i="7" s="1"/>
  <c r="D58" i="7"/>
  <c r="D78" i="7" s="1"/>
  <c r="D46" i="7"/>
  <c r="D66" i="7" s="1"/>
  <c r="D53" i="7"/>
  <c r="D73" i="7" s="1"/>
  <c r="D55" i="7"/>
  <c r="D48" i="7"/>
  <c r="D47" i="7"/>
  <c r="D67" i="7" s="1"/>
  <c r="D74" i="7"/>
  <c r="D75" i="7"/>
  <c r="E72" i="7"/>
  <c r="D72" i="7"/>
  <c r="D77" i="7"/>
  <c r="F72" i="7"/>
  <c r="C36" i="1"/>
  <c r="D36" i="1"/>
  <c r="D55" i="1" s="1"/>
  <c r="E36" i="1"/>
  <c r="E55" i="1" s="1"/>
  <c r="C37" i="1"/>
  <c r="D37" i="1"/>
  <c r="D56" i="1" s="1"/>
  <c r="E37" i="1"/>
  <c r="E56" i="1" s="1"/>
  <c r="C38" i="1"/>
  <c r="E38" i="1"/>
  <c r="E57" i="1" s="1"/>
  <c r="D38" i="1"/>
  <c r="D57" i="1" s="1"/>
  <c r="E32" i="1"/>
  <c r="E51" i="1" s="1"/>
  <c r="D32" i="1"/>
  <c r="D51" i="1" s="1"/>
  <c r="C32" i="1"/>
  <c r="E31" i="1"/>
  <c r="E50" i="1" s="1"/>
  <c r="C31" i="1"/>
  <c r="D31" i="1"/>
  <c r="C35" i="1"/>
  <c r="D35" i="1"/>
  <c r="D54" i="1" s="1"/>
  <c r="E35" i="1"/>
  <c r="E54" i="1" s="1"/>
  <c r="C34" i="1"/>
  <c r="D34" i="1"/>
  <c r="D53" i="1" s="1"/>
  <c r="E34" i="1"/>
  <c r="E53" i="1" s="1"/>
  <c r="E39" i="1"/>
  <c r="E58" i="1" s="1"/>
  <c r="D39" i="1"/>
  <c r="C39" i="1"/>
  <c r="C28" i="1"/>
  <c r="D28" i="1"/>
  <c r="D47" i="1" s="1"/>
  <c r="E28" i="1"/>
  <c r="E47" i="1" s="1"/>
  <c r="D33" i="1"/>
  <c r="D52" i="1" s="1"/>
  <c r="E33" i="1"/>
  <c r="E52" i="1" s="1"/>
  <c r="C33" i="1"/>
  <c r="C29" i="1"/>
  <c r="D29" i="1"/>
  <c r="D48" i="1" s="1"/>
  <c r="E29" i="1"/>
  <c r="E48" i="1" s="1"/>
  <c r="E30" i="1"/>
  <c r="E49" i="1" s="1"/>
  <c r="C30" i="1"/>
  <c r="D30" i="1"/>
  <c r="D49" i="1" s="1"/>
  <c r="C27" i="1"/>
  <c r="D27" i="1"/>
  <c r="D46" i="1" s="1"/>
  <c r="E27" i="1"/>
  <c r="M40" i="1"/>
  <c r="F26" i="1"/>
  <c r="D58" i="1"/>
  <c r="D50" i="1"/>
  <c r="F38" i="1"/>
  <c r="E46" i="1"/>
  <c r="E48" i="7" l="1"/>
  <c r="D68" i="7"/>
  <c r="E47" i="7"/>
  <c r="E53" i="7"/>
  <c r="E45" i="7"/>
  <c r="E55" i="7"/>
  <c r="E50" i="7"/>
  <c r="E57" i="7"/>
  <c r="E46" i="7"/>
  <c r="E56" i="7"/>
  <c r="E58" i="7"/>
  <c r="E54" i="7"/>
  <c r="E51" i="7"/>
  <c r="E49" i="7"/>
  <c r="F60" i="7"/>
  <c r="F34" i="1"/>
  <c r="D79" i="7"/>
  <c r="F37" i="1"/>
  <c r="F31" i="1"/>
  <c r="E59" i="1"/>
  <c r="F32" i="1"/>
  <c r="F35" i="1"/>
  <c r="F29" i="1"/>
  <c r="F40" i="1"/>
  <c r="F39" i="1"/>
  <c r="F30" i="1"/>
  <c r="F36" i="1"/>
  <c r="F28" i="1"/>
  <c r="D59" i="1"/>
  <c r="F27" i="1"/>
  <c r="F33" i="1"/>
  <c r="C58" i="1"/>
  <c r="F58" i="1" s="1"/>
  <c r="L18" i="10" s="1"/>
  <c r="C50" i="1"/>
  <c r="F50" i="1" s="1"/>
  <c r="L10" i="10" s="1"/>
  <c r="C51" i="1"/>
  <c r="F51" i="1" s="1"/>
  <c r="L11" i="10" s="1"/>
  <c r="C52" i="1"/>
  <c r="F52" i="1" s="1"/>
  <c r="L12" i="10" s="1"/>
  <c r="C46" i="1"/>
  <c r="C53" i="1"/>
  <c r="F53" i="1" s="1"/>
  <c r="L13" i="10" s="1"/>
  <c r="C55" i="1"/>
  <c r="F55" i="1" s="1"/>
  <c r="L15" i="10" s="1"/>
  <c r="C57" i="1"/>
  <c r="F57" i="1" s="1"/>
  <c r="L17" i="10" s="1"/>
  <c r="C48" i="1"/>
  <c r="F48" i="1" s="1"/>
  <c r="L8" i="10" s="1"/>
  <c r="C56" i="1"/>
  <c r="F56" i="1" s="1"/>
  <c r="L16" i="10" s="1"/>
  <c r="C47" i="1"/>
  <c r="F47" i="1" s="1"/>
  <c r="L7" i="10" s="1"/>
  <c r="C49" i="1"/>
  <c r="F49" i="1" s="1"/>
  <c r="L9" i="10" s="1"/>
  <c r="C54" i="1"/>
  <c r="F54" i="1" s="1"/>
  <c r="L14" i="10" s="1"/>
  <c r="F50" i="7" l="1"/>
  <c r="F70" i="7" s="1"/>
  <c r="E70" i="7"/>
  <c r="F57" i="7"/>
  <c r="F77" i="7" s="1"/>
  <c r="E77" i="7"/>
  <c r="F45" i="7"/>
  <c r="F65" i="7" s="1"/>
  <c r="E65" i="7"/>
  <c r="F55" i="7"/>
  <c r="F75" i="7" s="1"/>
  <c r="E75" i="7"/>
  <c r="F54" i="7"/>
  <c r="F74" i="7" s="1"/>
  <c r="E74" i="7"/>
  <c r="F53" i="7"/>
  <c r="F73" i="7" s="1"/>
  <c r="E73" i="7"/>
  <c r="F49" i="7"/>
  <c r="F69" i="7" s="1"/>
  <c r="E69" i="7"/>
  <c r="F51" i="7"/>
  <c r="F71" i="7" s="1"/>
  <c r="E71" i="7"/>
  <c r="F58" i="7"/>
  <c r="F78" i="7" s="1"/>
  <c r="E78" i="7"/>
  <c r="F47" i="7"/>
  <c r="F67" i="7" s="1"/>
  <c r="E67" i="7"/>
  <c r="F56" i="7"/>
  <c r="F76" i="7" s="1"/>
  <c r="E76" i="7"/>
  <c r="F46" i="7"/>
  <c r="F66" i="7" s="1"/>
  <c r="E66" i="7"/>
  <c r="F48" i="7"/>
  <c r="F68" i="7" s="1"/>
  <c r="E68" i="7"/>
  <c r="F46" i="1"/>
  <c r="L6" i="10" s="1"/>
  <c r="C59" i="1"/>
  <c r="F59" i="1" s="1"/>
  <c r="C71" i="8"/>
  <c r="D71" i="8" s="1"/>
  <c r="J12" i="10" s="1"/>
  <c r="C12" i="10" s="1"/>
  <c r="C13" i="12" s="1"/>
  <c r="C66" i="8"/>
  <c r="D66" i="8" s="1"/>
  <c r="J7" i="10" s="1"/>
  <c r="C68" i="8"/>
  <c r="D68" i="8" s="1"/>
  <c r="J9" i="10" s="1"/>
  <c r="C67" i="8"/>
  <c r="D67" i="8" s="1"/>
  <c r="J8" i="10" s="1"/>
  <c r="C72" i="8"/>
  <c r="D72" i="8" s="1"/>
  <c r="J13" i="10" s="1"/>
  <c r="C75" i="8"/>
  <c r="D75" i="8" s="1"/>
  <c r="J16" i="10" s="1"/>
  <c r="D55" i="8"/>
  <c r="C77" i="8"/>
  <c r="D77" i="8" s="1"/>
  <c r="J18" i="10" s="1"/>
  <c r="D47" i="8"/>
  <c r="D46" i="8"/>
  <c r="D53" i="8"/>
  <c r="D52" i="8"/>
  <c r="D50" i="8"/>
  <c r="C69" i="8"/>
  <c r="D69" i="8" s="1"/>
  <c r="J10" i="10" s="1"/>
  <c r="C65" i="8"/>
  <c r="D65" i="8" s="1"/>
  <c r="J6" i="10" s="1"/>
  <c r="D45" i="8"/>
  <c r="D57" i="8"/>
  <c r="C73" i="8"/>
  <c r="D73" i="8" s="1"/>
  <c r="J14" i="10" s="1"/>
  <c r="D56" i="8"/>
  <c r="D58" i="8"/>
  <c r="D51" i="8"/>
  <c r="C70" i="8"/>
  <c r="D70" i="8" s="1"/>
  <c r="J11" i="10" s="1"/>
  <c r="C11" i="10" s="1"/>
  <c r="C12" i="12" s="1"/>
  <c r="C76" i="8"/>
  <c r="D76" i="8" s="1"/>
  <c r="J17" i="10" s="1"/>
  <c r="C74" i="8"/>
  <c r="D74" i="8" s="1"/>
  <c r="J15" i="10" s="1"/>
  <c r="D48" i="8"/>
  <c r="D49" i="8"/>
  <c r="D54" i="8"/>
  <c r="D59" i="8"/>
  <c r="L19" i="10" l="1"/>
  <c r="F79" i="7"/>
  <c r="E79" i="7"/>
  <c r="C64" i="8"/>
  <c r="C78" i="8" s="1"/>
  <c r="D64" i="8" l="1"/>
  <c r="J5" i="10" s="1"/>
  <c r="D78" i="8"/>
  <c r="G45" i="3"/>
  <c r="G49" i="3"/>
  <c r="C73" i="3"/>
  <c r="G73" i="3" s="1"/>
  <c r="E13" i="10" s="1"/>
  <c r="C13" i="10" s="1"/>
  <c r="C14" i="12" s="1"/>
  <c r="C76" i="3"/>
  <c r="G76" i="3" s="1"/>
  <c r="E16" i="10" s="1"/>
  <c r="C16" i="10" s="1"/>
  <c r="C17" i="12" s="1"/>
  <c r="G59" i="3"/>
  <c r="J19" i="10" l="1"/>
  <c r="G53" i="3"/>
  <c r="G47" i="3"/>
  <c r="C67" i="3"/>
  <c r="G67" i="3" s="1"/>
  <c r="E7" i="10" s="1"/>
  <c r="C7" i="10" s="1"/>
  <c r="C8" i="12" s="1"/>
  <c r="G54" i="3"/>
  <c r="C74" i="3"/>
  <c r="G74" i="3" s="1"/>
  <c r="E14" i="10" s="1"/>
  <c r="C14" i="10" s="1"/>
  <c r="C15" i="12" s="1"/>
  <c r="C66" i="3"/>
  <c r="G58" i="3"/>
  <c r="C78" i="3"/>
  <c r="G78" i="3" s="1"/>
  <c r="E18" i="10" s="1"/>
  <c r="C18" i="10" s="1"/>
  <c r="C19" i="12" s="1"/>
  <c r="C69" i="3"/>
  <c r="G69" i="3" s="1"/>
  <c r="E9" i="10" s="1"/>
  <c r="C9" i="10" s="1"/>
  <c r="C10" i="12" s="1"/>
  <c r="C70" i="3"/>
  <c r="G70" i="3" s="1"/>
  <c r="E10" i="10" s="1"/>
  <c r="C10" i="10" s="1"/>
  <c r="C11" i="12" s="1"/>
  <c r="C77" i="3"/>
  <c r="G77" i="3" s="1"/>
  <c r="E17" i="10" s="1"/>
  <c r="C17" i="10" s="1"/>
  <c r="C18" i="12" s="1"/>
  <c r="G55" i="3"/>
  <c r="C75" i="3"/>
  <c r="G75" i="3" s="1"/>
  <c r="E15" i="10" s="1"/>
  <c r="C15" i="10" s="1"/>
  <c r="C16" i="12" s="1"/>
  <c r="G50" i="3"/>
  <c r="G46" i="3"/>
  <c r="G48" i="3"/>
  <c r="C68" i="3"/>
  <c r="G68" i="3" s="1"/>
  <c r="E8" i="10" s="1"/>
  <c r="C8" i="10" s="1"/>
  <c r="C9" i="12" s="1"/>
  <c r="G56" i="3"/>
  <c r="G57" i="3"/>
  <c r="G65" i="3"/>
  <c r="E5" i="10" s="1"/>
  <c r="C5" i="10" l="1"/>
  <c r="C79" i="3"/>
  <c r="G79" i="3" s="1"/>
  <c r="G66" i="3"/>
  <c r="E6" i="10" s="1"/>
  <c r="C6" i="10" s="1"/>
  <c r="C7" i="12" s="1"/>
  <c r="C19" i="10" l="1"/>
  <c r="E19" i="10"/>
  <c r="C66" i="7"/>
  <c r="G66" i="7" s="1"/>
  <c r="C74" i="7"/>
  <c r="G74" i="7" s="1"/>
  <c r="C77" i="7"/>
  <c r="G77" i="7" s="1"/>
  <c r="C70" i="7"/>
  <c r="G70" i="7" s="1"/>
  <c r="C69" i="7"/>
  <c r="G69" i="7" s="1"/>
  <c r="C67" i="7"/>
  <c r="G67" i="7" s="1"/>
  <c r="C78" i="7"/>
  <c r="G78" i="7" s="1"/>
  <c r="C68" i="7"/>
  <c r="G68" i="7" s="1"/>
  <c r="C75" i="7"/>
  <c r="G75" i="7" s="1"/>
  <c r="C76" i="7"/>
  <c r="G76" i="7" s="1"/>
  <c r="C73" i="7"/>
  <c r="G73" i="7" s="1"/>
  <c r="C71" i="7"/>
  <c r="G71" i="7" s="1"/>
  <c r="C72" i="7"/>
  <c r="G72" i="7" s="1"/>
  <c r="C65" i="7"/>
  <c r="G65" i="7" s="1"/>
  <c r="I5" i="10" s="1"/>
  <c r="G45" i="7"/>
  <c r="G57" i="7"/>
  <c r="G48" i="7"/>
  <c r="G47" i="7"/>
  <c r="G46" i="7"/>
  <c r="G58" i="7"/>
  <c r="G50" i="7"/>
  <c r="G51" i="7"/>
  <c r="G49" i="7"/>
  <c r="G52" i="7"/>
  <c r="G55" i="7"/>
  <c r="G54" i="7"/>
  <c r="G56" i="7"/>
  <c r="G53" i="7"/>
  <c r="G59" i="7"/>
  <c r="I12" i="10" l="1"/>
  <c r="I7" i="10"/>
  <c r="I9" i="10"/>
  <c r="I11" i="10"/>
  <c r="I10" i="10"/>
  <c r="I13" i="10"/>
  <c r="I17" i="10"/>
  <c r="I16" i="10"/>
  <c r="I15" i="10"/>
  <c r="I6" i="10"/>
  <c r="I14" i="10"/>
  <c r="I8" i="10"/>
  <c r="I18" i="10"/>
  <c r="C79" i="7"/>
  <c r="G79" i="7" s="1"/>
</calcChain>
</file>

<file path=xl/sharedStrings.xml><?xml version="1.0" encoding="utf-8"?>
<sst xmlns="http://schemas.openxmlformats.org/spreadsheetml/2006/main" count="1364" uniqueCount="185">
  <si>
    <t>Q1</t>
  </si>
  <si>
    <t>Q2</t>
  </si>
  <si>
    <t>Q3</t>
  </si>
  <si>
    <t>Q4</t>
  </si>
  <si>
    <t>Total</t>
  </si>
  <si>
    <t>Q4*</t>
  </si>
  <si>
    <t>D101</t>
  </si>
  <si>
    <t>D102</t>
  </si>
  <si>
    <t>D103</t>
  </si>
  <si>
    <t>D104</t>
  </si>
  <si>
    <t>D105</t>
  </si>
  <si>
    <t>D106</t>
  </si>
  <si>
    <t>D1065</t>
  </si>
  <si>
    <t>D1067</t>
  </si>
  <si>
    <t>D107</t>
  </si>
  <si>
    <t>D108</t>
  </si>
  <si>
    <t>D109</t>
  </si>
  <si>
    <t>D204</t>
  </si>
  <si>
    <t>D2045</t>
  </si>
  <si>
    <t>D217</t>
  </si>
  <si>
    <t>D995</t>
  </si>
  <si>
    <t>D999</t>
  </si>
  <si>
    <t>D69</t>
  </si>
  <si>
    <t xml:space="preserve">Total </t>
  </si>
  <si>
    <t>D1065***</t>
  </si>
  <si>
    <t>FY2013 - Interest Allocation per TTO GL</t>
  </si>
  <si>
    <t>FY2013  - Average Fund Balance per TTO GL</t>
  </si>
  <si>
    <t>FY2013  - Average Fund Balance per TTO GL with Adjustments</t>
  </si>
  <si>
    <t>FY2014 - Interest Allocation per TTO GL</t>
  </si>
  <si>
    <t>FY2014  - Average Fund Balance per TTO GL</t>
  </si>
  <si>
    <t>FY2014  - Average Fund Balance per TTO GL with Adjustments</t>
  </si>
  <si>
    <t>FY2015 - Interest Allocation per TTO GL</t>
  </si>
  <si>
    <t>FY2015  - Average Fund Balance per TTO GL</t>
  </si>
  <si>
    <t>FY2015  - Average Fund Balance per TTO GL with Adjustments</t>
  </si>
  <si>
    <t>FY2013 Average</t>
  </si>
  <si>
    <t>D104*</t>
  </si>
  <si>
    <t>D104**</t>
  </si>
  <si>
    <t>D109****</t>
  </si>
  <si>
    <t>D1067**</t>
  </si>
  <si>
    <t>D109***</t>
  </si>
  <si>
    <t>Average</t>
  </si>
  <si>
    <t>FY2016 - Interest Allocation per TTO GL</t>
  </si>
  <si>
    <t>FY2016  - Average Fund Balance per TTO GL</t>
  </si>
  <si>
    <t>FY2016  - Average Fund Balance per TTO GL with Adjustments</t>
  </si>
  <si>
    <t>FY2017 - Interest Allocation per TTO GL</t>
  </si>
  <si>
    <t>FY2017  - Average Fund Balance per TTO GL</t>
  </si>
  <si>
    <t>FY2017  - Average Fund Balance per TTO GL with Adjustments</t>
  </si>
  <si>
    <t>D204****</t>
  </si>
  <si>
    <t>FY2018 - Interest Allocation per TTO GL</t>
  </si>
  <si>
    <t>FY2018  - Average Fund Balance per TTO GL</t>
  </si>
  <si>
    <t>FY2018  - Average Fund Balance per TTO GL with Adjustments</t>
  </si>
  <si>
    <t>FY2019 - Interest Allocation per TTO GL</t>
  </si>
  <si>
    <t>FY2019  - Average Fund Balance per TTO GL</t>
  </si>
  <si>
    <t>FY2019  - Average Fund Balance per TTO GL with Adjustments</t>
  </si>
  <si>
    <t>FY2020 - Interest Allocation per TTO GL</t>
  </si>
  <si>
    <t>FY2020  - Average Fund Balance per TTO GL</t>
  </si>
  <si>
    <t>FY2020  - Average Fund Balance per TTO GL with Adjustments</t>
  </si>
  <si>
    <t>FY2020</t>
  </si>
  <si>
    <t>FY2019</t>
  </si>
  <si>
    <t>FY2018</t>
  </si>
  <si>
    <t>FY2017</t>
  </si>
  <si>
    <t>FY2016</t>
  </si>
  <si>
    <t>FY2015</t>
  </si>
  <si>
    <t>FY2014</t>
  </si>
  <si>
    <t>FY2013</t>
  </si>
  <si>
    <t>Q4 (FY2015)</t>
  </si>
  <si>
    <t>Q2 (FY2015)</t>
  </si>
  <si>
    <t>Q3 (FY2015)</t>
  </si>
  <si>
    <t>Q1 - Trailing</t>
  </si>
  <si>
    <t>Q2 - Trailing</t>
  </si>
  <si>
    <t>Q3 - Trailing</t>
  </si>
  <si>
    <t>Q4 - Trailing</t>
  </si>
  <si>
    <t>FY2014 &amp; FY2015  - Average Fund Balance per TTO GL with Adjustments</t>
  </si>
  <si>
    <t>Q1 (FY2015)</t>
  </si>
  <si>
    <t>Q2 (FY2014)</t>
  </si>
  <si>
    <t>Q3 (FY2014)</t>
  </si>
  <si>
    <t>Q4 (FY2014)</t>
  </si>
  <si>
    <t>Q4* (FY2015)</t>
  </si>
  <si>
    <t>D1067***</t>
  </si>
  <si>
    <t>FY2015 - INTEREST REALLOCATION</t>
  </si>
  <si>
    <t>FY2015 - Trailing Four Quarter Fund Balance Average</t>
  </si>
  <si>
    <t>FY2014 - INTEREST REALLOCATION</t>
  </si>
  <si>
    <t>FY2014  - Interest Allocation per TTO GL with Adjustments</t>
  </si>
  <si>
    <t>D204*****</t>
  </si>
  <si>
    <t>D204**</t>
  </si>
  <si>
    <t>Q1 (FY2016)</t>
  </si>
  <si>
    <t>Q2 (FY2016)</t>
  </si>
  <si>
    <t>Q3 (FY2016)</t>
  </si>
  <si>
    <t>Q4* (FY2016)</t>
  </si>
  <si>
    <t>FY2015 &amp; FY2016  - Average Fund Balance per TTO GL with Adjustments</t>
  </si>
  <si>
    <t>FY2016 - Trailing Four Quarter Fund Balance Average</t>
  </si>
  <si>
    <t>FY2016 - INTEREST REALLOCATION</t>
  </si>
  <si>
    <t>FY2015  - Interest Allocation per TTO GL with Adjustments</t>
  </si>
  <si>
    <t>FY2016  - Interest Allocation per TTO GL with Adjustments</t>
  </si>
  <si>
    <t>FY2017  - Interest Allocation per TTO GL with Adjustments</t>
  </si>
  <si>
    <t>FY2018  - Interest Allocation per TTO GL with Adjustments</t>
  </si>
  <si>
    <t>FY2019  - Interest Allocation per TTO GL with Adjustments</t>
  </si>
  <si>
    <t>FY2020  - Interest Allocation per TTO GL with Adjustments</t>
  </si>
  <si>
    <t>FY2017 - INTEREST REALLOCATION</t>
  </si>
  <si>
    <t>Q4 (FY2016)</t>
  </si>
  <si>
    <t>Q1 (FY2017)</t>
  </si>
  <si>
    <t>Q2 (FY2017)</t>
  </si>
  <si>
    <t>Q3 (FY2017)</t>
  </si>
  <si>
    <t>Q4* (FY2017)</t>
  </si>
  <si>
    <t>FY2017 - Trailing Four Quarter Fund Balance Average</t>
  </si>
  <si>
    <t>FY2016 &amp; FY2017  - Average Fund Balance per TTO GL with Adjustments</t>
  </si>
  <si>
    <t>FY2018 - INTEREST REALLOCATION</t>
  </si>
  <si>
    <t>FY2017 &amp; FY2018  - Average Fund Balance per TTO GL with Adjustments</t>
  </si>
  <si>
    <t>Q4 (FY2017)</t>
  </si>
  <si>
    <t>Q1 (FY2018)</t>
  </si>
  <si>
    <t>Q2 (FY2018)</t>
  </si>
  <si>
    <t>Q3 (FY2018)</t>
  </si>
  <si>
    <t>Q4* (FY2018)</t>
  </si>
  <si>
    <t>FY2018 - Trailing Four Quarter Fund Balance Average</t>
  </si>
  <si>
    <t>FY2018 &amp; FY2019  - Average Fund Balance per TTO GL with Adjustments</t>
  </si>
  <si>
    <t>Q4 (FY2018)</t>
  </si>
  <si>
    <t>Q1 (FY2019)</t>
  </si>
  <si>
    <t>Q2 (FY2019)</t>
  </si>
  <si>
    <t>Q3 (FY2019)</t>
  </si>
  <si>
    <t>Q4* (FY2019)</t>
  </si>
  <si>
    <t>FY2019 - INTEREST REALLOCATION</t>
  </si>
  <si>
    <t>FY2019 - Trailing Four Quarter Fund Balance Average</t>
  </si>
  <si>
    <t>FY2020 - INTEREST REALLOCATION</t>
  </si>
  <si>
    <t>FY2019 &amp; FY2020  - Average Fund Balance per TTO GL with Adjustments</t>
  </si>
  <si>
    <t>Q4 (FY2019)</t>
  </si>
  <si>
    <t>Q1 (FY2020)</t>
  </si>
  <si>
    <t>Q2 (FY2020)</t>
  </si>
  <si>
    <t>Q3 (FY2020)</t>
  </si>
  <si>
    <t>Q4* (FY2020)</t>
  </si>
  <si>
    <t>FY2020 - Trailing Four Quarter Fund Balance Average</t>
  </si>
  <si>
    <t>FY2013  - Interest Allocation per TTO GL with Adjustments</t>
  </si>
  <si>
    <t>FY2013 - INTEREST REALLOCATION</t>
  </si>
  <si>
    <t>D217******</t>
  </si>
  <si>
    <t>Cumulative</t>
  </si>
  <si>
    <t>D106***</t>
  </si>
  <si>
    <t>D1065****</t>
  </si>
  <si>
    <t>D1067****</t>
  </si>
  <si>
    <t>Lyons Township Treasurer's Office</t>
  </si>
  <si>
    <t>Quarterly Average Fund Balance &amp; Quarterly Interest Allocation Examiniation Summary</t>
  </si>
  <si>
    <t>LTTO Member District</t>
  </si>
  <si>
    <t>TOTAL</t>
  </si>
  <si>
    <t>Western Springs Elementary School District 101</t>
  </si>
  <si>
    <t>LaGrange Elementary School District 102</t>
  </si>
  <si>
    <t xml:space="preserve"> Lyons Elementary School District 103</t>
  </si>
  <si>
    <t>Summit Elementary School District 104</t>
  </si>
  <si>
    <t>LaGrange South  Elementary School District 105</t>
  </si>
  <si>
    <t>LaGrange Highlands Elementary School District 106</t>
  </si>
  <si>
    <t>West 40 - Intermediate Service Center #2 (D1065)</t>
  </si>
  <si>
    <t>West 40 - Learning Technology Center 1C (D1067)</t>
  </si>
  <si>
    <t>Pleasantdale Elementary School District 107</t>
  </si>
  <si>
    <t>Willow Springs Elementary School District 108</t>
  </si>
  <si>
    <t>Indian Springs Elementary School District 109</t>
  </si>
  <si>
    <t>Lyons Township High School District 204</t>
  </si>
  <si>
    <t>LaGrange Area Department of Special Education (D2045)</t>
  </si>
  <si>
    <t>Argo Summit High School District 217</t>
  </si>
  <si>
    <t>FY2013 through FY2020</t>
  </si>
  <si>
    <t>Total Interest Allocated</t>
  </si>
  <si>
    <t>*:</t>
  </si>
  <si>
    <t>Fourth Quarter Interest Calculation uses two-month average (April &amp; May)</t>
  </si>
  <si>
    <t>**:</t>
  </si>
  <si>
    <t>***:</t>
  </si>
  <si>
    <t>D1065 and D1067 Fund Balance combined due to D1065 negative Fund Balance</t>
  </si>
  <si>
    <t>****:</t>
  </si>
  <si>
    <t>FY2013  - Fund Balance Adjustments</t>
  </si>
  <si>
    <t>D1065**</t>
  </si>
  <si>
    <t>FY2014  - Fund Balance Adjustments</t>
  </si>
  <si>
    <t>4Q FY2013 / Q1 FY2014 - Interest Allocation per TTO GL</t>
  </si>
  <si>
    <t>4Q FY2013 / Q1 FY2014  - Interest Allocation per TTO GL with Adjustments</t>
  </si>
  <si>
    <t>4Q FY2013 / Q1 FY2014 - INTEREST REALLOCATION</t>
  </si>
  <si>
    <t>FY2014 - Trailing Four Quarter Fund Balance Average</t>
  </si>
  <si>
    <t>*****:</t>
  </si>
  <si>
    <t>D204 Fund Balance Adjustment to reflect 05/21/2021 Court ordered debit</t>
  </si>
  <si>
    <t>FY2015  - Fund Balance Adjustments</t>
  </si>
  <si>
    <t>FY2016  - Fund Balance Adjustments</t>
  </si>
  <si>
    <t>******:</t>
  </si>
  <si>
    <t>D217 Fund Balance Adjustment to reflect May 2016 Bond Revenues booked in June 2016</t>
  </si>
  <si>
    <t>FY2017  - Fund Balance Adjustments</t>
  </si>
  <si>
    <t xml:space="preserve">D104 Fund Balance Adjustment to remove D104 Property Tax Escrow Fund created 02/2011 </t>
  </si>
  <si>
    <t>D109 Fund Balance Adjustment to include $5MM Liability Reserve Account funded 09/30/1996, increased 11/30/2004</t>
  </si>
  <si>
    <t xml:space="preserve">D106 Fund Balance Adjustment correcting July 2016 Current Year Property Tax journal entry in March 2017 </t>
  </si>
  <si>
    <t>FY2018  - Fund Balance Adjustments</t>
  </si>
  <si>
    <t>FY2019  - Fund Balance Adjustments</t>
  </si>
  <si>
    <t>FY2020  - Fund Balance Adjustments</t>
  </si>
  <si>
    <t>Total Interest Allocated per General Ledger</t>
  </si>
  <si>
    <t>Total FY13-FY20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</si>
</sst>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44" fontId="0" fillId="2" borderId="0" xfId="1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44" fontId="0" fillId="0" borderId="0" xfId="0" applyNumberFormat="1" applyFill="1"/>
    <xf numFmtId="10" fontId="0" fillId="0" borderId="0" xfId="1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10" fontId="0" fillId="0" borderId="0" xfId="2" applyNumberFormat="1" applyFont="1" applyFill="1"/>
    <xf numFmtId="0" fontId="0" fillId="3" borderId="0" xfId="0" applyFill="1"/>
    <xf numFmtId="44" fontId="0" fillId="3" borderId="0" xfId="1" applyFont="1" applyFill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44" fontId="0" fillId="3" borderId="0" xfId="1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4" fontId="6" fillId="0" borderId="10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44" fontId="6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/>
    </xf>
    <xf numFmtId="44" fontId="6" fillId="0" borderId="14" xfId="0" applyNumberFormat="1" applyFont="1" applyBorder="1" applyAlignment="1">
      <alignment vertical="center"/>
    </xf>
    <xf numFmtId="10" fontId="0" fillId="0" borderId="0" xfId="2" applyNumberFormat="1" applyFont="1"/>
    <xf numFmtId="0" fontId="6" fillId="0" borderId="15" xfId="0" applyFont="1" applyBorder="1" applyAlignment="1">
      <alignment horizontal="center"/>
    </xf>
    <xf numFmtId="44" fontId="6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8D61-4530-478F-B7D7-1CDA7E387E0D}">
  <dimension ref="B1:C21"/>
  <sheetViews>
    <sheetView tabSelected="1" workbookViewId="0">
      <selection activeCell="C21" sqref="C21"/>
    </sheetView>
  </sheetViews>
  <sheetFormatPr defaultRowHeight="15" x14ac:dyDescent="0.25"/>
  <cols>
    <col min="2" max="2" width="76.42578125" customWidth="1"/>
    <col min="3" max="3" width="47.5703125" customWidth="1"/>
    <col min="4" max="4" width="9.28515625" customWidth="1"/>
  </cols>
  <sheetData>
    <row r="1" spans="2:3" ht="15.75" thickBot="1" x14ac:dyDescent="0.3"/>
    <row r="2" spans="2:3" ht="21" x14ac:dyDescent="0.25">
      <c r="B2" s="32" t="s">
        <v>137</v>
      </c>
      <c r="C2" s="33"/>
    </row>
    <row r="3" spans="2:3" ht="21" x14ac:dyDescent="0.25">
      <c r="B3" s="34" t="s">
        <v>138</v>
      </c>
      <c r="C3" s="35"/>
    </row>
    <row r="4" spans="2:3" ht="21.75" thickBot="1" x14ac:dyDescent="0.4">
      <c r="B4" s="36" t="s">
        <v>155</v>
      </c>
      <c r="C4" s="37"/>
    </row>
    <row r="5" spans="2:3" ht="19.5" thickBot="1" x14ac:dyDescent="0.35">
      <c r="B5" s="21" t="s">
        <v>139</v>
      </c>
      <c r="C5" s="22" t="s">
        <v>140</v>
      </c>
    </row>
    <row r="6" spans="2:3" ht="18.75" x14ac:dyDescent="0.3">
      <c r="B6" s="23" t="s">
        <v>141</v>
      </c>
      <c r="C6" s="24">
        <f>'Summary by FY'!C5</f>
        <v>-10873.047766664709</v>
      </c>
    </row>
    <row r="7" spans="2:3" ht="18.75" x14ac:dyDescent="0.3">
      <c r="B7" s="25" t="s">
        <v>142</v>
      </c>
      <c r="C7" s="26">
        <f>'Summary by FY'!C6</f>
        <v>30629.604222651131</v>
      </c>
    </row>
    <row r="8" spans="2:3" ht="18.75" x14ac:dyDescent="0.3">
      <c r="B8" s="25" t="s">
        <v>143</v>
      </c>
      <c r="C8" s="26">
        <f>'Summary by FY'!C7</f>
        <v>-20570.885198348089</v>
      </c>
    </row>
    <row r="9" spans="2:3" ht="18.75" x14ac:dyDescent="0.3">
      <c r="B9" s="25" t="s">
        <v>144</v>
      </c>
      <c r="C9" s="26">
        <f>'Summary by FY'!C8</f>
        <v>-20831.899303752154</v>
      </c>
    </row>
    <row r="10" spans="2:3" ht="18.75" x14ac:dyDescent="0.3">
      <c r="B10" s="25" t="s">
        <v>145</v>
      </c>
      <c r="C10" s="26">
        <f>'Summary by FY'!C9</f>
        <v>16040.186200219443</v>
      </c>
    </row>
    <row r="11" spans="2:3" ht="18.75" x14ac:dyDescent="0.3">
      <c r="B11" s="25" t="s">
        <v>146</v>
      </c>
      <c r="C11" s="26">
        <f>'Summary by FY'!C10</f>
        <v>1465.9631729091125</v>
      </c>
    </row>
    <row r="12" spans="2:3" ht="18.75" x14ac:dyDescent="0.3">
      <c r="B12" s="25" t="s">
        <v>147</v>
      </c>
      <c r="C12" s="26">
        <f>'Summary by FY'!C11</f>
        <v>6660.0089921649105</v>
      </c>
    </row>
    <row r="13" spans="2:3" ht="18.75" x14ac:dyDescent="0.3">
      <c r="B13" s="25" t="s">
        <v>148</v>
      </c>
      <c r="C13" s="26">
        <f>'Summary by FY'!C12</f>
        <v>-8377.2235831319122</v>
      </c>
    </row>
    <row r="14" spans="2:3" ht="18.75" x14ac:dyDescent="0.3">
      <c r="B14" s="25" t="s">
        <v>149</v>
      </c>
      <c r="C14" s="26">
        <f>'Summary by FY'!C13</f>
        <v>5246.4679594886948</v>
      </c>
    </row>
    <row r="15" spans="2:3" ht="18.75" x14ac:dyDescent="0.3">
      <c r="B15" s="25" t="s">
        <v>150</v>
      </c>
      <c r="C15" s="26">
        <f>'Summary by FY'!C14</f>
        <v>-4362.4314657391169</v>
      </c>
    </row>
    <row r="16" spans="2:3" ht="18.75" x14ac:dyDescent="0.3">
      <c r="B16" s="25" t="s">
        <v>151</v>
      </c>
      <c r="C16" s="26">
        <f>'Summary by FY'!C15</f>
        <v>14284.204462413698</v>
      </c>
    </row>
    <row r="17" spans="2:3" ht="18.75" x14ac:dyDescent="0.3">
      <c r="B17" s="25" t="s">
        <v>152</v>
      </c>
      <c r="C17" s="26">
        <f>'Summary by FY'!C16</f>
        <v>-274.99851130000025</v>
      </c>
    </row>
    <row r="18" spans="2:3" ht="18.75" x14ac:dyDescent="0.3">
      <c r="B18" s="25" t="s">
        <v>153</v>
      </c>
      <c r="C18" s="26">
        <f>'Summary by FY'!C17</f>
        <v>2611.721711633345</v>
      </c>
    </row>
    <row r="19" spans="2:3" ht="19.5" thickBot="1" x14ac:dyDescent="0.35">
      <c r="B19" s="27" t="s">
        <v>154</v>
      </c>
      <c r="C19" s="28">
        <f>'Summary by FY'!C18</f>
        <v>-11647.670892545997</v>
      </c>
    </row>
    <row r="20" spans="2:3" ht="15.75" thickBot="1" x14ac:dyDescent="0.3"/>
    <row r="21" spans="2:3" ht="19.5" thickBot="1" x14ac:dyDescent="0.35">
      <c r="B21" s="30" t="s">
        <v>183</v>
      </c>
      <c r="C21" s="31">
        <f>'Summary by FY'!C21</f>
        <v>25095088.23227068</v>
      </c>
    </row>
  </sheetData>
  <sheetProtection algorithmName="SHA-512" hashValue="A7RH8l1gErmlkJbSKHwS0Z5CKmF+7v2XIR/XCKzxYaThpY0/aO4VKdQs0ZmN7o86jcCC8KK9f5U5aL4YDESUGQ==" saltValue="l9/WG46DQRT6FSwBwU/nPw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BC1B-3D89-4CC7-B2D2-2AE9E67A8F2F}">
  <dimension ref="B2:N59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20.7109375" style="5" customWidth="1"/>
    <col min="3" max="3" width="24.7109375" style="5" customWidth="1"/>
    <col min="4" max="4" width="26.5703125" style="5" customWidth="1"/>
    <col min="5" max="5" width="9.140625" style="5"/>
    <col min="6" max="6" width="10.28515625" style="5" bestFit="1" customWidth="1"/>
    <col min="7" max="10" width="16.28515625" style="5" bestFit="1" customWidth="1"/>
    <col min="11" max="11" width="18.140625" style="5" customWidth="1"/>
    <col min="12" max="16384" width="9.140625" style="5"/>
  </cols>
  <sheetData>
    <row r="2" spans="2:10" ht="15.75" x14ac:dyDescent="0.25">
      <c r="B2" s="39" t="s">
        <v>166</v>
      </c>
      <c r="C2" s="39"/>
      <c r="D2" s="39"/>
      <c r="E2" s="4"/>
      <c r="F2" s="39" t="s">
        <v>26</v>
      </c>
      <c r="G2" s="39"/>
      <c r="H2" s="39"/>
      <c r="I2" s="39"/>
      <c r="J2" s="39"/>
    </row>
    <row r="3" spans="2:10" x14ac:dyDescent="0.25">
      <c r="B3" s="6"/>
      <c r="C3" s="6" t="s">
        <v>0</v>
      </c>
      <c r="D3" s="6" t="s">
        <v>4</v>
      </c>
      <c r="F3" s="6"/>
      <c r="G3" s="12">
        <v>41153</v>
      </c>
      <c r="H3" s="12">
        <v>41244</v>
      </c>
      <c r="I3" s="12">
        <v>41334</v>
      </c>
      <c r="J3" s="12">
        <v>41426</v>
      </c>
    </row>
    <row r="4" spans="2:10" x14ac:dyDescent="0.25">
      <c r="B4" s="5" t="s">
        <v>6</v>
      </c>
      <c r="C4" s="1">
        <v>26159.245978072049</v>
      </c>
      <c r="D4" s="2">
        <f>C4</f>
        <v>26159.245978072049</v>
      </c>
      <c r="F4" s="5" t="s">
        <v>6</v>
      </c>
      <c r="G4" s="1">
        <v>13888779</v>
      </c>
      <c r="H4" s="1">
        <v>9937197.7400000002</v>
      </c>
      <c r="I4" s="1">
        <v>14200934.640000001</v>
      </c>
      <c r="J4" s="1">
        <v>10109667.98</v>
      </c>
    </row>
    <row r="5" spans="2:10" x14ac:dyDescent="0.25">
      <c r="B5" s="5" t="s">
        <v>7</v>
      </c>
      <c r="C5" s="1">
        <v>48674.67</v>
      </c>
      <c r="D5" s="2">
        <f t="shared" ref="D5:D20" si="0">C5</f>
        <v>48674.67</v>
      </c>
      <c r="F5" s="5" t="s">
        <v>7</v>
      </c>
      <c r="G5" s="1">
        <v>27183562.449999999</v>
      </c>
      <c r="H5" s="1">
        <v>18790990.940000001</v>
      </c>
      <c r="I5" s="1">
        <v>26793261.890000001</v>
      </c>
      <c r="J5" s="1">
        <v>16800210.07</v>
      </c>
    </row>
    <row r="6" spans="2:10" x14ac:dyDescent="0.25">
      <c r="B6" s="5" t="s">
        <v>8</v>
      </c>
      <c r="C6" s="1">
        <v>27991.52</v>
      </c>
      <c r="D6" s="2">
        <f t="shared" si="0"/>
        <v>27991.52</v>
      </c>
      <c r="F6" s="5" t="s">
        <v>8</v>
      </c>
      <c r="G6" s="1">
        <v>17908356.539999999</v>
      </c>
      <c r="H6" s="1">
        <v>9726213.4499999993</v>
      </c>
      <c r="I6" s="1">
        <v>15346788.16</v>
      </c>
      <c r="J6" s="1">
        <v>10165210.960000001</v>
      </c>
    </row>
    <row r="7" spans="2:10" x14ac:dyDescent="0.25">
      <c r="B7" s="5" t="s">
        <v>9</v>
      </c>
      <c r="C7" s="1">
        <v>25065.291694624637</v>
      </c>
      <c r="D7" s="2">
        <f t="shared" si="0"/>
        <v>25065.291694624637</v>
      </c>
      <c r="F7" s="5" t="s">
        <v>9</v>
      </c>
      <c r="G7" s="1">
        <v>14297772.15</v>
      </c>
      <c r="H7" s="1">
        <v>7626451.0499999998</v>
      </c>
      <c r="I7" s="1">
        <v>13243563.140000001</v>
      </c>
      <c r="J7" s="1">
        <v>8919812.3499999996</v>
      </c>
    </row>
    <row r="8" spans="2:10" x14ac:dyDescent="0.25">
      <c r="B8" s="5" t="s">
        <v>10</v>
      </c>
      <c r="C8" s="1">
        <v>34779.079322167483</v>
      </c>
      <c r="D8" s="2">
        <f t="shared" si="0"/>
        <v>34779.079322167483</v>
      </c>
      <c r="F8" s="5" t="s">
        <v>10</v>
      </c>
      <c r="G8" s="1">
        <v>17607108.510000002</v>
      </c>
      <c r="H8" s="1">
        <v>13528756.49</v>
      </c>
      <c r="I8" s="1">
        <v>18739444.699999999</v>
      </c>
      <c r="J8" s="1">
        <v>14122938.310000001</v>
      </c>
    </row>
    <row r="9" spans="2:10" x14ac:dyDescent="0.25">
      <c r="B9" s="5" t="s">
        <v>11</v>
      </c>
      <c r="C9" s="1">
        <v>24513.136262710384</v>
      </c>
      <c r="D9" s="2">
        <f t="shared" si="0"/>
        <v>24513.136262710384</v>
      </c>
      <c r="F9" s="5" t="s">
        <v>11</v>
      </c>
      <c r="G9" s="1">
        <v>12720902.27</v>
      </c>
      <c r="H9" s="1">
        <v>9661899.6500000004</v>
      </c>
      <c r="I9" s="1">
        <v>13074076.800000001</v>
      </c>
      <c r="J9" s="1">
        <v>9650634.3200000003</v>
      </c>
    </row>
    <row r="10" spans="2:10" x14ac:dyDescent="0.25">
      <c r="B10" s="5" t="s">
        <v>12</v>
      </c>
      <c r="C10" s="1">
        <v>0</v>
      </c>
      <c r="D10" s="2">
        <f t="shared" si="0"/>
        <v>0</v>
      </c>
      <c r="F10" s="5" t="s">
        <v>12</v>
      </c>
      <c r="G10" s="1">
        <v>-455906.02</v>
      </c>
      <c r="H10" s="1">
        <v>-492343.49</v>
      </c>
      <c r="I10" s="1">
        <v>-366436.91</v>
      </c>
      <c r="J10" s="1">
        <v>-97559.09</v>
      </c>
    </row>
    <row r="11" spans="2:10" x14ac:dyDescent="0.25">
      <c r="B11" s="5" t="s">
        <v>13</v>
      </c>
      <c r="C11" s="1">
        <v>919.41462482234942</v>
      </c>
      <c r="D11" s="2">
        <f t="shared" si="0"/>
        <v>919.41462482234942</v>
      </c>
      <c r="F11" s="5" t="s">
        <v>13</v>
      </c>
      <c r="G11" s="1">
        <v>461586.19</v>
      </c>
      <c r="H11" s="1">
        <v>437483.97</v>
      </c>
      <c r="I11" s="1">
        <v>468728.23</v>
      </c>
      <c r="J11" s="1">
        <v>324030.99</v>
      </c>
    </row>
    <row r="12" spans="2:10" x14ac:dyDescent="0.25">
      <c r="B12" s="5" t="s">
        <v>14</v>
      </c>
      <c r="C12" s="1">
        <v>33968.362523035918</v>
      </c>
      <c r="D12" s="2">
        <f t="shared" si="0"/>
        <v>33968.362523035918</v>
      </c>
      <c r="F12" s="5" t="s">
        <v>14</v>
      </c>
      <c r="G12" s="1">
        <v>17084823.399999999</v>
      </c>
      <c r="H12" s="1">
        <v>13366846.9</v>
      </c>
      <c r="I12" s="1">
        <v>17515695.460000001</v>
      </c>
      <c r="J12" s="1">
        <v>14539052.800000001</v>
      </c>
    </row>
    <row r="13" spans="2:10" x14ac:dyDescent="0.25">
      <c r="B13" s="5" t="s">
        <v>15</v>
      </c>
      <c r="C13" s="1">
        <v>13371.109340353849</v>
      </c>
      <c r="D13" s="2">
        <f t="shared" si="0"/>
        <v>13371.109340353849</v>
      </c>
      <c r="F13" s="5" t="s">
        <v>15</v>
      </c>
      <c r="G13" s="1">
        <v>6684053.2699999996</v>
      </c>
      <c r="H13" s="1">
        <v>5934319.4299999997</v>
      </c>
      <c r="I13" s="1">
        <v>6340613.1299999999</v>
      </c>
      <c r="J13" s="1">
        <v>5645678.4800000004</v>
      </c>
    </row>
    <row r="14" spans="2:10" x14ac:dyDescent="0.25">
      <c r="B14" s="5" t="s">
        <v>16</v>
      </c>
      <c r="C14" s="1">
        <v>51061.601518357289</v>
      </c>
      <c r="D14" s="2">
        <f t="shared" si="0"/>
        <v>51061.601518357289</v>
      </c>
      <c r="F14" s="5" t="s">
        <v>16</v>
      </c>
      <c r="G14" s="1">
        <v>24416778.77</v>
      </c>
      <c r="H14" s="1">
        <v>18897510.66</v>
      </c>
      <c r="I14" s="1">
        <v>24836106.510000002</v>
      </c>
      <c r="J14" s="1">
        <v>20809913</v>
      </c>
    </row>
    <row r="15" spans="2:10" x14ac:dyDescent="0.25">
      <c r="B15" s="5" t="s">
        <v>17</v>
      </c>
      <c r="C15" s="1">
        <v>104151.32238998792</v>
      </c>
      <c r="D15" s="2">
        <f t="shared" si="0"/>
        <v>104151.32238998792</v>
      </c>
      <c r="F15" s="5" t="s">
        <v>17</v>
      </c>
      <c r="G15" s="1">
        <v>55710383.350000001</v>
      </c>
      <c r="H15" s="1">
        <v>39175699.93</v>
      </c>
      <c r="I15" s="1">
        <v>56532074.07</v>
      </c>
      <c r="J15" s="1">
        <v>40234476.670000002</v>
      </c>
    </row>
    <row r="16" spans="2:10" x14ac:dyDescent="0.25">
      <c r="B16" s="5" t="s">
        <v>18</v>
      </c>
      <c r="C16" s="1">
        <v>17225.435210165477</v>
      </c>
      <c r="D16" s="2">
        <f t="shared" si="0"/>
        <v>17225.435210165477</v>
      </c>
      <c r="F16" s="5" t="s">
        <v>18</v>
      </c>
      <c r="G16" s="1">
        <v>6289999.6699999999</v>
      </c>
      <c r="H16" s="1">
        <v>10685998.18</v>
      </c>
      <c r="I16" s="1">
        <v>9323264.8499999996</v>
      </c>
      <c r="J16" s="1">
        <v>5397886.7400000002</v>
      </c>
    </row>
    <row r="17" spans="2:12" x14ac:dyDescent="0.25">
      <c r="B17" s="5" t="s">
        <v>19</v>
      </c>
      <c r="C17" s="1">
        <v>85145.502637342026</v>
      </c>
      <c r="D17" s="2">
        <f t="shared" si="0"/>
        <v>85145.502637342026</v>
      </c>
      <c r="F17" s="5" t="s">
        <v>19</v>
      </c>
      <c r="G17" s="1">
        <v>44864300.93</v>
      </c>
      <c r="H17" s="1">
        <v>35512595.310000002</v>
      </c>
      <c r="I17" s="1">
        <v>42198385.780000001</v>
      </c>
      <c r="J17" s="1">
        <v>34104052.25</v>
      </c>
    </row>
    <row r="18" spans="2:12" x14ac:dyDescent="0.25">
      <c r="B18" s="14" t="s">
        <v>20</v>
      </c>
      <c r="C18" s="15">
        <v>0</v>
      </c>
      <c r="D18" s="20">
        <f t="shared" si="0"/>
        <v>0</v>
      </c>
      <c r="F18" s="14" t="s">
        <v>20</v>
      </c>
      <c r="G18" s="15">
        <v>25345.69</v>
      </c>
      <c r="H18" s="15">
        <v>30851.21</v>
      </c>
      <c r="I18" s="15">
        <v>69924.11</v>
      </c>
      <c r="J18" s="15">
        <v>101743.47</v>
      </c>
    </row>
    <row r="19" spans="2:12" x14ac:dyDescent="0.25">
      <c r="B19" s="14" t="s">
        <v>21</v>
      </c>
      <c r="C19" s="15">
        <v>6083.9660073502755</v>
      </c>
      <c r="D19" s="20">
        <f t="shared" si="0"/>
        <v>6083.9660073502755</v>
      </c>
      <c r="F19" s="14" t="s">
        <v>21</v>
      </c>
      <c r="G19" s="15">
        <v>2668265.6800000002</v>
      </c>
      <c r="H19" s="15">
        <v>2962102.42</v>
      </c>
      <c r="I19" s="15">
        <v>3078059.3</v>
      </c>
      <c r="J19" s="15">
        <v>2486899.59</v>
      </c>
    </row>
    <row r="20" spans="2:12" x14ac:dyDescent="0.25">
      <c r="B20" s="14" t="s">
        <v>22</v>
      </c>
      <c r="C20" s="15">
        <v>0</v>
      </c>
      <c r="D20" s="20">
        <f t="shared" si="0"/>
        <v>0</v>
      </c>
      <c r="F20" s="14" t="s">
        <v>22</v>
      </c>
      <c r="G20" s="15">
        <v>0</v>
      </c>
      <c r="H20" s="15">
        <v>0</v>
      </c>
      <c r="I20" s="15">
        <v>0</v>
      </c>
      <c r="J20" s="15">
        <v>0</v>
      </c>
    </row>
    <row r="21" spans="2:12" x14ac:dyDescent="0.25">
      <c r="B21" s="8" t="s">
        <v>23</v>
      </c>
      <c r="C21" s="9">
        <f>SUM(C4:C20)</f>
        <v>499109.65750898974</v>
      </c>
      <c r="D21" s="1">
        <f>SUM(D4:D20)</f>
        <v>499109.65750898974</v>
      </c>
      <c r="F21" s="8" t="s">
        <v>23</v>
      </c>
      <c r="G21" s="1">
        <f>SUM(G4:G20)</f>
        <v>261356111.84999999</v>
      </c>
      <c r="H21" s="1">
        <f>SUM(H4:H20)</f>
        <v>195782573.84</v>
      </c>
      <c r="I21" s="1">
        <f>SUM(I4:I20)</f>
        <v>261394483.86000001</v>
      </c>
      <c r="J21" s="1">
        <f>SUM(J4:J20)</f>
        <v>193314648.89000002</v>
      </c>
    </row>
    <row r="24" spans="2:12" ht="15.75" x14ac:dyDescent="0.25">
      <c r="B24" s="39" t="s">
        <v>167</v>
      </c>
      <c r="C24" s="39"/>
      <c r="D24" s="39"/>
      <c r="F24" s="39" t="s">
        <v>27</v>
      </c>
      <c r="G24" s="39"/>
      <c r="H24" s="39"/>
      <c r="I24" s="39"/>
      <c r="J24" s="39"/>
      <c r="K24" s="39"/>
      <c r="L24" s="39"/>
    </row>
    <row r="25" spans="2:12" x14ac:dyDescent="0.25">
      <c r="C25" s="6" t="s">
        <v>0</v>
      </c>
      <c r="D25" s="6" t="s">
        <v>4</v>
      </c>
      <c r="F25" s="6"/>
      <c r="G25" s="12">
        <v>41153</v>
      </c>
      <c r="H25" s="12">
        <v>41244</v>
      </c>
      <c r="I25" s="12">
        <v>41334</v>
      </c>
      <c r="J25" s="12">
        <v>41426</v>
      </c>
      <c r="K25" s="6" t="s">
        <v>34</v>
      </c>
    </row>
    <row r="26" spans="2:12" x14ac:dyDescent="0.25">
      <c r="B26" s="5" t="s">
        <v>6</v>
      </c>
      <c r="C26" s="9">
        <f t="shared" ref="C26:C39" si="1">$C$40*L26</f>
        <v>25845.884402441312</v>
      </c>
      <c r="D26" s="9">
        <f>SUM(C26)</f>
        <v>25845.884402441312</v>
      </c>
      <c r="F26" s="5" t="s">
        <v>6</v>
      </c>
      <c r="G26" s="1">
        <v>13888779</v>
      </c>
      <c r="H26" s="1">
        <v>9937197.7400000002</v>
      </c>
      <c r="I26" s="1">
        <v>14200934.640000001</v>
      </c>
      <c r="J26" s="1">
        <v>10109667.98</v>
      </c>
      <c r="K26" s="9">
        <f t="shared" ref="K26:K32" si="2">AVERAGE(G26,H26,I26,J26)</f>
        <v>12034144.84</v>
      </c>
      <c r="L26" s="13">
        <f t="shared" ref="L26:L31" si="3">K26/$K$40</f>
        <v>5.2422997113438188E-2</v>
      </c>
    </row>
    <row r="27" spans="2:12" x14ac:dyDescent="0.25">
      <c r="B27" s="5" t="s">
        <v>7</v>
      </c>
      <c r="C27" s="9">
        <f t="shared" si="1"/>
        <v>48091.593963045423</v>
      </c>
      <c r="D27" s="9">
        <f>SUM(C27)</f>
        <v>48091.593963045423</v>
      </c>
      <c r="F27" s="5" t="s">
        <v>7</v>
      </c>
      <c r="G27" s="1">
        <v>27183562.449999999</v>
      </c>
      <c r="H27" s="1">
        <v>18790990.940000001</v>
      </c>
      <c r="I27" s="1">
        <v>26793261.890000001</v>
      </c>
      <c r="J27" s="1">
        <v>16800210.07</v>
      </c>
      <c r="K27" s="9">
        <f t="shared" si="2"/>
        <v>22392006.337499999</v>
      </c>
      <c r="L27" s="13">
        <f t="shared" si="3"/>
        <v>9.7543788877552856E-2</v>
      </c>
    </row>
    <row r="28" spans="2:12" x14ac:dyDescent="0.25">
      <c r="B28" s="5" t="s">
        <v>8</v>
      </c>
      <c r="C28" s="9">
        <f t="shared" si="1"/>
        <v>28535.888919952082</v>
      </c>
      <c r="D28" s="9">
        <f t="shared" ref="D28:D40" si="4">SUM(C28)</f>
        <v>28535.888919952082</v>
      </c>
      <c r="F28" s="5" t="s">
        <v>8</v>
      </c>
      <c r="G28" s="1">
        <v>17908356.539999999</v>
      </c>
      <c r="H28" s="1">
        <v>9726213.4499999993</v>
      </c>
      <c r="I28" s="1">
        <v>15346788.16</v>
      </c>
      <c r="J28" s="1">
        <v>10165210.960000001</v>
      </c>
      <c r="K28" s="9">
        <f t="shared" si="2"/>
        <v>13286642.2775</v>
      </c>
      <c r="L28" s="13">
        <f t="shared" si="3"/>
        <v>5.7879111396889941E-2</v>
      </c>
    </row>
    <row r="29" spans="2:12" x14ac:dyDescent="0.25">
      <c r="B29" s="5" t="s">
        <v>9</v>
      </c>
      <c r="C29" s="9">
        <f t="shared" si="1"/>
        <v>22495.673963147281</v>
      </c>
      <c r="D29" s="9">
        <f t="shared" si="4"/>
        <v>22495.673963147281</v>
      </c>
      <c r="F29" s="5" t="s">
        <v>35</v>
      </c>
      <c r="G29" s="1">
        <f>14297772.15-1489204.1</f>
        <v>12808568.050000001</v>
      </c>
      <c r="H29" s="1">
        <f>7626451.05-(-913452.65)</f>
        <v>8539903.6999999993</v>
      </c>
      <c r="I29" s="1">
        <f>13243563.14-1064639.25</f>
        <v>12178923.890000001</v>
      </c>
      <c r="J29" s="1">
        <f>8919812.35-550216.65</f>
        <v>8369595.6999999993</v>
      </c>
      <c r="K29" s="9">
        <f t="shared" si="2"/>
        <v>10474247.835000001</v>
      </c>
      <c r="L29" s="13">
        <f t="shared" si="3"/>
        <v>4.5627792528683014E-2</v>
      </c>
    </row>
    <row r="30" spans="2:12" x14ac:dyDescent="0.25">
      <c r="B30" s="5" t="s">
        <v>10</v>
      </c>
      <c r="C30" s="9">
        <f t="shared" si="1"/>
        <v>34362.460773432693</v>
      </c>
      <c r="D30" s="9">
        <f t="shared" si="4"/>
        <v>34362.460773432693</v>
      </c>
      <c r="F30" s="5" t="s">
        <v>10</v>
      </c>
      <c r="G30" s="1">
        <v>17607108.510000002</v>
      </c>
      <c r="H30" s="1">
        <v>13528756.49</v>
      </c>
      <c r="I30" s="1">
        <v>18739444.699999999</v>
      </c>
      <c r="J30" s="1">
        <v>14122938.310000001</v>
      </c>
      <c r="K30" s="9">
        <f t="shared" si="2"/>
        <v>15999562.002500001</v>
      </c>
      <c r="L30" s="13">
        <f t="shared" si="3"/>
        <v>6.9697099696311521E-2</v>
      </c>
    </row>
    <row r="31" spans="2:12" x14ac:dyDescent="0.25">
      <c r="B31" s="5" t="s">
        <v>11</v>
      </c>
      <c r="C31" s="9">
        <f t="shared" si="1"/>
        <v>24219.493433350061</v>
      </c>
      <c r="D31" s="9">
        <f t="shared" si="4"/>
        <v>24219.493433350061</v>
      </c>
      <c r="F31" s="5" t="s">
        <v>11</v>
      </c>
      <c r="G31" s="1">
        <v>12720902.27</v>
      </c>
      <c r="H31" s="1">
        <v>9661899.6500000004</v>
      </c>
      <c r="I31" s="1">
        <v>13074076.800000001</v>
      </c>
      <c r="J31" s="1">
        <v>9650634.3200000003</v>
      </c>
      <c r="K31" s="9">
        <f t="shared" si="2"/>
        <v>11276878.26</v>
      </c>
      <c r="L31" s="13">
        <f t="shared" si="3"/>
        <v>4.9124201539240728E-2</v>
      </c>
    </row>
    <row r="32" spans="2:12" x14ac:dyDescent="0.25">
      <c r="B32" s="5" t="s">
        <v>12</v>
      </c>
      <c r="C32" s="9">
        <f t="shared" si="1"/>
        <v>0</v>
      </c>
      <c r="D32" s="9">
        <f t="shared" si="4"/>
        <v>0</v>
      </c>
      <c r="F32" s="5" t="s">
        <v>164</v>
      </c>
      <c r="G32" s="1">
        <v>0</v>
      </c>
      <c r="H32" s="1">
        <v>0</v>
      </c>
      <c r="I32" s="1">
        <v>0</v>
      </c>
      <c r="J32" s="1">
        <v>0</v>
      </c>
      <c r="K32" s="9">
        <f t="shared" si="2"/>
        <v>0</v>
      </c>
      <c r="L32" s="13">
        <v>0</v>
      </c>
    </row>
    <row r="33" spans="2:14" x14ac:dyDescent="0.25">
      <c r="B33" s="5" t="s">
        <v>13</v>
      </c>
      <c r="C33" s="9">
        <f t="shared" si="1"/>
        <v>150.11644950434174</v>
      </c>
      <c r="D33" s="9">
        <f t="shared" si="4"/>
        <v>150.11644950434174</v>
      </c>
      <c r="F33" s="5" t="s">
        <v>38</v>
      </c>
      <c r="G33" s="1">
        <f>461586.19-455906.02</f>
        <v>5680.1699999999837</v>
      </c>
      <c r="H33" s="1">
        <f>437483.97-492343.49</f>
        <v>-54859.520000000019</v>
      </c>
      <c r="I33" s="1">
        <f>468728.23-366436.91</f>
        <v>102291.32</v>
      </c>
      <c r="J33" s="1">
        <f>324030.99-97559.09</f>
        <v>226471.9</v>
      </c>
      <c r="K33" s="9">
        <f t="shared" ref="K33:K40" si="5">AVERAGE(G33,H33,I33,J33)</f>
        <v>69895.967499999999</v>
      </c>
      <c r="L33" s="13">
        <f t="shared" ref="L33:L40" si="6">K33/$K$40</f>
        <v>3.0447997354280385E-4</v>
      </c>
    </row>
    <row r="34" spans="2:14" x14ac:dyDescent="0.25">
      <c r="B34" s="5" t="s">
        <v>14</v>
      </c>
      <c r="C34" s="9">
        <f t="shared" si="1"/>
        <v>33561.455549848026</v>
      </c>
      <c r="D34" s="9">
        <f t="shared" si="4"/>
        <v>33561.455549848026</v>
      </c>
      <c r="F34" s="5" t="s">
        <v>14</v>
      </c>
      <c r="G34" s="1">
        <v>17084823.399999999</v>
      </c>
      <c r="H34" s="1">
        <v>13366846.9</v>
      </c>
      <c r="I34" s="1">
        <v>17515695.460000001</v>
      </c>
      <c r="J34" s="1">
        <v>14539052.800000001</v>
      </c>
      <c r="K34" s="9">
        <f t="shared" si="5"/>
        <v>15626604.640000001</v>
      </c>
      <c r="L34" s="13">
        <f t="shared" si="6"/>
        <v>6.8072427316369227E-2</v>
      </c>
    </row>
    <row r="35" spans="2:14" x14ac:dyDescent="0.25">
      <c r="B35" s="5" t="s">
        <v>15</v>
      </c>
      <c r="C35" s="9">
        <f t="shared" si="1"/>
        <v>13210.936837891952</v>
      </c>
      <c r="D35" s="9">
        <f t="shared" si="4"/>
        <v>13210.936837891952</v>
      </c>
      <c r="F35" s="5" t="s">
        <v>15</v>
      </c>
      <c r="G35" s="1">
        <v>6684053.2699999996</v>
      </c>
      <c r="H35" s="1">
        <v>5934319.4299999997</v>
      </c>
      <c r="I35" s="1">
        <v>6340613.1299999999</v>
      </c>
      <c r="J35" s="1">
        <v>5645678.4800000004</v>
      </c>
      <c r="K35" s="9">
        <f t="shared" si="5"/>
        <v>6151166.0774999997</v>
      </c>
      <c r="L35" s="13">
        <f t="shared" si="6"/>
        <v>2.6795635735846885E-2</v>
      </c>
    </row>
    <row r="36" spans="2:14" x14ac:dyDescent="0.25">
      <c r="B36" s="5" t="s">
        <v>16</v>
      </c>
      <c r="C36" s="9">
        <f t="shared" si="1"/>
        <v>58503.856874750985</v>
      </c>
      <c r="D36" s="9">
        <f t="shared" si="4"/>
        <v>58503.856874750985</v>
      </c>
      <c r="F36" s="5" t="s">
        <v>39</v>
      </c>
      <c r="G36" s="1">
        <f>24416778.77+5000000</f>
        <v>29416778.77</v>
      </c>
      <c r="H36" s="1">
        <f>18897510.66+5000000</f>
        <v>23897510.66</v>
      </c>
      <c r="I36" s="1">
        <f>24836106.51+5000000</f>
        <v>29836106.510000002</v>
      </c>
      <c r="J36" s="1">
        <f>20809913+5000000</f>
        <v>25809913</v>
      </c>
      <c r="K36" s="9">
        <f t="shared" si="5"/>
        <v>27240077.234999999</v>
      </c>
      <c r="L36" s="13">
        <f t="shared" si="6"/>
        <v>0.11866289705220452</v>
      </c>
    </row>
    <row r="37" spans="2:14" x14ac:dyDescent="0.25">
      <c r="B37" s="5" t="s">
        <v>17</v>
      </c>
      <c r="C37" s="9">
        <f t="shared" si="1"/>
        <v>102903.69382624762</v>
      </c>
      <c r="D37" s="9">
        <f t="shared" si="4"/>
        <v>102903.69382624762</v>
      </c>
      <c r="F37" s="5" t="s">
        <v>17</v>
      </c>
      <c r="G37" s="1">
        <v>55710383.350000001</v>
      </c>
      <c r="H37" s="1">
        <v>39175699.93</v>
      </c>
      <c r="I37" s="1">
        <v>56532074.07</v>
      </c>
      <c r="J37" s="1">
        <v>40234476.670000002</v>
      </c>
      <c r="K37" s="9">
        <f t="shared" si="5"/>
        <v>47913158.504999995</v>
      </c>
      <c r="L37" s="13">
        <f t="shared" si="6"/>
        <v>0.20871872521050039</v>
      </c>
    </row>
    <row r="38" spans="2:14" x14ac:dyDescent="0.25">
      <c r="B38" s="5" t="s">
        <v>18</v>
      </c>
      <c r="C38" s="9">
        <f t="shared" si="1"/>
        <v>17019.091742815261</v>
      </c>
      <c r="D38" s="9">
        <f t="shared" si="4"/>
        <v>17019.091742815261</v>
      </c>
      <c r="F38" s="5" t="s">
        <v>18</v>
      </c>
      <c r="G38" s="1">
        <v>6289999.6699999999</v>
      </c>
      <c r="H38" s="1">
        <v>10685998.18</v>
      </c>
      <c r="I38" s="1">
        <v>9323264.8499999996</v>
      </c>
      <c r="J38" s="1">
        <v>5397886.7400000002</v>
      </c>
      <c r="K38" s="9">
        <f t="shared" si="5"/>
        <v>7924287.3600000013</v>
      </c>
      <c r="L38" s="13">
        <f t="shared" si="6"/>
        <v>3.451968535550174E-2</v>
      </c>
    </row>
    <row r="39" spans="2:14" x14ac:dyDescent="0.25">
      <c r="B39" s="5" t="s">
        <v>19</v>
      </c>
      <c r="C39" s="9">
        <f t="shared" si="1"/>
        <v>84125.544765212442</v>
      </c>
      <c r="D39" s="9">
        <f t="shared" si="4"/>
        <v>84125.544765212442</v>
      </c>
      <c r="F39" s="5" t="s">
        <v>19</v>
      </c>
      <c r="G39" s="1">
        <v>44864300.93</v>
      </c>
      <c r="H39" s="1">
        <v>35512595.310000002</v>
      </c>
      <c r="I39" s="1">
        <v>42198385.780000001</v>
      </c>
      <c r="J39" s="1">
        <v>34104052.25</v>
      </c>
      <c r="K39" s="9">
        <f t="shared" si="5"/>
        <v>39169833.567500003</v>
      </c>
      <c r="L39" s="13">
        <f t="shared" si="6"/>
        <v>0.17063115820391828</v>
      </c>
    </row>
    <row r="40" spans="2:14" x14ac:dyDescent="0.25">
      <c r="B40" s="8" t="s">
        <v>23</v>
      </c>
      <c r="C40" s="9">
        <f>C21-C19</f>
        <v>493025.69150163943</v>
      </c>
      <c r="D40" s="9">
        <f t="shared" si="4"/>
        <v>493025.69150163943</v>
      </c>
      <c r="F40" s="8" t="s">
        <v>23</v>
      </c>
      <c r="G40" s="1">
        <f>SUM(G26:G39)</f>
        <v>262173296.38</v>
      </c>
      <c r="H40" s="1">
        <f>SUM(H26:H39)</f>
        <v>198703072.86000001</v>
      </c>
      <c r="I40" s="1">
        <f>SUM(I26:I39)</f>
        <v>262181861.19999996</v>
      </c>
      <c r="J40" s="1">
        <f>SUM(J26:J39)</f>
        <v>195175789.18000001</v>
      </c>
      <c r="K40" s="9">
        <f t="shared" si="5"/>
        <v>229558504.90499997</v>
      </c>
      <c r="L40" s="13">
        <f t="shared" si="6"/>
        <v>1</v>
      </c>
    </row>
    <row r="43" spans="2:14" ht="15.75" x14ac:dyDescent="0.25">
      <c r="B43" s="39" t="s">
        <v>168</v>
      </c>
      <c r="C43" s="39"/>
      <c r="D43" s="39"/>
      <c r="F43" s="38" t="s">
        <v>163</v>
      </c>
      <c r="G43" s="38"/>
      <c r="H43" s="38"/>
      <c r="I43" s="38"/>
      <c r="J43" s="38"/>
      <c r="K43" s="38"/>
      <c r="L43" s="38"/>
      <c r="M43" s="38"/>
      <c r="N43" s="38"/>
    </row>
    <row r="44" spans="2:14" x14ac:dyDescent="0.25">
      <c r="B44" s="6"/>
      <c r="C44" s="6" t="s">
        <v>0</v>
      </c>
      <c r="D44" s="6" t="s">
        <v>4</v>
      </c>
      <c r="F44"/>
      <c r="G44"/>
      <c r="H44"/>
      <c r="I44"/>
      <c r="J44"/>
      <c r="K44"/>
      <c r="L44"/>
      <c r="M44"/>
      <c r="N44"/>
    </row>
    <row r="45" spans="2:14" x14ac:dyDescent="0.25">
      <c r="B45" s="5" t="s">
        <v>6</v>
      </c>
      <c r="C45" s="9">
        <f t="shared" ref="C45:C58" si="7">C26-C4</f>
        <v>-313.36157563073721</v>
      </c>
      <c r="D45" s="9">
        <f>SUM(C45)</f>
        <v>-313.36157563073721</v>
      </c>
      <c r="F45" s="18" t="s">
        <v>157</v>
      </c>
      <c r="G45" t="s">
        <v>177</v>
      </c>
      <c r="H45"/>
      <c r="I45"/>
      <c r="J45"/>
      <c r="K45"/>
      <c r="L45"/>
      <c r="M45"/>
      <c r="N45"/>
    </row>
    <row r="46" spans="2:14" x14ac:dyDescent="0.25">
      <c r="B46" s="5" t="s">
        <v>7</v>
      </c>
      <c r="C46" s="9">
        <f t="shared" si="7"/>
        <v>-583.0760369545751</v>
      </c>
      <c r="D46" s="9">
        <f t="shared" ref="D46:D58" si="8">SUM(C46)</f>
        <v>-583.0760369545751</v>
      </c>
      <c r="F46" s="18" t="s">
        <v>159</v>
      </c>
      <c r="G46" t="s">
        <v>161</v>
      </c>
      <c r="H46"/>
      <c r="I46"/>
      <c r="J46"/>
      <c r="K46"/>
      <c r="L46"/>
      <c r="M46"/>
      <c r="N46"/>
    </row>
    <row r="47" spans="2:14" x14ac:dyDescent="0.25">
      <c r="B47" s="5" t="s">
        <v>8</v>
      </c>
      <c r="C47" s="9">
        <f t="shared" si="7"/>
        <v>544.36891995208134</v>
      </c>
      <c r="D47" s="9">
        <f t="shared" si="8"/>
        <v>544.36891995208134</v>
      </c>
      <c r="F47" s="18" t="s">
        <v>160</v>
      </c>
      <c r="G47" t="s">
        <v>178</v>
      </c>
      <c r="H47"/>
      <c r="I47"/>
      <c r="J47"/>
      <c r="K47"/>
      <c r="L47"/>
      <c r="M47"/>
      <c r="N47"/>
    </row>
    <row r="48" spans="2:14" x14ac:dyDescent="0.25">
      <c r="B48" s="5" t="s">
        <v>9</v>
      </c>
      <c r="C48" s="9">
        <f t="shared" si="7"/>
        <v>-2569.6177314773558</v>
      </c>
      <c r="D48" s="9">
        <f t="shared" si="8"/>
        <v>-2569.6177314773558</v>
      </c>
    </row>
    <row r="49" spans="2:4" x14ac:dyDescent="0.25">
      <c r="B49" s="5" t="s">
        <v>10</v>
      </c>
      <c r="C49" s="9">
        <f t="shared" si="7"/>
        <v>-416.61854873479024</v>
      </c>
      <c r="D49" s="9">
        <f t="shared" si="8"/>
        <v>-416.61854873479024</v>
      </c>
    </row>
    <row r="50" spans="2:4" x14ac:dyDescent="0.25">
      <c r="B50" s="5" t="s">
        <v>11</v>
      </c>
      <c r="C50" s="9">
        <f t="shared" si="7"/>
        <v>-293.64282936032396</v>
      </c>
      <c r="D50" s="9">
        <f t="shared" si="8"/>
        <v>-293.64282936032396</v>
      </c>
    </row>
    <row r="51" spans="2:4" x14ac:dyDescent="0.25">
      <c r="B51" s="5" t="s">
        <v>12</v>
      </c>
      <c r="C51" s="9">
        <f t="shared" si="7"/>
        <v>0</v>
      </c>
      <c r="D51" s="9">
        <f t="shared" si="8"/>
        <v>0</v>
      </c>
    </row>
    <row r="52" spans="2:4" x14ac:dyDescent="0.25">
      <c r="B52" s="5" t="s">
        <v>13</v>
      </c>
      <c r="C52" s="9">
        <f t="shared" si="7"/>
        <v>-769.29817531800768</v>
      </c>
      <c r="D52" s="9">
        <f t="shared" si="8"/>
        <v>-769.29817531800768</v>
      </c>
    </row>
    <row r="53" spans="2:4" x14ac:dyDescent="0.25">
      <c r="B53" s="5" t="s">
        <v>14</v>
      </c>
      <c r="C53" s="9">
        <f t="shared" si="7"/>
        <v>-406.90697318789171</v>
      </c>
      <c r="D53" s="9">
        <f t="shared" si="8"/>
        <v>-406.90697318789171</v>
      </c>
    </row>
    <row r="54" spans="2:4" x14ac:dyDescent="0.25">
      <c r="B54" s="5" t="s">
        <v>15</v>
      </c>
      <c r="C54" s="9">
        <f t="shared" si="7"/>
        <v>-160.17250246189724</v>
      </c>
      <c r="D54" s="9">
        <f t="shared" si="8"/>
        <v>-160.17250246189724</v>
      </c>
    </row>
    <row r="55" spans="2:4" x14ac:dyDescent="0.25">
      <c r="B55" s="5" t="s">
        <v>16</v>
      </c>
      <c r="C55" s="9">
        <f t="shared" si="7"/>
        <v>7442.2553563936963</v>
      </c>
      <c r="D55" s="9">
        <f t="shared" si="8"/>
        <v>7442.2553563936963</v>
      </c>
    </row>
    <row r="56" spans="2:4" x14ac:dyDescent="0.25">
      <c r="B56" s="5" t="s">
        <v>17</v>
      </c>
      <c r="C56" s="9">
        <f t="shared" si="7"/>
        <v>-1247.6285637403053</v>
      </c>
      <c r="D56" s="9">
        <f t="shared" si="8"/>
        <v>-1247.6285637403053</v>
      </c>
    </row>
    <row r="57" spans="2:4" x14ac:dyDescent="0.25">
      <c r="B57" s="5" t="s">
        <v>18</v>
      </c>
      <c r="C57" s="9">
        <f t="shared" si="7"/>
        <v>-206.34346735021609</v>
      </c>
      <c r="D57" s="9">
        <f t="shared" si="8"/>
        <v>-206.34346735021609</v>
      </c>
    </row>
    <row r="58" spans="2:4" x14ac:dyDescent="0.25">
      <c r="B58" s="5" t="s">
        <v>19</v>
      </c>
      <c r="C58" s="9">
        <f t="shared" si="7"/>
        <v>-1019.9578721295838</v>
      </c>
      <c r="D58" s="9">
        <f t="shared" si="8"/>
        <v>-1019.9578721295838</v>
      </c>
    </row>
    <row r="59" spans="2:4" x14ac:dyDescent="0.25">
      <c r="B59" s="8" t="s">
        <v>23</v>
      </c>
      <c r="C59" s="9">
        <f>SUM(C45:C58)</f>
        <v>9.3677954282611609E-11</v>
      </c>
      <c r="D59" s="9">
        <f>SUM(C59)</f>
        <v>9.3677954282611609E-11</v>
      </c>
    </row>
  </sheetData>
  <sheetProtection algorithmName="SHA-512" hashValue="pbqKXhlJ8g8q9Tg8bM5VNS5bs4lqE2qrG/4PUkZGNtEMXRbj49Vm0H8B4gnbNr/C/k0N8AV7c7yzxWgmodIEYQ==" saltValue="HaoZgK1E4muyj3ueN7eaSA==" spinCount="100000" sheet="1" objects="1" scenarios="1"/>
  <mergeCells count="6">
    <mergeCell ref="B2:D2"/>
    <mergeCell ref="F2:J2"/>
    <mergeCell ref="B24:D24"/>
    <mergeCell ref="B43:D43"/>
    <mergeCell ref="F24:L24"/>
    <mergeCell ref="F43:N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7A40-3C19-49CF-AB86-AA217135F095}">
  <dimension ref="B2:P59"/>
  <sheetViews>
    <sheetView zoomScaleNormal="100" workbookViewId="0">
      <selection activeCell="B3" sqref="B3"/>
    </sheetView>
  </sheetViews>
  <sheetFormatPr defaultColWidth="9.140625" defaultRowHeight="15" x14ac:dyDescent="0.25"/>
  <cols>
    <col min="1" max="2" width="9.140625" style="5"/>
    <col min="3" max="3" width="13.42578125" style="5" bestFit="1" customWidth="1"/>
    <col min="4" max="5" width="12.5703125" style="5" bestFit="1" customWidth="1"/>
    <col min="6" max="6" width="14.28515625" style="5" bestFit="1" customWidth="1"/>
    <col min="7" max="7" width="9.140625" style="5"/>
    <col min="8" max="8" width="10.28515625" style="5" bestFit="1" customWidth="1"/>
    <col min="9" max="12" width="16.28515625" style="5" bestFit="1" customWidth="1"/>
    <col min="13" max="13" width="8.140625" style="5" bestFit="1" customWidth="1"/>
    <col min="14" max="16384" width="9.140625" style="5"/>
  </cols>
  <sheetData>
    <row r="2" spans="2:13" ht="15.75" x14ac:dyDescent="0.25">
      <c r="B2" s="39" t="s">
        <v>25</v>
      </c>
      <c r="C2" s="39"/>
      <c r="D2" s="39"/>
      <c r="E2" s="39"/>
      <c r="F2" s="39"/>
      <c r="G2" s="4"/>
      <c r="H2" s="39" t="s">
        <v>26</v>
      </c>
      <c r="I2" s="39"/>
      <c r="J2" s="39"/>
      <c r="K2" s="39"/>
      <c r="L2" s="39"/>
      <c r="M2" s="39"/>
    </row>
    <row r="3" spans="2:13" x14ac:dyDescent="0.25">
      <c r="B3" s="6"/>
      <c r="C3" s="6" t="s">
        <v>0</v>
      </c>
      <c r="D3" s="6" t="s">
        <v>1</v>
      </c>
      <c r="E3" s="6" t="s">
        <v>2</v>
      </c>
      <c r="F3" s="6" t="s">
        <v>4</v>
      </c>
      <c r="H3" s="6"/>
      <c r="I3" s="12">
        <v>41153</v>
      </c>
      <c r="J3" s="12">
        <v>41244</v>
      </c>
      <c r="K3" s="12">
        <v>41334</v>
      </c>
      <c r="L3" s="6"/>
      <c r="M3" s="6"/>
    </row>
    <row r="4" spans="2:13" x14ac:dyDescent="0.25">
      <c r="B4" s="5" t="s">
        <v>6</v>
      </c>
      <c r="C4" s="1">
        <v>43805.25</v>
      </c>
      <c r="D4" s="2">
        <v>43805.25</v>
      </c>
      <c r="E4" s="2">
        <v>43805.25</v>
      </c>
      <c r="F4" s="2">
        <f>C4+D4+E4</f>
        <v>131415.75</v>
      </c>
      <c r="H4" s="5" t="s">
        <v>6</v>
      </c>
      <c r="I4" s="1">
        <v>13888779</v>
      </c>
      <c r="J4" s="1">
        <v>9937197.7400000002</v>
      </c>
      <c r="K4" s="1">
        <v>14200934.640000001</v>
      </c>
      <c r="L4" s="1"/>
      <c r="M4" s="7"/>
    </row>
    <row r="5" spans="2:13" x14ac:dyDescent="0.25">
      <c r="B5" s="5" t="s">
        <v>7</v>
      </c>
      <c r="C5" s="1">
        <v>86612</v>
      </c>
      <c r="D5" s="1">
        <v>86612</v>
      </c>
      <c r="E5" s="1">
        <v>86612</v>
      </c>
      <c r="F5" s="2">
        <f t="shared" ref="F5:F20" si="0">C5+D5+E5</f>
        <v>259836</v>
      </c>
      <c r="H5" s="5" t="s">
        <v>7</v>
      </c>
      <c r="I5" s="1">
        <v>27183562.449999999</v>
      </c>
      <c r="J5" s="1">
        <v>18790990.940000001</v>
      </c>
      <c r="K5" s="1">
        <v>26793261.890000001</v>
      </c>
      <c r="L5" s="1"/>
      <c r="M5" s="7"/>
    </row>
    <row r="6" spans="2:13" x14ac:dyDescent="0.25">
      <c r="B6" s="5" t="s">
        <v>8</v>
      </c>
      <c r="C6" s="1">
        <v>65005.89</v>
      </c>
      <c r="D6" s="1">
        <v>66995.05</v>
      </c>
      <c r="E6" s="1">
        <v>67396.23</v>
      </c>
      <c r="F6" s="2">
        <f t="shared" si="0"/>
        <v>199397.16999999998</v>
      </c>
      <c r="H6" s="5" t="s">
        <v>8</v>
      </c>
      <c r="I6" s="1">
        <v>17908356.539999999</v>
      </c>
      <c r="J6" s="1">
        <v>9726213.4499999993</v>
      </c>
      <c r="K6" s="1">
        <v>15346788.16</v>
      </c>
      <c r="L6" s="1"/>
      <c r="M6" s="7"/>
    </row>
    <row r="7" spans="2:13" x14ac:dyDescent="0.25">
      <c r="B7" s="5" t="s">
        <v>9</v>
      </c>
      <c r="C7" s="1">
        <v>43520.63</v>
      </c>
      <c r="D7" s="1">
        <v>44993.21</v>
      </c>
      <c r="E7" s="1">
        <v>44445.23</v>
      </c>
      <c r="F7" s="2">
        <f t="shared" si="0"/>
        <v>132959.07</v>
      </c>
      <c r="H7" s="5" t="s">
        <v>9</v>
      </c>
      <c r="I7" s="1">
        <v>14297772.15</v>
      </c>
      <c r="J7" s="1">
        <v>7626451.0499999998</v>
      </c>
      <c r="K7" s="1">
        <v>13243563.140000001</v>
      </c>
      <c r="L7" s="1"/>
      <c r="M7" s="7"/>
    </row>
    <row r="8" spans="2:13" x14ac:dyDescent="0.25">
      <c r="B8" s="5" t="s">
        <v>10</v>
      </c>
      <c r="C8" s="1">
        <v>54108.71</v>
      </c>
      <c r="D8" s="1">
        <v>54108.72</v>
      </c>
      <c r="E8" s="1">
        <v>54108.71</v>
      </c>
      <c r="F8" s="2">
        <f t="shared" si="0"/>
        <v>162326.13999999998</v>
      </c>
      <c r="H8" s="5" t="s">
        <v>10</v>
      </c>
      <c r="I8" s="1">
        <v>17607108.510000002</v>
      </c>
      <c r="J8" s="1">
        <v>13528756.49</v>
      </c>
      <c r="K8" s="1">
        <v>18739444.699999999</v>
      </c>
      <c r="L8" s="1"/>
      <c r="M8" s="7"/>
    </row>
    <row r="9" spans="2:13" x14ac:dyDescent="0.25">
      <c r="B9" s="5" t="s">
        <v>11</v>
      </c>
      <c r="C9" s="1">
        <v>42379.75</v>
      </c>
      <c r="D9" s="1">
        <v>42502.73</v>
      </c>
      <c r="E9" s="1">
        <v>42379.75</v>
      </c>
      <c r="F9" s="2">
        <f t="shared" si="0"/>
        <v>127262.23000000001</v>
      </c>
      <c r="H9" s="5" t="s">
        <v>11</v>
      </c>
      <c r="I9" s="1">
        <v>12720902.27</v>
      </c>
      <c r="J9" s="1">
        <v>9661899.6500000004</v>
      </c>
      <c r="K9" s="1">
        <v>13074076.800000001</v>
      </c>
      <c r="L9" s="1"/>
      <c r="M9" s="7"/>
    </row>
    <row r="10" spans="2:13" x14ac:dyDescent="0.25">
      <c r="B10" s="5" t="s">
        <v>12</v>
      </c>
      <c r="C10" s="1">
        <v>0</v>
      </c>
      <c r="D10" s="1">
        <v>0</v>
      </c>
      <c r="E10" s="1">
        <v>0</v>
      </c>
      <c r="F10" s="2">
        <f t="shared" si="0"/>
        <v>0</v>
      </c>
      <c r="H10" s="5" t="s">
        <v>12</v>
      </c>
      <c r="I10" s="1">
        <v>-455906.02</v>
      </c>
      <c r="J10" s="1">
        <v>-492343.49</v>
      </c>
      <c r="K10" s="1">
        <v>-366436.91</v>
      </c>
      <c r="L10" s="1"/>
      <c r="M10" s="7"/>
    </row>
    <row r="11" spans="2:13" x14ac:dyDescent="0.25">
      <c r="B11" s="5" t="s">
        <v>13</v>
      </c>
      <c r="C11" s="1">
        <v>1811.33</v>
      </c>
      <c r="D11" s="1">
        <v>1885.54</v>
      </c>
      <c r="E11" s="1">
        <v>1811.33</v>
      </c>
      <c r="F11" s="2">
        <f t="shared" si="0"/>
        <v>5508.2</v>
      </c>
      <c r="H11" s="5" t="s">
        <v>13</v>
      </c>
      <c r="I11" s="1">
        <v>461586.19</v>
      </c>
      <c r="J11" s="1">
        <v>437483.97</v>
      </c>
      <c r="K11" s="1">
        <v>468728.23</v>
      </c>
      <c r="L11" s="1"/>
      <c r="M11" s="7"/>
    </row>
    <row r="12" spans="2:13" x14ac:dyDescent="0.25">
      <c r="B12" s="5" t="s">
        <v>14</v>
      </c>
      <c r="C12" s="1">
        <v>55464.76</v>
      </c>
      <c r="D12" s="1">
        <v>55450.37</v>
      </c>
      <c r="E12" s="1">
        <v>55342.38</v>
      </c>
      <c r="F12" s="2">
        <f t="shared" si="0"/>
        <v>166257.51</v>
      </c>
      <c r="H12" s="5" t="s">
        <v>14</v>
      </c>
      <c r="I12" s="1">
        <v>17084823.399999999</v>
      </c>
      <c r="J12" s="1">
        <v>13366846.9</v>
      </c>
      <c r="K12" s="1">
        <v>17515695.460000001</v>
      </c>
      <c r="L12" s="1"/>
      <c r="M12" s="7"/>
    </row>
    <row r="13" spans="2:13" x14ac:dyDescent="0.25">
      <c r="B13" s="5" t="s">
        <v>15</v>
      </c>
      <c r="C13" s="1">
        <v>23704.74</v>
      </c>
      <c r="D13" s="1">
        <v>24368.62</v>
      </c>
      <c r="E13" s="1">
        <v>23704.74</v>
      </c>
      <c r="F13" s="2">
        <f t="shared" si="0"/>
        <v>71778.100000000006</v>
      </c>
      <c r="H13" s="5" t="s">
        <v>15</v>
      </c>
      <c r="I13" s="1">
        <v>6684053.2699999996</v>
      </c>
      <c r="J13" s="1">
        <v>5934319.4299999997</v>
      </c>
      <c r="K13" s="1">
        <v>6340613.1299999999</v>
      </c>
      <c r="L13" s="1"/>
      <c r="M13" s="7"/>
    </row>
    <row r="14" spans="2:13" x14ac:dyDescent="0.25">
      <c r="B14" s="5" t="s">
        <v>16</v>
      </c>
      <c r="C14" s="1">
        <v>107132.82</v>
      </c>
      <c r="D14" s="1">
        <v>107132.83</v>
      </c>
      <c r="E14" s="1">
        <v>107132.82</v>
      </c>
      <c r="F14" s="2">
        <f t="shared" si="0"/>
        <v>321398.47000000003</v>
      </c>
      <c r="H14" s="5" t="s">
        <v>16</v>
      </c>
      <c r="I14" s="1">
        <v>24416778.77</v>
      </c>
      <c r="J14" s="1">
        <v>18897510.66</v>
      </c>
      <c r="K14" s="1">
        <v>24836106.510000002</v>
      </c>
      <c r="L14" s="1"/>
      <c r="M14" s="7"/>
    </row>
    <row r="15" spans="2:13" x14ac:dyDescent="0.25">
      <c r="B15" s="5" t="s">
        <v>17</v>
      </c>
      <c r="C15" s="1">
        <v>163574.17000000001</v>
      </c>
      <c r="D15" s="1">
        <v>163574.19</v>
      </c>
      <c r="E15" s="1">
        <v>163574.19</v>
      </c>
      <c r="F15" s="2">
        <f t="shared" si="0"/>
        <v>490722.55</v>
      </c>
      <c r="H15" s="5" t="s">
        <v>17</v>
      </c>
      <c r="I15" s="1">
        <v>55710383.350000001</v>
      </c>
      <c r="J15" s="1">
        <v>39175699.93</v>
      </c>
      <c r="K15" s="1">
        <v>56532074.07</v>
      </c>
      <c r="L15" s="1"/>
      <c r="M15" s="7"/>
    </row>
    <row r="16" spans="2:13" x14ac:dyDescent="0.25">
      <c r="B16" s="5" t="s">
        <v>18</v>
      </c>
      <c r="C16" s="1">
        <v>29491.13</v>
      </c>
      <c r="D16" s="1">
        <v>29491.13</v>
      </c>
      <c r="E16" s="1">
        <v>29491.13</v>
      </c>
      <c r="F16" s="2">
        <f t="shared" si="0"/>
        <v>88473.39</v>
      </c>
      <c r="H16" s="5" t="s">
        <v>18</v>
      </c>
      <c r="I16" s="1">
        <v>6289999.6699999999</v>
      </c>
      <c r="J16" s="1">
        <v>10685998.18</v>
      </c>
      <c r="K16" s="1">
        <v>9323264.8499999996</v>
      </c>
      <c r="L16" s="1"/>
      <c r="M16" s="7"/>
    </row>
    <row r="17" spans="2:13" x14ac:dyDescent="0.25">
      <c r="B17" s="5" t="s">
        <v>19</v>
      </c>
      <c r="C17" s="1">
        <v>166748.75</v>
      </c>
      <c r="D17" s="1">
        <v>166748.75</v>
      </c>
      <c r="E17" s="1">
        <v>166748.75</v>
      </c>
      <c r="F17" s="2">
        <f t="shared" si="0"/>
        <v>500246.25</v>
      </c>
      <c r="H17" s="5" t="s">
        <v>19</v>
      </c>
      <c r="I17" s="1">
        <v>44864300.93</v>
      </c>
      <c r="J17" s="1">
        <v>35512595.310000002</v>
      </c>
      <c r="K17" s="1">
        <v>42198385.780000001</v>
      </c>
      <c r="L17" s="1"/>
      <c r="M17" s="7"/>
    </row>
    <row r="18" spans="2:13" x14ac:dyDescent="0.25">
      <c r="B18" s="14" t="s">
        <v>20</v>
      </c>
      <c r="C18" s="15">
        <v>0</v>
      </c>
      <c r="D18" s="15">
        <v>0</v>
      </c>
      <c r="E18" s="15">
        <v>0</v>
      </c>
      <c r="F18" s="20">
        <f t="shared" si="0"/>
        <v>0</v>
      </c>
      <c r="H18" s="14" t="s">
        <v>20</v>
      </c>
      <c r="I18" s="15">
        <v>25345.69</v>
      </c>
      <c r="J18" s="15">
        <v>30851.21</v>
      </c>
      <c r="K18" s="15">
        <v>69924.11</v>
      </c>
      <c r="L18" s="1"/>
      <c r="M18" s="7"/>
    </row>
    <row r="19" spans="2:13" x14ac:dyDescent="0.25">
      <c r="B19" s="14" t="s">
        <v>21</v>
      </c>
      <c r="C19" s="15">
        <v>0</v>
      </c>
      <c r="D19" s="15">
        <v>0</v>
      </c>
      <c r="E19" s="15">
        <v>25000</v>
      </c>
      <c r="F19" s="20">
        <f t="shared" si="0"/>
        <v>25000</v>
      </c>
      <c r="H19" s="14" t="s">
        <v>21</v>
      </c>
      <c r="I19" s="15">
        <v>2668265.6800000002</v>
      </c>
      <c r="J19" s="15">
        <v>2962102.42</v>
      </c>
      <c r="K19" s="15">
        <v>3078059.3</v>
      </c>
      <c r="L19" s="1"/>
      <c r="M19" s="7"/>
    </row>
    <row r="20" spans="2:13" x14ac:dyDescent="0.25">
      <c r="B20" s="14" t="s">
        <v>22</v>
      </c>
      <c r="C20" s="15">
        <v>0</v>
      </c>
      <c r="D20" s="15">
        <v>0</v>
      </c>
      <c r="E20" s="15"/>
      <c r="F20" s="20">
        <f t="shared" si="0"/>
        <v>0</v>
      </c>
      <c r="H20" s="14" t="s">
        <v>22</v>
      </c>
      <c r="I20" s="15">
        <v>0</v>
      </c>
      <c r="J20" s="15">
        <v>0</v>
      </c>
      <c r="K20" s="15">
        <v>0</v>
      </c>
      <c r="L20" s="1"/>
      <c r="M20" s="7"/>
    </row>
    <row r="21" spans="2:13" x14ac:dyDescent="0.25">
      <c r="B21" s="8" t="s">
        <v>23</v>
      </c>
      <c r="C21" s="9">
        <f>SUM(C4:C20)</f>
        <v>883359.93</v>
      </c>
      <c r="D21" s="1">
        <f>SUM(D4:D20)</f>
        <v>887668.39</v>
      </c>
      <c r="E21" s="1">
        <f>SUM(E4:E20)</f>
        <v>911552.50999999989</v>
      </c>
      <c r="F21" s="1">
        <f>SUM(F4:F20)</f>
        <v>2682580.83</v>
      </c>
      <c r="H21" s="8" t="s">
        <v>23</v>
      </c>
      <c r="I21" s="1">
        <f>SUM(I4:I20)</f>
        <v>261356111.84999999</v>
      </c>
      <c r="J21" s="1">
        <f>SUM(J4:J20)</f>
        <v>195782573.84</v>
      </c>
      <c r="K21" s="1">
        <f>SUM(K4:K20)</f>
        <v>261394483.86000001</v>
      </c>
      <c r="L21" s="1"/>
      <c r="M21" s="11"/>
    </row>
    <row r="24" spans="2:13" ht="15.75" x14ac:dyDescent="0.25">
      <c r="B24" s="39" t="s">
        <v>130</v>
      </c>
      <c r="C24" s="39"/>
      <c r="D24" s="39"/>
      <c r="E24" s="39"/>
      <c r="F24" s="39"/>
      <c r="H24" s="39" t="s">
        <v>27</v>
      </c>
      <c r="I24" s="39"/>
      <c r="J24" s="39"/>
      <c r="K24" s="39"/>
      <c r="L24" s="39"/>
      <c r="M24" s="39"/>
    </row>
    <row r="25" spans="2:13" x14ac:dyDescent="0.25">
      <c r="C25" s="6" t="s">
        <v>0</v>
      </c>
      <c r="D25" s="6" t="s">
        <v>1</v>
      </c>
      <c r="E25" s="6" t="s">
        <v>2</v>
      </c>
      <c r="F25" s="6" t="s">
        <v>4</v>
      </c>
      <c r="H25" s="6"/>
      <c r="I25" s="12">
        <v>41153</v>
      </c>
      <c r="J25" s="12">
        <v>41244</v>
      </c>
      <c r="K25" s="12">
        <v>41334</v>
      </c>
      <c r="L25" s="6" t="s">
        <v>40</v>
      </c>
    </row>
    <row r="26" spans="2:13" x14ac:dyDescent="0.25">
      <c r="B26" s="5" t="s">
        <v>6</v>
      </c>
      <c r="C26" s="9">
        <f t="shared" ref="C26:C39" si="1">$C$40*M26</f>
        <v>46457.461322737065</v>
      </c>
      <c r="D26" s="9">
        <f t="shared" ref="D26:D39" si="2">$D$40*M26</f>
        <v>46684.050855511727</v>
      </c>
      <c r="E26" s="9">
        <f t="shared" ref="E26:E39" si="3">$E$40*M26</f>
        <v>46625.364752395391</v>
      </c>
      <c r="F26" s="9">
        <f>SUM(C26+D26+E26)</f>
        <v>139766.87693064418</v>
      </c>
      <c r="H26" s="5" t="s">
        <v>6</v>
      </c>
      <c r="I26" s="1">
        <v>13888779</v>
      </c>
      <c r="J26" s="1">
        <v>9937197.7400000002</v>
      </c>
      <c r="K26" s="1">
        <v>14200934.640000001</v>
      </c>
      <c r="L26" s="1">
        <f>AVERAGE(I26:K26)</f>
        <v>12675637.126666667</v>
      </c>
      <c r="M26" s="7">
        <f t="shared" ref="M26:M39" si="4">L26/$L$40</f>
        <v>5.2591768932440781E-2</v>
      </c>
    </row>
    <row r="27" spans="2:13" x14ac:dyDescent="0.25">
      <c r="B27" s="5" t="s">
        <v>7</v>
      </c>
      <c r="C27" s="9">
        <f t="shared" si="1"/>
        <v>88900.408716567064</v>
      </c>
      <c r="D27" s="9">
        <f t="shared" si="2"/>
        <v>89334.00757240261</v>
      </c>
      <c r="E27" s="9">
        <f t="shared" si="3"/>
        <v>89221.706589859008</v>
      </c>
      <c r="F27" s="9">
        <f t="shared" ref="F27:F40" si="5">SUM(C27+D27+E27)</f>
        <v>267456.12287882867</v>
      </c>
      <c r="H27" s="5" t="s">
        <v>7</v>
      </c>
      <c r="I27" s="1">
        <v>27183562.449999999</v>
      </c>
      <c r="J27" s="1">
        <v>18790990.940000001</v>
      </c>
      <c r="K27" s="1">
        <v>26793261.890000001</v>
      </c>
      <c r="L27" s="1">
        <f t="shared" ref="L27:L39" si="6">AVERAGE(I27:K27)</f>
        <v>24255938.426666666</v>
      </c>
      <c r="M27" s="7">
        <f t="shared" si="4"/>
        <v>0.10063894195038602</v>
      </c>
    </row>
    <row r="28" spans="2:13" x14ac:dyDescent="0.25">
      <c r="B28" s="5" t="s">
        <v>8</v>
      </c>
      <c r="C28" s="9">
        <f t="shared" si="1"/>
        <v>52510.306816623051</v>
      </c>
      <c r="D28" s="9">
        <f t="shared" si="2"/>
        <v>52766.418225827612</v>
      </c>
      <c r="E28" s="9">
        <f t="shared" si="3"/>
        <v>52700.086033048006</v>
      </c>
      <c r="F28" s="9">
        <f t="shared" si="5"/>
        <v>157976.81107549867</v>
      </c>
      <c r="H28" s="5" t="s">
        <v>8</v>
      </c>
      <c r="I28" s="1">
        <v>17908356.539999999</v>
      </c>
      <c r="J28" s="1">
        <v>9726213.4499999993</v>
      </c>
      <c r="K28" s="1">
        <v>15346788.16</v>
      </c>
      <c r="L28" s="1">
        <f t="shared" si="6"/>
        <v>14327119.383333333</v>
      </c>
      <c r="M28" s="7">
        <f t="shared" si="4"/>
        <v>5.944384053805004E-2</v>
      </c>
    </row>
    <row r="29" spans="2:13" x14ac:dyDescent="0.25">
      <c r="B29" s="5" t="s">
        <v>9</v>
      </c>
      <c r="C29" s="9">
        <f t="shared" si="1"/>
        <v>40960.404873076579</v>
      </c>
      <c r="D29" s="9">
        <f t="shared" si="2"/>
        <v>41160.18330991314</v>
      </c>
      <c r="E29" s="9">
        <f t="shared" si="3"/>
        <v>41108.441211321719</v>
      </c>
      <c r="F29" s="9">
        <f t="shared" si="5"/>
        <v>123229.02939431142</v>
      </c>
      <c r="H29" s="5" t="s">
        <v>35</v>
      </c>
      <c r="I29" s="1">
        <f>14297772.15-1489204.1</f>
        <v>12808568.050000001</v>
      </c>
      <c r="J29" s="1">
        <f>7626451.05-(-913452.65)</f>
        <v>8539903.6999999993</v>
      </c>
      <c r="K29" s="1">
        <f>13243563.14-1064639.25</f>
        <v>12178923.890000001</v>
      </c>
      <c r="L29" s="1">
        <f t="shared" si="6"/>
        <v>11175798.546666667</v>
      </c>
      <c r="M29" s="7">
        <f t="shared" si="4"/>
        <v>4.6368873527098495E-2</v>
      </c>
    </row>
    <row r="30" spans="2:13" x14ac:dyDescent="0.25">
      <c r="B30" s="5" t="s">
        <v>10</v>
      </c>
      <c r="C30" s="9">
        <f t="shared" si="1"/>
        <v>60932.644468357634</v>
      </c>
      <c r="D30" s="9">
        <f t="shared" si="2"/>
        <v>61229.834608492405</v>
      </c>
      <c r="E30" s="9">
        <f t="shared" si="3"/>
        <v>61152.863130615478</v>
      </c>
      <c r="F30" s="9">
        <f t="shared" si="5"/>
        <v>183315.34220746552</v>
      </c>
      <c r="H30" s="5" t="s">
        <v>10</v>
      </c>
      <c r="I30" s="1">
        <v>17607108.510000002</v>
      </c>
      <c r="J30" s="1">
        <v>13528756.49</v>
      </c>
      <c r="K30" s="1">
        <v>18739444.699999999</v>
      </c>
      <c r="L30" s="1">
        <f t="shared" si="6"/>
        <v>16625103.233333334</v>
      </c>
      <c r="M30" s="7">
        <f t="shared" si="4"/>
        <v>6.8978275331503469E-2</v>
      </c>
    </row>
    <row r="31" spans="2:13" x14ac:dyDescent="0.25">
      <c r="B31" s="5" t="s">
        <v>11</v>
      </c>
      <c r="C31" s="9">
        <f t="shared" si="1"/>
        <v>43317.653524333604</v>
      </c>
      <c r="D31" s="9">
        <f t="shared" si="2"/>
        <v>43528.929099741981</v>
      </c>
      <c r="E31" s="9">
        <f t="shared" si="3"/>
        <v>43474.20927198758</v>
      </c>
      <c r="F31" s="9">
        <f t="shared" si="5"/>
        <v>130320.79189606317</v>
      </c>
      <c r="H31" s="5" t="s">
        <v>11</v>
      </c>
      <c r="I31" s="1">
        <v>12720902.27</v>
      </c>
      <c r="J31" s="1">
        <v>9661899.6500000004</v>
      </c>
      <c r="K31" s="1">
        <v>13074076.800000001</v>
      </c>
      <c r="L31" s="1">
        <f t="shared" si="6"/>
        <v>11818959.573333332</v>
      </c>
      <c r="M31" s="7">
        <f t="shared" si="4"/>
        <v>4.9037376558764223E-2</v>
      </c>
    </row>
    <row r="32" spans="2:13" x14ac:dyDescent="0.25">
      <c r="B32" s="5" t="s">
        <v>12</v>
      </c>
      <c r="C32" s="9">
        <f t="shared" si="1"/>
        <v>0</v>
      </c>
      <c r="D32" s="9">
        <f t="shared" si="2"/>
        <v>0</v>
      </c>
      <c r="E32" s="9">
        <f t="shared" si="3"/>
        <v>0</v>
      </c>
      <c r="F32" s="9">
        <f t="shared" si="5"/>
        <v>0</v>
      </c>
      <c r="H32" s="5" t="s">
        <v>164</v>
      </c>
      <c r="I32" s="1">
        <v>0</v>
      </c>
      <c r="J32" s="1">
        <v>0</v>
      </c>
      <c r="K32" s="1">
        <v>0</v>
      </c>
      <c r="L32" s="1">
        <f t="shared" si="6"/>
        <v>0</v>
      </c>
      <c r="M32" s="7">
        <f t="shared" si="4"/>
        <v>0</v>
      </c>
    </row>
    <row r="33" spans="2:16" x14ac:dyDescent="0.25">
      <c r="B33" s="5" t="s">
        <v>13</v>
      </c>
      <c r="C33" s="9">
        <f t="shared" si="1"/>
        <v>64.886870968624265</v>
      </c>
      <c r="D33" s="9">
        <f t="shared" si="2"/>
        <v>65.203347275279341</v>
      </c>
      <c r="E33" s="9">
        <f t="shared" si="3"/>
        <v>65.121380730140174</v>
      </c>
      <c r="F33" s="9">
        <f t="shared" si="5"/>
        <v>195.2115989740438</v>
      </c>
      <c r="H33" s="5" t="s">
        <v>38</v>
      </c>
      <c r="I33" s="1">
        <f>461586.19-455906.02</f>
        <v>5680.1699999999837</v>
      </c>
      <c r="J33" s="1">
        <f>437483.97-492343.49</f>
        <v>-54859.520000000019</v>
      </c>
      <c r="K33" s="1">
        <f>468728.23-366436.91</f>
        <v>102291.32</v>
      </c>
      <c r="L33" s="1">
        <f t="shared" si="6"/>
        <v>17703.989999999991</v>
      </c>
      <c r="M33" s="7">
        <f t="shared" si="4"/>
        <v>7.345462338168799E-5</v>
      </c>
    </row>
    <row r="34" spans="2:16" x14ac:dyDescent="0.25">
      <c r="B34" s="5" t="s">
        <v>14</v>
      </c>
      <c r="C34" s="9">
        <f t="shared" si="1"/>
        <v>58601.710175200198</v>
      </c>
      <c r="D34" s="9">
        <f t="shared" si="2"/>
        <v>58887.531521230056</v>
      </c>
      <c r="E34" s="9">
        <f t="shared" si="3"/>
        <v>58813.504531631028</v>
      </c>
      <c r="F34" s="9">
        <f t="shared" si="5"/>
        <v>176302.74622806127</v>
      </c>
      <c r="H34" s="5" t="s">
        <v>14</v>
      </c>
      <c r="I34" s="1">
        <v>17084823.399999999</v>
      </c>
      <c r="J34" s="1">
        <v>13366846.9</v>
      </c>
      <c r="K34" s="1">
        <v>17515695.460000001</v>
      </c>
      <c r="L34" s="1">
        <f t="shared" si="6"/>
        <v>15989121.92</v>
      </c>
      <c r="M34" s="7">
        <f t="shared" si="4"/>
        <v>6.6339561242267572E-2</v>
      </c>
    </row>
    <row r="35" spans="2:16" x14ac:dyDescent="0.25">
      <c r="B35" s="5" t="s">
        <v>15</v>
      </c>
      <c r="C35" s="9">
        <f t="shared" si="1"/>
        <v>23162.18485676932</v>
      </c>
      <c r="D35" s="9">
        <f t="shared" si="2"/>
        <v>23275.155055641702</v>
      </c>
      <c r="E35" s="9">
        <f t="shared" si="3"/>
        <v>23245.8960662307</v>
      </c>
      <c r="F35" s="9">
        <f t="shared" si="5"/>
        <v>69683.235978641722</v>
      </c>
      <c r="H35" s="5" t="s">
        <v>15</v>
      </c>
      <c r="I35" s="1">
        <v>6684053.2699999996</v>
      </c>
      <c r="J35" s="1">
        <v>5934319.4299999997</v>
      </c>
      <c r="K35" s="1">
        <v>6340613.1299999999</v>
      </c>
      <c r="L35" s="1">
        <f t="shared" si="6"/>
        <v>6319661.9433333324</v>
      </c>
      <c r="M35" s="7">
        <f t="shared" si="4"/>
        <v>2.6220551861311298E-2</v>
      </c>
    </row>
    <row r="36" spans="2:16" x14ac:dyDescent="0.25">
      <c r="B36" s="5" t="s">
        <v>16</v>
      </c>
      <c r="C36" s="9">
        <f t="shared" si="1"/>
        <v>101584.8030556728</v>
      </c>
      <c r="D36" s="9">
        <f t="shared" si="2"/>
        <v>102080.26820607106</v>
      </c>
      <c r="E36" s="9">
        <f t="shared" si="3"/>
        <v>101951.94401319786</v>
      </c>
      <c r="F36" s="9">
        <f t="shared" si="5"/>
        <v>305617.01527494175</v>
      </c>
      <c r="H36" s="5" t="s">
        <v>39</v>
      </c>
      <c r="I36" s="1">
        <f>24416778.77+5000000</f>
        <v>29416778.77</v>
      </c>
      <c r="J36" s="1">
        <f>18897510.66+5000000</f>
        <v>23897510.66</v>
      </c>
      <c r="K36" s="1">
        <f>24836106.51+5000000</f>
        <v>29836106.510000002</v>
      </c>
      <c r="L36" s="1">
        <f>AVERAGE(I36:K36)</f>
        <v>27716798.646666665</v>
      </c>
      <c r="M36" s="7">
        <f t="shared" si="4"/>
        <v>0.11499820130586272</v>
      </c>
    </row>
    <row r="37" spans="2:16" x14ac:dyDescent="0.25">
      <c r="B37" s="5" t="s">
        <v>17</v>
      </c>
      <c r="C37" s="9">
        <f t="shared" si="1"/>
        <v>184987.4978893892</v>
      </c>
      <c r="D37" s="9">
        <f t="shared" si="2"/>
        <v>185889.74759314983</v>
      </c>
      <c r="E37" s="9">
        <f t="shared" si="3"/>
        <v>185656.06725274224</v>
      </c>
      <c r="F37" s="9">
        <f t="shared" si="5"/>
        <v>556533.3127352813</v>
      </c>
      <c r="H37" s="5" t="s">
        <v>17</v>
      </c>
      <c r="I37" s="1">
        <v>55710383.350000001</v>
      </c>
      <c r="J37" s="1">
        <v>39175699.93</v>
      </c>
      <c r="K37" s="1">
        <v>56532074.07</v>
      </c>
      <c r="L37" s="1">
        <f t="shared" si="6"/>
        <v>50472719.116666667</v>
      </c>
      <c r="M37" s="7">
        <f t="shared" si="4"/>
        <v>0.20941350360932626</v>
      </c>
    </row>
    <row r="38" spans="2:16" x14ac:dyDescent="0.25">
      <c r="B38" s="5" t="s">
        <v>18</v>
      </c>
      <c r="C38" s="9">
        <f t="shared" si="1"/>
        <v>32129.797960513497</v>
      </c>
      <c r="D38" s="9">
        <f t="shared" si="2"/>
        <v>32286.506392285984</v>
      </c>
      <c r="E38" s="9">
        <f t="shared" si="3"/>
        <v>32245.919313643892</v>
      </c>
      <c r="F38" s="9">
        <f t="shared" si="5"/>
        <v>96662.223666443373</v>
      </c>
      <c r="H38" s="5" t="s">
        <v>18</v>
      </c>
      <c r="I38" s="1">
        <v>6289999.6699999999</v>
      </c>
      <c r="J38" s="1">
        <v>10685998.18</v>
      </c>
      <c r="K38" s="1">
        <v>9323264.8499999996</v>
      </c>
      <c r="L38" s="1">
        <f t="shared" si="6"/>
        <v>8766420.9000000004</v>
      </c>
      <c r="M38" s="7">
        <f t="shared" si="4"/>
        <v>3.6372261033521744E-2</v>
      </c>
    </row>
    <row r="39" spans="2:16" x14ac:dyDescent="0.25">
      <c r="B39" s="5" t="s">
        <v>19</v>
      </c>
      <c r="C39" s="9">
        <f t="shared" si="1"/>
        <v>149750.16946979138</v>
      </c>
      <c r="D39" s="9">
        <f t="shared" si="2"/>
        <v>150480.5542124566</v>
      </c>
      <c r="E39" s="9">
        <f t="shared" si="3"/>
        <v>150291.38645259684</v>
      </c>
      <c r="F39" s="9">
        <f t="shared" si="5"/>
        <v>450522.11013484478</v>
      </c>
      <c r="H39" s="5" t="s">
        <v>19</v>
      </c>
      <c r="I39" s="1">
        <v>44864300.93</v>
      </c>
      <c r="J39" s="1">
        <v>35512595.310000002</v>
      </c>
      <c r="K39" s="1">
        <v>42198385.780000001</v>
      </c>
      <c r="L39" s="1">
        <f t="shared" si="6"/>
        <v>40858427.340000004</v>
      </c>
      <c r="M39" s="7">
        <f t="shared" si="4"/>
        <v>0.16952338948608567</v>
      </c>
    </row>
    <row r="40" spans="2:16" x14ac:dyDescent="0.25">
      <c r="B40" s="8" t="s">
        <v>23</v>
      </c>
      <c r="C40" s="9">
        <f>$C$21-(C18+C19+C20)</f>
        <v>883359.93</v>
      </c>
      <c r="D40" s="9">
        <f>$D$21-(D18+D19+D20)</f>
        <v>887668.39</v>
      </c>
      <c r="E40" s="9">
        <f>$E$21-(E18+E19+E20)</f>
        <v>886552.50999999989</v>
      </c>
      <c r="F40" s="9">
        <f t="shared" si="5"/>
        <v>2657580.83</v>
      </c>
      <c r="H40" s="8" t="s">
        <v>23</v>
      </c>
      <c r="I40" s="1">
        <f>SUM(I26:I39)</f>
        <v>262173296.38</v>
      </c>
      <c r="J40" s="1">
        <f>SUM(J26:J39)</f>
        <v>198703072.86000001</v>
      </c>
      <c r="K40" s="1">
        <f>SUM(K26:K39)</f>
        <v>262181861.19999996</v>
      </c>
      <c r="L40" s="1">
        <f>SUM(L26:L39)</f>
        <v>241019410.14666668</v>
      </c>
      <c r="M40" s="10">
        <f>SUM(M26:M39)</f>
        <v>1</v>
      </c>
    </row>
    <row r="43" spans="2:16" ht="15.75" x14ac:dyDescent="0.25">
      <c r="B43" s="39" t="s">
        <v>131</v>
      </c>
      <c r="C43" s="39"/>
      <c r="D43" s="39"/>
      <c r="E43" s="39"/>
      <c r="F43" s="39"/>
      <c r="H43" s="38" t="s">
        <v>163</v>
      </c>
      <c r="I43" s="38"/>
      <c r="J43" s="38"/>
      <c r="K43" s="38"/>
      <c r="L43" s="38"/>
      <c r="M43" s="38"/>
      <c r="N43" s="38"/>
      <c r="O43" s="38"/>
      <c r="P43" s="38"/>
    </row>
    <row r="44" spans="2:16" x14ac:dyDescent="0.25">
      <c r="B44" s="6"/>
      <c r="C44" s="6" t="s">
        <v>0</v>
      </c>
      <c r="D44" s="6" t="s">
        <v>1</v>
      </c>
      <c r="E44" s="6" t="s">
        <v>2</v>
      </c>
      <c r="F44" s="6" t="s">
        <v>4</v>
      </c>
      <c r="H44"/>
      <c r="I44"/>
      <c r="J44"/>
      <c r="K44"/>
      <c r="L44"/>
      <c r="M44"/>
      <c r="N44"/>
      <c r="O44"/>
      <c r="P44"/>
    </row>
    <row r="45" spans="2:16" x14ac:dyDescent="0.25">
      <c r="B45" s="5" t="s">
        <v>6</v>
      </c>
      <c r="C45" s="9">
        <f t="shared" ref="C45:E58" si="7">C26-C4</f>
        <v>2652.2113227370646</v>
      </c>
      <c r="D45" s="9">
        <f t="shared" si="7"/>
        <v>2878.8008555117267</v>
      </c>
      <c r="E45" s="9">
        <f t="shared" si="7"/>
        <v>2820.1147523953914</v>
      </c>
      <c r="F45" s="9">
        <f>SUM(C45+D45+E45)</f>
        <v>8351.1269306441827</v>
      </c>
      <c r="H45" s="18" t="s">
        <v>157</v>
      </c>
      <c r="I45" t="s">
        <v>177</v>
      </c>
      <c r="J45"/>
      <c r="K45"/>
      <c r="L45"/>
      <c r="M45"/>
      <c r="N45"/>
      <c r="O45"/>
      <c r="P45"/>
    </row>
    <row r="46" spans="2:16" x14ac:dyDescent="0.25">
      <c r="B46" s="5" t="s">
        <v>7</v>
      </c>
      <c r="C46" s="9">
        <f t="shared" si="7"/>
        <v>2288.4087165670644</v>
      </c>
      <c r="D46" s="9">
        <f t="shared" si="7"/>
        <v>2722.0075724026101</v>
      </c>
      <c r="E46" s="9">
        <f t="shared" si="7"/>
        <v>2609.7065898590081</v>
      </c>
      <c r="F46" s="9">
        <f t="shared" ref="F46:F58" si="8">SUM(C46+D46+E46)</f>
        <v>7620.1228788286826</v>
      </c>
      <c r="H46" s="18" t="s">
        <v>159</v>
      </c>
      <c r="I46" t="s">
        <v>161</v>
      </c>
      <c r="J46"/>
      <c r="K46"/>
      <c r="L46"/>
      <c r="M46"/>
      <c r="N46"/>
      <c r="O46"/>
      <c r="P46"/>
    </row>
    <row r="47" spans="2:16" x14ac:dyDescent="0.25">
      <c r="B47" s="5" t="s">
        <v>8</v>
      </c>
      <c r="C47" s="9">
        <f t="shared" si="7"/>
        <v>-12495.583183376948</v>
      </c>
      <c r="D47" s="9">
        <f t="shared" si="7"/>
        <v>-14228.631774172391</v>
      </c>
      <c r="E47" s="9">
        <f t="shared" si="7"/>
        <v>-14696.14396695199</v>
      </c>
      <c r="F47" s="9">
        <f t="shared" si="8"/>
        <v>-41420.358924501328</v>
      </c>
      <c r="H47" s="18" t="s">
        <v>160</v>
      </c>
      <c r="I47" t="s">
        <v>178</v>
      </c>
      <c r="J47"/>
      <c r="K47"/>
      <c r="L47"/>
      <c r="M47"/>
      <c r="N47"/>
      <c r="O47"/>
      <c r="P47"/>
    </row>
    <row r="48" spans="2:16" x14ac:dyDescent="0.25">
      <c r="B48" s="5" t="s">
        <v>9</v>
      </c>
      <c r="C48" s="9">
        <f t="shared" si="7"/>
        <v>-2560.2251269234184</v>
      </c>
      <c r="D48" s="9">
        <f t="shared" si="7"/>
        <v>-3833.0266900868592</v>
      </c>
      <c r="E48" s="9">
        <f t="shared" si="7"/>
        <v>-3336.7887886782846</v>
      </c>
      <c r="F48" s="9">
        <f t="shared" si="8"/>
        <v>-9730.0406056885622</v>
      </c>
      <c r="K48"/>
      <c r="L48"/>
      <c r="M48"/>
      <c r="N48"/>
      <c r="O48"/>
      <c r="P48"/>
    </row>
    <row r="49" spans="2:6" x14ac:dyDescent="0.25">
      <c r="B49" s="5" t="s">
        <v>10</v>
      </c>
      <c r="C49" s="9">
        <f t="shared" si="7"/>
        <v>6823.9344683576346</v>
      </c>
      <c r="D49" s="9">
        <f t="shared" si="7"/>
        <v>7121.1146084924039</v>
      </c>
      <c r="E49" s="9">
        <f t="shared" si="7"/>
        <v>7044.1531306154793</v>
      </c>
      <c r="F49" s="9">
        <f t="shared" si="8"/>
        <v>20989.202207465518</v>
      </c>
    </row>
    <row r="50" spans="2:6" x14ac:dyDescent="0.25">
      <c r="B50" s="5" t="s">
        <v>11</v>
      </c>
      <c r="C50" s="9">
        <f t="shared" si="7"/>
        <v>937.90352433360385</v>
      </c>
      <c r="D50" s="9">
        <f t="shared" si="7"/>
        <v>1026.199099741978</v>
      </c>
      <c r="E50" s="9">
        <f t="shared" si="7"/>
        <v>1094.45927198758</v>
      </c>
      <c r="F50" s="9">
        <f t="shared" si="8"/>
        <v>3058.5618960631618</v>
      </c>
    </row>
    <row r="51" spans="2:6" x14ac:dyDescent="0.25">
      <c r="B51" s="5" t="s">
        <v>12</v>
      </c>
      <c r="C51" s="9">
        <f t="shared" si="7"/>
        <v>0</v>
      </c>
      <c r="D51" s="9">
        <f t="shared" si="7"/>
        <v>0</v>
      </c>
      <c r="E51" s="9">
        <f t="shared" si="7"/>
        <v>0</v>
      </c>
      <c r="F51" s="9">
        <f t="shared" si="8"/>
        <v>0</v>
      </c>
    </row>
    <row r="52" spans="2:6" x14ac:dyDescent="0.25">
      <c r="B52" s="5" t="s">
        <v>13</v>
      </c>
      <c r="C52" s="9">
        <f t="shared" si="7"/>
        <v>-1746.4431290313757</v>
      </c>
      <c r="D52" s="9">
        <f t="shared" si="7"/>
        <v>-1820.3366527247206</v>
      </c>
      <c r="E52" s="9">
        <f t="shared" si="7"/>
        <v>-1746.2086192698598</v>
      </c>
      <c r="F52" s="9">
        <f t="shared" si="8"/>
        <v>-5312.9884010259557</v>
      </c>
    </row>
    <row r="53" spans="2:6" x14ac:dyDescent="0.25">
      <c r="B53" s="5" t="s">
        <v>14</v>
      </c>
      <c r="C53" s="9">
        <f t="shared" si="7"/>
        <v>3136.9501752001961</v>
      </c>
      <c r="D53" s="9">
        <f t="shared" si="7"/>
        <v>3437.161521230053</v>
      </c>
      <c r="E53" s="9">
        <f t="shared" si="7"/>
        <v>3471.1245316310305</v>
      </c>
      <c r="F53" s="9">
        <f t="shared" si="8"/>
        <v>10045.23622806128</v>
      </c>
    </row>
    <row r="54" spans="2:6" x14ac:dyDescent="0.25">
      <c r="B54" s="5" t="s">
        <v>15</v>
      </c>
      <c r="C54" s="9">
        <f t="shared" si="7"/>
        <v>-542.55514323068201</v>
      </c>
      <c r="D54" s="9">
        <f t="shared" si="7"/>
        <v>-1093.4649443582966</v>
      </c>
      <c r="E54" s="9">
        <f t="shared" si="7"/>
        <v>-458.84393376930166</v>
      </c>
      <c r="F54" s="9">
        <f t="shared" si="8"/>
        <v>-2094.8640213582803</v>
      </c>
    </row>
    <row r="55" spans="2:6" x14ac:dyDescent="0.25">
      <c r="B55" s="5" t="s">
        <v>16</v>
      </c>
      <c r="C55" s="9">
        <f t="shared" si="7"/>
        <v>-5548.0169443272025</v>
      </c>
      <c r="D55" s="9">
        <f t="shared" si="7"/>
        <v>-5052.5617939289368</v>
      </c>
      <c r="E55" s="9">
        <f t="shared" si="7"/>
        <v>-5180.8759868021443</v>
      </c>
      <c r="F55" s="9">
        <f t="shared" si="8"/>
        <v>-15781.454725058284</v>
      </c>
    </row>
    <row r="56" spans="2:6" x14ac:dyDescent="0.25">
      <c r="B56" s="5" t="s">
        <v>17</v>
      </c>
      <c r="C56" s="9">
        <f t="shared" si="7"/>
        <v>21413.327889389184</v>
      </c>
      <c r="D56" s="9">
        <f t="shared" si="7"/>
        <v>22315.557593149832</v>
      </c>
      <c r="E56" s="9">
        <f t="shared" si="7"/>
        <v>22081.877252742241</v>
      </c>
      <c r="F56" s="9">
        <f t="shared" si="8"/>
        <v>65810.762735281256</v>
      </c>
    </row>
    <row r="57" spans="2:6" x14ac:dyDescent="0.25">
      <c r="B57" s="5" t="s">
        <v>18</v>
      </c>
      <c r="C57" s="9">
        <f t="shared" si="7"/>
        <v>2638.6679605134959</v>
      </c>
      <c r="D57" s="9">
        <f t="shared" si="7"/>
        <v>2795.3763922859835</v>
      </c>
      <c r="E57" s="9">
        <f t="shared" si="7"/>
        <v>2754.7893136438906</v>
      </c>
      <c r="F57" s="9">
        <f t="shared" si="8"/>
        <v>8188.83366644337</v>
      </c>
    </row>
    <row r="58" spans="2:6" x14ac:dyDescent="0.25">
      <c r="B58" s="5" t="s">
        <v>19</v>
      </c>
      <c r="C58" s="9">
        <f t="shared" si="7"/>
        <v>-16998.580530208623</v>
      </c>
      <c r="D58" s="9">
        <f t="shared" si="7"/>
        <v>-16268.195787543402</v>
      </c>
      <c r="E58" s="9">
        <f t="shared" si="7"/>
        <v>-16457.363547403162</v>
      </c>
      <c r="F58" s="9">
        <f t="shared" si="8"/>
        <v>-49724.139865155186</v>
      </c>
    </row>
    <row r="59" spans="2:6" x14ac:dyDescent="0.25">
      <c r="B59" s="8" t="s">
        <v>23</v>
      </c>
      <c r="C59" s="9">
        <f>SUM(C45:C58)</f>
        <v>0</v>
      </c>
      <c r="D59" s="9">
        <f>SUM(D45:D58)</f>
        <v>-1.8189894035458565E-11</v>
      </c>
      <c r="E59" s="9">
        <f>SUM(E45:E58)</f>
        <v>-1.2005330063402653E-10</v>
      </c>
      <c r="F59" s="9">
        <f>SUM(C59+D59+E59)</f>
        <v>-1.3824319466948509E-10</v>
      </c>
    </row>
  </sheetData>
  <sheetProtection algorithmName="SHA-512" hashValue="zmjRJ81fxlzVO0aPfVPmJiOZELrLq29R3Zybq6XRJW5qC6sbNYb8H+O5Dnetow/khhqoWmfv30EB/UKcGHwQzQ==" saltValue="oGHSO+viWaNz3bsLjWLC0Q==" spinCount="100000" sheet="1" objects="1" scenarios="1"/>
  <mergeCells count="6">
    <mergeCell ref="B2:F2"/>
    <mergeCell ref="H2:M2"/>
    <mergeCell ref="B24:F24"/>
    <mergeCell ref="H24:M24"/>
    <mergeCell ref="B43:F43"/>
    <mergeCell ref="H43:P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E65A-DDEF-45FA-AE44-9C9577516BD3}">
  <dimension ref="B4:L25"/>
  <sheetViews>
    <sheetView workbookViewId="0">
      <selection activeCell="B4" sqref="B4"/>
    </sheetView>
  </sheetViews>
  <sheetFormatPr defaultRowHeight="15" x14ac:dyDescent="0.25"/>
  <cols>
    <col min="2" max="2" width="22.140625" bestFit="1" customWidth="1"/>
    <col min="3" max="3" width="15.28515625" bestFit="1" customWidth="1"/>
    <col min="4" max="9" width="14.28515625" bestFit="1" customWidth="1"/>
    <col min="10" max="11" width="12.5703125" bestFit="1" customWidth="1"/>
    <col min="12" max="12" width="14.28515625" bestFit="1" customWidth="1"/>
  </cols>
  <sheetData>
    <row r="4" spans="2:12" s="40" customFormat="1" x14ac:dyDescent="0.25">
      <c r="C4" s="40" t="s">
        <v>184</v>
      </c>
      <c r="D4" s="40" t="s">
        <v>57</v>
      </c>
      <c r="E4" s="40" t="s">
        <v>58</v>
      </c>
      <c r="F4" s="40" t="s">
        <v>59</v>
      </c>
      <c r="G4" s="40" t="s">
        <v>60</v>
      </c>
      <c r="H4" s="40" t="s">
        <v>61</v>
      </c>
      <c r="I4" s="40" t="s">
        <v>62</v>
      </c>
      <c r="J4" s="40" t="s">
        <v>63</v>
      </c>
      <c r="K4" s="40" t="s">
        <v>64</v>
      </c>
      <c r="L4" s="40" t="s">
        <v>64</v>
      </c>
    </row>
    <row r="5" spans="2:12" x14ac:dyDescent="0.25">
      <c r="B5" s="18" t="s">
        <v>6</v>
      </c>
      <c r="C5" s="9">
        <f>SUM(D5:L5)</f>
        <v>-10873.047766664709</v>
      </c>
      <c r="D5" s="17">
        <f>'FY2020'!G65</f>
        <v>982.09329227730632</v>
      </c>
      <c r="E5" s="17">
        <f>'FY2019'!G65</f>
        <v>-1013.9705971011717</v>
      </c>
      <c r="F5" s="17">
        <f>'FY2018'!G65</f>
        <v>371.98132695625827</v>
      </c>
      <c r="G5" s="17">
        <f>'FY2017'!G65</f>
        <v>-2066.6731656802804</v>
      </c>
      <c r="H5" s="17">
        <f>'FY2016'!G65</f>
        <v>-4202.9968058265476</v>
      </c>
      <c r="I5" s="17">
        <f>'FY2015'!G65</f>
        <v>-2320.3001879898839</v>
      </c>
      <c r="J5" s="17">
        <f>'FY2014'!D64</f>
        <v>-10660.946984313836</v>
      </c>
      <c r="K5" s="17">
        <f>'$500K "Undistributed" 4Q FY2013'!D45</f>
        <v>-313.36157563073721</v>
      </c>
      <c r="L5" s="17">
        <f>'FY2013'!F45</f>
        <v>8351.1269306441827</v>
      </c>
    </row>
    <row r="6" spans="2:12" x14ac:dyDescent="0.25">
      <c r="B6" s="18" t="s">
        <v>7</v>
      </c>
      <c r="C6" s="9">
        <f t="shared" ref="C6:C18" si="0">SUM(D6:L6)</f>
        <v>30629.604222651131</v>
      </c>
      <c r="D6" s="17">
        <f>'FY2020'!G66</f>
        <v>-5019.2386222171845</v>
      </c>
      <c r="E6" s="17">
        <f>'FY2019'!G66</f>
        <v>-1235.2602580657476</v>
      </c>
      <c r="F6" s="17">
        <f>'FY2018'!G66</f>
        <v>535.64485302655157</v>
      </c>
      <c r="G6" s="17">
        <f>'FY2017'!G66</f>
        <v>7333.9528951417924</v>
      </c>
      <c r="H6" s="17">
        <f>'FY2016'!G66</f>
        <v>24780.11619966348</v>
      </c>
      <c r="I6" s="17">
        <f>'FY2015'!G66</f>
        <v>-5805.0266247417603</v>
      </c>
      <c r="J6" s="17">
        <f>'FY2014'!D65</f>
        <v>3002.3689379698917</v>
      </c>
      <c r="K6" s="17">
        <f>'$500K "Undistributed" 4Q FY2013'!D46</f>
        <v>-583.0760369545751</v>
      </c>
      <c r="L6" s="17">
        <f>'FY2013'!F46</f>
        <v>7620.1228788286826</v>
      </c>
    </row>
    <row r="7" spans="2:12" x14ac:dyDescent="0.25">
      <c r="B7" s="18" t="s">
        <v>8</v>
      </c>
      <c r="C7" s="9">
        <f t="shared" si="0"/>
        <v>-20570.885198348089</v>
      </c>
      <c r="D7" s="17">
        <f>'FY2020'!G67</f>
        <v>1591.333707471349</v>
      </c>
      <c r="E7" s="17">
        <f>'FY2019'!G67</f>
        <v>23971.863207457776</v>
      </c>
      <c r="F7" s="17">
        <f>'FY2018'!G67</f>
        <v>690.98983751437481</v>
      </c>
      <c r="G7" s="17">
        <f>'FY2017'!G67</f>
        <v>-5556.6316906291031</v>
      </c>
      <c r="H7" s="17">
        <f>'FY2016'!G67</f>
        <v>-3494.5296551418469</v>
      </c>
      <c r="I7" s="17">
        <f>'FY2015'!G67</f>
        <v>2588.1946569622305</v>
      </c>
      <c r="J7" s="17">
        <f>'FY2014'!D66</f>
        <v>513.8847425663771</v>
      </c>
      <c r="K7" s="17">
        <f>'$500K "Undistributed" 4Q FY2013'!D47</f>
        <v>544.36891995208134</v>
      </c>
      <c r="L7" s="17">
        <f>'FY2013'!F47</f>
        <v>-41420.358924501328</v>
      </c>
    </row>
    <row r="8" spans="2:12" x14ac:dyDescent="0.25">
      <c r="B8" s="18" t="s">
        <v>9</v>
      </c>
      <c r="C8" s="9">
        <f t="shared" si="0"/>
        <v>-20831.899303752154</v>
      </c>
      <c r="D8" s="17">
        <f>'FY2020'!G68</f>
        <v>1309.0841401901853</v>
      </c>
      <c r="E8" s="17">
        <f>'FY2019'!G68</f>
        <v>-1144.4360986070897</v>
      </c>
      <c r="F8" s="17">
        <f>'FY2018'!G68</f>
        <v>350.2277546582518</v>
      </c>
      <c r="G8" s="17">
        <f>'FY2017'!G68</f>
        <v>-4530.4093491901258</v>
      </c>
      <c r="H8" s="17">
        <f>'FY2016'!G68</f>
        <v>-974.8296446921122</v>
      </c>
      <c r="I8" s="17">
        <f>'FY2015'!G68</f>
        <v>-3377.5053804953604</v>
      </c>
      <c r="J8" s="17">
        <f>'FY2014'!D67</f>
        <v>-164.37238844998501</v>
      </c>
      <c r="K8" s="17">
        <f>'$500K "Undistributed" 4Q FY2013'!D48</f>
        <v>-2569.6177314773558</v>
      </c>
      <c r="L8" s="17">
        <f>'FY2013'!F48</f>
        <v>-9730.0406056885622</v>
      </c>
    </row>
    <row r="9" spans="2:12" x14ac:dyDescent="0.25">
      <c r="B9" s="18" t="s">
        <v>10</v>
      </c>
      <c r="C9" s="9">
        <f t="shared" si="0"/>
        <v>16040.186200219443</v>
      </c>
      <c r="D9" s="17">
        <f>'FY2020'!G69</f>
        <v>-139.74668214021949</v>
      </c>
      <c r="E9" s="17">
        <f>'FY2019'!G69</f>
        <v>-3861.4049189741199</v>
      </c>
      <c r="F9" s="17">
        <f>'FY2018'!G69</f>
        <v>440.69146907769027</v>
      </c>
      <c r="G9" s="17">
        <f>'FY2017'!G69</f>
        <v>-115.17447508796613</v>
      </c>
      <c r="H9" s="17">
        <f>'FY2016'!G69</f>
        <v>-5146.7404234386486</v>
      </c>
      <c r="I9" s="17">
        <f>'FY2015'!G69</f>
        <v>3949.6344155412771</v>
      </c>
      <c r="J9" s="17">
        <f>'FY2014'!D68</f>
        <v>340.3431565107021</v>
      </c>
      <c r="K9" s="17">
        <f>'$500K "Undistributed" 4Q FY2013'!D49</f>
        <v>-416.61854873479024</v>
      </c>
      <c r="L9" s="17">
        <f>'FY2013'!F49</f>
        <v>20989.202207465518</v>
      </c>
    </row>
    <row r="10" spans="2:12" x14ac:dyDescent="0.25">
      <c r="B10" s="18" t="s">
        <v>11</v>
      </c>
      <c r="C10" s="9">
        <f t="shared" si="0"/>
        <v>1465.9631729091125</v>
      </c>
      <c r="D10" s="17">
        <f>'FY2020'!G70</f>
        <v>1262.7095982188621</v>
      </c>
      <c r="E10" s="17">
        <f>'FY2019'!G70</f>
        <v>-1151.2334141569299</v>
      </c>
      <c r="F10" s="17">
        <f>'FY2018'!G70</f>
        <v>393.06578613492456</v>
      </c>
      <c r="G10" s="17">
        <f>'FY2017'!G70</f>
        <v>-2062.5761123720804</v>
      </c>
      <c r="H10" s="17">
        <f>'FY2016'!G70</f>
        <v>-1844.8203035267506</v>
      </c>
      <c r="I10" s="17">
        <f>'FY2015'!G70</f>
        <v>1976.0641366175587</v>
      </c>
      <c r="J10" s="17">
        <f>'FY2014'!D69</f>
        <v>127.83441529069023</v>
      </c>
      <c r="K10" s="17">
        <f>'$500K "Undistributed" 4Q FY2013'!D50</f>
        <v>-293.64282936032396</v>
      </c>
      <c r="L10" s="17">
        <f>'FY2013'!F50</f>
        <v>3058.5618960631618</v>
      </c>
    </row>
    <row r="11" spans="2:12" x14ac:dyDescent="0.25">
      <c r="B11" s="18" t="s">
        <v>12</v>
      </c>
      <c r="C11" s="9">
        <f t="shared" si="0"/>
        <v>6660.0089921649105</v>
      </c>
      <c r="D11" s="17">
        <f>'FY2020'!G71</f>
        <v>93.018196763262495</v>
      </c>
      <c r="E11" s="17">
        <f>'FY2019'!G71</f>
        <v>6566.990795401648</v>
      </c>
      <c r="F11" s="17">
        <f>'FY2018'!G71</f>
        <v>0</v>
      </c>
      <c r="G11" s="17">
        <f>'FY2017'!G71</f>
        <v>0</v>
      </c>
      <c r="H11" s="17">
        <f>'FY2016'!G71</f>
        <v>0</v>
      </c>
      <c r="I11" s="17">
        <f>'FY2015'!G71</f>
        <v>0</v>
      </c>
      <c r="J11" s="17">
        <f>'FY2014'!D70</f>
        <v>0</v>
      </c>
      <c r="K11" s="17">
        <f>'$500K "Undistributed" 4Q FY2013'!D51</f>
        <v>0</v>
      </c>
      <c r="L11" s="17">
        <f>'FY2013'!F51</f>
        <v>0</v>
      </c>
    </row>
    <row r="12" spans="2:12" x14ac:dyDescent="0.25">
      <c r="B12" s="18" t="s">
        <v>13</v>
      </c>
      <c r="C12" s="9">
        <f t="shared" si="0"/>
        <v>-8377.2235831319122</v>
      </c>
      <c r="D12" s="17">
        <f>'FY2020'!G72</f>
        <v>-25.143180930194362</v>
      </c>
      <c r="E12" s="17">
        <f>'FY2019'!G72</f>
        <v>89.032552826304851</v>
      </c>
      <c r="F12" s="17">
        <f>'FY2018'!G72</f>
        <v>0</v>
      </c>
      <c r="G12" s="17">
        <f>'FY2017'!G72</f>
        <v>0</v>
      </c>
      <c r="H12" s="17">
        <f>'FY2016'!G72</f>
        <v>0</v>
      </c>
      <c r="I12" s="17">
        <f>'FY2015'!G72</f>
        <v>-1739.4673942491045</v>
      </c>
      <c r="J12" s="17">
        <f>'FY2014'!D71</f>
        <v>-619.3589844349558</v>
      </c>
      <c r="K12" s="17">
        <f>'$500K "Undistributed" 4Q FY2013'!D52</f>
        <v>-769.29817531800768</v>
      </c>
      <c r="L12" s="17">
        <f>'FY2013'!F52</f>
        <v>-5312.9884010259557</v>
      </c>
    </row>
    <row r="13" spans="2:12" x14ac:dyDescent="0.25">
      <c r="B13" s="18" t="s">
        <v>14</v>
      </c>
      <c r="C13" s="9">
        <f t="shared" si="0"/>
        <v>5246.4679594886948</v>
      </c>
      <c r="D13" s="17">
        <f>'FY2020'!G73</f>
        <v>1311.8967366385623</v>
      </c>
      <c r="E13" s="17">
        <f>'FY2019'!G73</f>
        <v>-1312.2250335604476</v>
      </c>
      <c r="F13" s="17">
        <f>'FY2018'!G73</f>
        <v>-654.01220169064618</v>
      </c>
      <c r="G13" s="17">
        <f>'FY2017'!G73</f>
        <v>-2791.0573639762224</v>
      </c>
      <c r="H13" s="17">
        <f>'FY2016'!G73</f>
        <v>-4598.4681806420267</v>
      </c>
      <c r="I13" s="17">
        <f>'FY2015'!G73</f>
        <v>1782.6360506714445</v>
      </c>
      <c r="J13" s="17">
        <f>'FY2014'!D72</f>
        <v>1869.3686971746429</v>
      </c>
      <c r="K13" s="17">
        <f>'$500K "Undistributed" 4Q FY2013'!D53</f>
        <v>-406.90697318789171</v>
      </c>
      <c r="L13" s="17">
        <f>'FY2013'!F53</f>
        <v>10045.23622806128</v>
      </c>
    </row>
    <row r="14" spans="2:12" x14ac:dyDescent="0.25">
      <c r="B14" s="18" t="s">
        <v>15</v>
      </c>
      <c r="C14" s="9">
        <f t="shared" si="0"/>
        <v>-4362.4314657391169</v>
      </c>
      <c r="D14" s="17">
        <f>'FY2020'!G74</f>
        <v>575.86260729314381</v>
      </c>
      <c r="E14" s="17">
        <f>'FY2019'!G74</f>
        <v>-532.78851038997163</v>
      </c>
      <c r="F14" s="17">
        <f>'FY2018'!G74</f>
        <v>357.23054564356062</v>
      </c>
      <c r="G14" s="17">
        <f>'FY2017'!G74</f>
        <v>-1117.1862865069997</v>
      </c>
      <c r="H14" s="17">
        <f>'FY2016'!G74</f>
        <v>-2249.1796333034708</v>
      </c>
      <c r="I14" s="17">
        <f>'FY2015'!G74</f>
        <v>516.49385243997676</v>
      </c>
      <c r="J14" s="17">
        <f>'FY2014'!D73</f>
        <v>342.17248290482166</v>
      </c>
      <c r="K14" s="17">
        <f>'$500K "Undistributed" 4Q FY2013'!D54</f>
        <v>-160.17250246189724</v>
      </c>
      <c r="L14" s="17">
        <f>'FY2013'!F54</f>
        <v>-2094.8640213582803</v>
      </c>
    </row>
    <row r="15" spans="2:12" x14ac:dyDescent="0.25">
      <c r="B15" s="18" t="s">
        <v>16</v>
      </c>
      <c r="C15" s="9">
        <f t="shared" si="0"/>
        <v>14284.204462413698</v>
      </c>
      <c r="D15" s="17">
        <f>'FY2020'!G75</f>
        <v>2926.656012024032</v>
      </c>
      <c r="E15" s="17">
        <f>'FY2019'!G75</f>
        <v>-2441.8808933336113</v>
      </c>
      <c r="F15" s="17">
        <f>'FY2018'!G75</f>
        <v>795.69287461544445</v>
      </c>
      <c r="G15" s="17">
        <f>'FY2017'!G75</f>
        <v>275.98724617600965</v>
      </c>
      <c r="H15" s="17">
        <f>'FY2016'!G75</f>
        <v>-4290.76534526662</v>
      </c>
      <c r="I15" s="17">
        <f>'FY2015'!G75</f>
        <v>8336.4121185496115</v>
      </c>
      <c r="J15" s="17">
        <f>'FY2014'!D74</f>
        <v>17021.301818313419</v>
      </c>
      <c r="K15" s="17">
        <f>'$500K "Undistributed" 4Q FY2013'!D55</f>
        <v>7442.2553563936963</v>
      </c>
      <c r="L15" s="17">
        <f>'FY2013'!F55</f>
        <v>-15781.454725058284</v>
      </c>
    </row>
    <row r="16" spans="2:12" x14ac:dyDescent="0.25">
      <c r="B16" s="18" t="s">
        <v>17</v>
      </c>
      <c r="C16" s="9">
        <f t="shared" si="0"/>
        <v>-274.99851130000025</v>
      </c>
      <c r="D16" s="17">
        <f>'FY2020'!G76</f>
        <v>-8677.8535965565243</v>
      </c>
      <c r="E16" s="17">
        <f>'FY2019'!G76</f>
        <v>-14750.377183454664</v>
      </c>
      <c r="F16" s="17">
        <f>'FY2018'!G76</f>
        <v>-4414.8832066948526</v>
      </c>
      <c r="G16" s="17">
        <f>'FY2017'!G76</f>
        <v>8686.3027213376481</v>
      </c>
      <c r="H16" s="17">
        <f>'FY2016'!G76</f>
        <v>-19639.474356923762</v>
      </c>
      <c r="I16" s="17">
        <f>'FY2015'!G76</f>
        <v>-9084.9293999278307</v>
      </c>
      <c r="J16" s="17">
        <f>'FY2014'!D75</f>
        <v>-16956.917660620966</v>
      </c>
      <c r="K16" s="17">
        <f>'$500K "Undistributed" 4Q FY2013'!D56</f>
        <v>-1247.6285637403053</v>
      </c>
      <c r="L16" s="17">
        <f>'FY2013'!F56</f>
        <v>65810.762735281256</v>
      </c>
    </row>
    <row r="17" spans="2:12" x14ac:dyDescent="0.25">
      <c r="B17" s="18" t="s">
        <v>18</v>
      </c>
      <c r="C17" s="9">
        <f t="shared" si="0"/>
        <v>2611.721711633345</v>
      </c>
      <c r="D17" s="17">
        <f>'FY2020'!G77</f>
        <v>883.95081076378119</v>
      </c>
      <c r="E17" s="17">
        <f>'FY2019'!G77</f>
        <v>-600.83630437422107</v>
      </c>
      <c r="F17" s="17">
        <f>'FY2018'!G77</f>
        <v>190.55349939766529</v>
      </c>
      <c r="G17" s="17">
        <f>'FY2017'!G77</f>
        <v>2473.1291414300249</v>
      </c>
      <c r="H17" s="17">
        <f>'FY2016'!G77</f>
        <v>-5064.6673050003101</v>
      </c>
      <c r="I17" s="17">
        <f>'FY2015'!G77</f>
        <v>339.30651066021346</v>
      </c>
      <c r="J17" s="17">
        <f>'FY2014'!D76</f>
        <v>-3592.2048403369627</v>
      </c>
      <c r="K17" s="17">
        <f>'$500K "Undistributed" 4Q FY2013'!D57</f>
        <v>-206.34346735021609</v>
      </c>
      <c r="L17" s="17">
        <f>'FY2013'!F57</f>
        <v>8188.83366644337</v>
      </c>
    </row>
    <row r="18" spans="2:12" x14ac:dyDescent="0.25">
      <c r="B18" s="18" t="s">
        <v>19</v>
      </c>
      <c r="C18" s="9">
        <f t="shared" si="0"/>
        <v>-11647.670892545997</v>
      </c>
      <c r="D18" s="17">
        <f>'FY2020'!G78</f>
        <v>2925.376980204077</v>
      </c>
      <c r="E18" s="17">
        <f>'FY2019'!G78</f>
        <v>-2583.4733436685929</v>
      </c>
      <c r="F18" s="17">
        <f>'FY2018'!G78</f>
        <v>942.81746136014408</v>
      </c>
      <c r="G18" s="17">
        <f>'FY2017'!G78</f>
        <v>-529.66356064305</v>
      </c>
      <c r="H18" s="17">
        <f>'FY2016'!G78</f>
        <v>26726.355454098317</v>
      </c>
      <c r="I18" s="17">
        <f>'FY2015'!G78</f>
        <v>2838.4872459616599</v>
      </c>
      <c r="J18" s="17">
        <f>'FY2014'!D77</f>
        <v>8776.5266074262181</v>
      </c>
      <c r="K18" s="17">
        <f>'$500K "Undistributed" 4Q FY2013'!D58</f>
        <v>-1019.9578721295838</v>
      </c>
      <c r="L18" s="17">
        <f>'FY2013'!F58</f>
        <v>-49724.139865155186</v>
      </c>
    </row>
    <row r="19" spans="2:12" x14ac:dyDescent="0.25">
      <c r="B19" s="18" t="s">
        <v>23</v>
      </c>
      <c r="C19" s="17">
        <f>SUM(C5:C18)</f>
        <v>-1.6443664208054543E-9</v>
      </c>
      <c r="D19" s="17">
        <f>SUM(D5:D18)</f>
        <v>4.3837644625455141E-10</v>
      </c>
      <c r="E19" s="17">
        <f t="shared" ref="E19:L19" si="1">SUM(E5:E18)</f>
        <v>-8.3673512563109398E-10</v>
      </c>
      <c r="F19" s="17">
        <f t="shared" si="1"/>
        <v>-6.3300831243395805E-10</v>
      </c>
      <c r="G19" s="17">
        <f t="shared" si="1"/>
        <v>-3.5288394428789616E-10</v>
      </c>
      <c r="H19" s="17">
        <f t="shared" si="1"/>
        <v>-2.9831426218152046E-10</v>
      </c>
      <c r="I19" s="17">
        <f t="shared" si="1"/>
        <v>3.2741809263825417E-11</v>
      </c>
      <c r="J19" s="17">
        <f t="shared" si="1"/>
        <v>5.8207660913467407E-11</v>
      </c>
      <c r="K19" s="17">
        <f t="shared" si="1"/>
        <v>9.3677954282611609E-11</v>
      </c>
      <c r="L19" s="17">
        <f t="shared" si="1"/>
        <v>-1.4551915228366852E-10</v>
      </c>
    </row>
    <row r="21" spans="2:12" x14ac:dyDescent="0.25">
      <c r="B21" t="s">
        <v>156</v>
      </c>
      <c r="C21" s="9">
        <f t="shared" ref="C21" si="2">SUM(D21:L21)</f>
        <v>25095088.23227068</v>
      </c>
      <c r="D21" s="17">
        <f>'FY2020'!G21</f>
        <v>5049999.97</v>
      </c>
      <c r="E21" s="17">
        <f>'FY2019'!G21</f>
        <v>4865000.0599999996</v>
      </c>
      <c r="F21" s="17">
        <f>'FY2018'!G21</f>
        <v>3200000.0131462668</v>
      </c>
      <c r="G21" s="17">
        <f>'FY2017'!G21</f>
        <v>2719995.9858027408</v>
      </c>
      <c r="H21" s="17">
        <f>'FY2016'!G21</f>
        <v>2450000.665952547</v>
      </c>
      <c r="I21" s="17">
        <f>'FY2015'!G21</f>
        <v>2948401.059860135</v>
      </c>
      <c r="J21" s="17">
        <f>'FY2014'!D21</f>
        <v>679999.99000000011</v>
      </c>
      <c r="K21" s="17">
        <f>'$500K "Undistributed" 4Q FY2013'!D21</f>
        <v>499109.65750898974</v>
      </c>
      <c r="L21" s="17">
        <f>'FY2013'!F21</f>
        <v>2682580.83</v>
      </c>
    </row>
    <row r="25" spans="2:12" x14ac:dyDescent="0.25">
      <c r="C25" s="29"/>
    </row>
  </sheetData>
  <sheetProtection algorithmName="SHA-512" hashValue="uYpMXoCGlpsP7BvuUECaAFAQULK4cJeBWV0Hzbjflu/gEwzL/JV+7DGK5HnJDCvMeLDc8jatYFYr265Vzo/Lfw==" saltValue="r7R67qIRYrpOBi0DexeWlQ==" spinCount="100000" sheet="1" objects="1" scenarios="1"/>
  <phoneticPr fontId="3" type="noConversion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C676-EB37-42C9-AC72-23AD10591D26}">
  <dimension ref="B2:Q85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5"/>
    <col min="2" max="2" width="11.140625" style="5" bestFit="1" customWidth="1"/>
    <col min="3" max="7" width="14.28515625" style="5" bestFit="1" customWidth="1"/>
    <col min="8" max="8" width="9.140625" style="5"/>
    <col min="9" max="9" width="10.28515625" style="5" bestFit="1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6384" width="9.140625" style="5"/>
  </cols>
  <sheetData>
    <row r="2" spans="2:14" ht="15.75" x14ac:dyDescent="0.25">
      <c r="B2" s="39" t="s">
        <v>54</v>
      </c>
      <c r="C2" s="39"/>
      <c r="D2" s="39"/>
      <c r="E2" s="39"/>
      <c r="F2" s="39"/>
      <c r="G2" s="39"/>
      <c r="H2" s="4"/>
      <c r="I2" s="39" t="s">
        <v>55</v>
      </c>
      <c r="J2" s="39"/>
      <c r="K2" s="39"/>
      <c r="L2" s="39"/>
      <c r="M2" s="39"/>
      <c r="N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58979.78</v>
      </c>
      <c r="D4" s="2">
        <v>77746.710000000006</v>
      </c>
      <c r="E4" s="2">
        <v>47433.07</v>
      </c>
      <c r="F4" s="2">
        <v>53490.19</v>
      </c>
      <c r="G4" s="2">
        <f t="shared" ref="G4:G20" si="0">C4+D4+E4+F4</f>
        <v>237649.75</v>
      </c>
      <c r="I4" s="5" t="s">
        <v>6</v>
      </c>
      <c r="J4" s="1">
        <v>13812262.859999999</v>
      </c>
      <c r="K4" s="1">
        <v>10998818.006666668</v>
      </c>
      <c r="L4" s="1">
        <v>9925701.9533333331</v>
      </c>
      <c r="M4" s="1">
        <v>12286023.039999999</v>
      </c>
      <c r="N4" s="1">
        <v>11087454.196666665</v>
      </c>
    </row>
    <row r="5" spans="2:14" x14ac:dyDescent="0.25">
      <c r="B5" s="5" t="s">
        <v>7</v>
      </c>
      <c r="C5" s="1">
        <v>73481.58</v>
      </c>
      <c r="D5" s="1">
        <v>97986.67</v>
      </c>
      <c r="E5" s="1">
        <v>51024.73</v>
      </c>
      <c r="F5" s="1">
        <v>104659.92</v>
      </c>
      <c r="G5" s="2">
        <f t="shared" si="0"/>
        <v>327152.90000000002</v>
      </c>
      <c r="I5" s="5" t="s">
        <v>7</v>
      </c>
      <c r="J5" s="1">
        <v>19933907.199999999</v>
      </c>
      <c r="K5" s="1">
        <v>13286451.549999999</v>
      </c>
      <c r="L5" s="1">
        <v>12487050.799999999</v>
      </c>
      <c r="M5" s="1">
        <v>17769569.93</v>
      </c>
      <c r="N5" s="1">
        <v>15438944.876666665</v>
      </c>
    </row>
    <row r="6" spans="2:14" x14ac:dyDescent="0.25">
      <c r="B6" s="5" t="s">
        <v>8</v>
      </c>
      <c r="C6" s="1">
        <v>71404.92</v>
      </c>
      <c r="D6" s="1">
        <v>94125.43</v>
      </c>
      <c r="E6" s="1">
        <v>73238.16</v>
      </c>
      <c r="F6" s="1">
        <v>76422.289999999994</v>
      </c>
      <c r="G6" s="2">
        <f t="shared" si="0"/>
        <v>315190.8</v>
      </c>
      <c r="I6" s="5" t="s">
        <v>8</v>
      </c>
      <c r="J6" s="1">
        <v>17309415.493333332</v>
      </c>
      <c r="K6" s="1">
        <v>13588245.51</v>
      </c>
      <c r="L6" s="1">
        <v>14150218.803333335</v>
      </c>
      <c r="M6" s="1">
        <v>17374572.149999999</v>
      </c>
      <c r="N6" s="1">
        <v>16318611.516666666</v>
      </c>
    </row>
    <row r="7" spans="2:14" x14ac:dyDescent="0.25">
      <c r="B7" s="5" t="s">
        <v>9</v>
      </c>
      <c r="C7" s="1">
        <v>73013.08</v>
      </c>
      <c r="D7" s="1">
        <v>96245.3</v>
      </c>
      <c r="E7" s="1">
        <v>72475.97</v>
      </c>
      <c r="F7" s="1">
        <v>75042.429999999993</v>
      </c>
      <c r="G7" s="2">
        <f t="shared" si="0"/>
        <v>316776.78000000003</v>
      </c>
      <c r="I7" s="5" t="s">
        <v>9</v>
      </c>
      <c r="J7" s="1">
        <v>17713623.540000003</v>
      </c>
      <c r="K7" s="1">
        <v>14437470.256666666</v>
      </c>
      <c r="L7" s="1">
        <v>14413594.333333334</v>
      </c>
      <c r="M7" s="1">
        <v>16114666.100000001</v>
      </c>
      <c r="N7" s="1">
        <v>15047671.456666669</v>
      </c>
    </row>
    <row r="8" spans="2:14" x14ac:dyDescent="0.25">
      <c r="B8" s="5" t="s">
        <v>10</v>
      </c>
      <c r="C8" s="1">
        <v>93244.07</v>
      </c>
      <c r="D8" s="1">
        <v>122913.64</v>
      </c>
      <c r="E8" s="1">
        <v>81311.89</v>
      </c>
      <c r="F8" s="1">
        <v>87766.69</v>
      </c>
      <c r="G8" s="2">
        <f t="shared" si="0"/>
        <v>385236.29000000004</v>
      </c>
      <c r="I8" s="5" t="s">
        <v>10</v>
      </c>
      <c r="J8" s="1">
        <v>21287467.776666667</v>
      </c>
      <c r="K8" s="1">
        <v>18637247.283333331</v>
      </c>
      <c r="L8" s="1">
        <v>16221473.036666667</v>
      </c>
      <c r="M8" s="1">
        <v>19737733.109999999</v>
      </c>
      <c r="N8" s="1">
        <v>18382115.533333335</v>
      </c>
    </row>
    <row r="9" spans="2:14" x14ac:dyDescent="0.25">
      <c r="B9" s="5" t="s">
        <v>11</v>
      </c>
      <c r="C9" s="1">
        <v>71841.100000000006</v>
      </c>
      <c r="D9" s="1">
        <v>94700.39</v>
      </c>
      <c r="E9" s="1">
        <v>66429.83</v>
      </c>
      <c r="F9" s="1">
        <v>72581.73</v>
      </c>
      <c r="G9" s="2">
        <f t="shared" si="0"/>
        <v>305553.05</v>
      </c>
      <c r="I9" s="5" t="s">
        <v>11</v>
      </c>
      <c r="J9" s="1">
        <v>16065930.256666668</v>
      </c>
      <c r="K9" s="1">
        <v>14506995.659999998</v>
      </c>
      <c r="L9" s="1">
        <v>13985705.373333335</v>
      </c>
      <c r="M9" s="1">
        <v>15899929.895</v>
      </c>
      <c r="N9" s="1">
        <v>15183681.689999999</v>
      </c>
    </row>
    <row r="10" spans="2:14" x14ac:dyDescent="0.25">
      <c r="B10" s="5" t="s">
        <v>12</v>
      </c>
      <c r="C10" s="1">
        <v>3906.23</v>
      </c>
      <c r="D10" s="1">
        <v>5149.16</v>
      </c>
      <c r="E10" s="1">
        <v>4162.18</v>
      </c>
      <c r="F10" s="1">
        <v>5234.66</v>
      </c>
      <c r="G10" s="2">
        <f t="shared" si="0"/>
        <v>18452.23</v>
      </c>
      <c r="I10" s="5" t="s">
        <v>12</v>
      </c>
      <c r="J10" s="1">
        <v>916110.73</v>
      </c>
      <c r="K10" s="1">
        <v>463590.63666666666</v>
      </c>
      <c r="L10" s="1">
        <v>760797.45000000007</v>
      </c>
      <c r="M10" s="1">
        <v>1513873.5150000001</v>
      </c>
      <c r="N10" s="1">
        <v>1637687.1333333335</v>
      </c>
    </row>
    <row r="11" spans="2:14" x14ac:dyDescent="0.25">
      <c r="B11" s="5" t="s">
        <v>13</v>
      </c>
      <c r="C11" s="1">
        <v>38.17</v>
      </c>
      <c r="D11" s="1">
        <v>50.31</v>
      </c>
      <c r="E11" s="1">
        <v>0</v>
      </c>
      <c r="F11" s="1">
        <v>0</v>
      </c>
      <c r="G11" s="2">
        <f t="shared" si="0"/>
        <v>88.48</v>
      </c>
      <c r="I11" s="5" t="s">
        <v>13</v>
      </c>
      <c r="J11" s="1">
        <v>9360.4699999999993</v>
      </c>
      <c r="K11" s="1">
        <v>3120.1566666666663</v>
      </c>
      <c r="L11" s="1">
        <v>0</v>
      </c>
      <c r="M11" s="1">
        <v>0</v>
      </c>
      <c r="N11" s="1">
        <v>0</v>
      </c>
    </row>
    <row r="12" spans="2:14" x14ac:dyDescent="0.25">
      <c r="B12" s="5" t="s">
        <v>14</v>
      </c>
      <c r="C12" s="1">
        <v>77882.8</v>
      </c>
      <c r="D12" s="1">
        <v>102664.53</v>
      </c>
      <c r="E12" s="1">
        <v>67263.31</v>
      </c>
      <c r="F12" s="1">
        <v>69645.98</v>
      </c>
      <c r="G12" s="2">
        <f t="shared" si="0"/>
        <v>317456.62</v>
      </c>
      <c r="I12" s="5" t="s">
        <v>14</v>
      </c>
      <c r="J12" s="1">
        <v>17677221.996666666</v>
      </c>
      <c r="K12" s="1">
        <v>14983079.969999999</v>
      </c>
      <c r="L12" s="1">
        <v>14206199.609999999</v>
      </c>
      <c r="M12" s="1">
        <v>15947370.495000001</v>
      </c>
      <c r="N12" s="1">
        <v>15228908.943333333</v>
      </c>
    </row>
    <row r="13" spans="2:14" x14ac:dyDescent="0.25">
      <c r="B13" s="5" t="s">
        <v>15</v>
      </c>
      <c r="C13" s="1">
        <v>33053.82</v>
      </c>
      <c r="D13" s="1">
        <v>43571.3</v>
      </c>
      <c r="E13" s="1">
        <v>30608.02</v>
      </c>
      <c r="F13" s="1">
        <v>32114.7</v>
      </c>
      <c r="G13" s="2">
        <f t="shared" si="0"/>
        <v>139347.84</v>
      </c>
      <c r="I13" s="5" t="s">
        <v>15</v>
      </c>
      <c r="J13" s="1">
        <v>7428815.5766666671</v>
      </c>
      <c r="K13" s="1">
        <v>6712610.9366666665</v>
      </c>
      <c r="L13" s="1">
        <v>6548616.0066666678</v>
      </c>
      <c r="M13" s="1">
        <v>6882158.29</v>
      </c>
      <c r="N13" s="1">
        <v>6681355.3533333344</v>
      </c>
    </row>
    <row r="14" spans="2:14" x14ac:dyDescent="0.25">
      <c r="B14" s="5" t="s">
        <v>16</v>
      </c>
      <c r="C14" s="1">
        <v>154519.06</v>
      </c>
      <c r="D14" s="1">
        <v>203685.87</v>
      </c>
      <c r="E14" s="1">
        <v>163276.91</v>
      </c>
      <c r="F14" s="1">
        <v>186714.9</v>
      </c>
      <c r="G14" s="2">
        <f t="shared" si="0"/>
        <v>708196.74</v>
      </c>
      <c r="I14" s="5" t="s">
        <v>16</v>
      </c>
      <c r="J14" s="1">
        <v>33334719.526666671</v>
      </c>
      <c r="K14" s="1">
        <v>31045798.703333337</v>
      </c>
      <c r="L14" s="1">
        <v>35500753.07</v>
      </c>
      <c r="M14" s="1">
        <v>40246789.280000001</v>
      </c>
      <c r="N14" s="1">
        <v>39703411.140000001</v>
      </c>
    </row>
    <row r="15" spans="2:14" x14ac:dyDescent="0.25">
      <c r="B15" s="5" t="s">
        <v>17</v>
      </c>
      <c r="C15" s="1">
        <v>252467.66</v>
      </c>
      <c r="D15" s="1">
        <v>332800.98</v>
      </c>
      <c r="E15" s="1">
        <v>230884.94</v>
      </c>
      <c r="F15" s="1">
        <v>240955.98</v>
      </c>
      <c r="G15" s="2">
        <f t="shared" si="0"/>
        <v>1057109.56</v>
      </c>
      <c r="I15" s="5" t="s">
        <v>17</v>
      </c>
      <c r="J15" s="1">
        <v>58642028.053333335</v>
      </c>
      <c r="K15" s="1">
        <v>49558525.616666667</v>
      </c>
      <c r="L15" s="1">
        <v>47345282.906666666</v>
      </c>
      <c r="M15" s="1">
        <v>53620203.82</v>
      </c>
      <c r="N15" s="1">
        <v>50192910.616666667</v>
      </c>
    </row>
    <row r="16" spans="2:14" x14ac:dyDescent="0.25">
      <c r="B16" s="5" t="s">
        <v>18</v>
      </c>
      <c r="C16" s="1">
        <v>46437.53</v>
      </c>
      <c r="D16" s="1">
        <v>61213.599999999999</v>
      </c>
      <c r="E16" s="1">
        <v>51381.69</v>
      </c>
      <c r="F16" s="1">
        <v>54865.02</v>
      </c>
      <c r="G16" s="2">
        <f t="shared" si="0"/>
        <v>213897.84</v>
      </c>
      <c r="I16" s="5" t="s">
        <v>18</v>
      </c>
      <c r="J16" s="1">
        <v>12106950.476666667</v>
      </c>
      <c r="K16" s="1">
        <v>10809634.443333333</v>
      </c>
      <c r="L16" s="1">
        <v>11412802.756666666</v>
      </c>
      <c r="M16" s="1">
        <v>7993725.25</v>
      </c>
      <c r="N16" s="1">
        <v>6488896.3066666676</v>
      </c>
    </row>
    <row r="17" spans="2:15" x14ac:dyDescent="0.25">
      <c r="B17" s="5" t="s">
        <v>19</v>
      </c>
      <c r="C17" s="1">
        <v>164730.19</v>
      </c>
      <c r="D17" s="1">
        <v>217146.11</v>
      </c>
      <c r="E17" s="1">
        <v>160509.29999999999</v>
      </c>
      <c r="F17" s="1">
        <v>165505.49</v>
      </c>
      <c r="G17" s="2">
        <f t="shared" si="0"/>
        <v>707891.09</v>
      </c>
      <c r="I17" s="5" t="s">
        <v>19</v>
      </c>
      <c r="J17" s="1">
        <v>37090115.906666666</v>
      </c>
      <c r="K17" s="1">
        <v>33944567.023333333</v>
      </c>
      <c r="L17" s="1">
        <v>32863854.533333331</v>
      </c>
      <c r="M17" s="1">
        <v>36169042.234999999</v>
      </c>
      <c r="N17" s="1">
        <v>34154311.116666667</v>
      </c>
    </row>
    <row r="18" spans="2:15" x14ac:dyDescent="0.25">
      <c r="B18" s="14" t="s">
        <v>20</v>
      </c>
      <c r="C18" s="15">
        <v>0</v>
      </c>
      <c r="D18" s="15">
        <v>0</v>
      </c>
      <c r="E18" s="15">
        <v>0</v>
      </c>
      <c r="F18" s="15">
        <v>0</v>
      </c>
      <c r="G18" s="20">
        <f t="shared" si="0"/>
        <v>0</v>
      </c>
      <c r="I18" s="14" t="s">
        <v>20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2:15" x14ac:dyDescent="0.25">
      <c r="B19" s="14" t="s">
        <v>21</v>
      </c>
      <c r="C19" s="15">
        <v>0</v>
      </c>
      <c r="D19" s="15">
        <v>0</v>
      </c>
      <c r="E19" s="15">
        <v>0</v>
      </c>
      <c r="F19" s="15">
        <v>0</v>
      </c>
      <c r="G19" s="20">
        <f t="shared" si="0"/>
        <v>0</v>
      </c>
      <c r="I19" s="14" t="s">
        <v>21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2:15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5" x14ac:dyDescent="0.25">
      <c r="B21" s="8" t="s">
        <v>23</v>
      </c>
      <c r="C21" s="9">
        <f>SUM(C4:C20)</f>
        <v>1174999.99</v>
      </c>
      <c r="D21" s="1">
        <f>SUM(D4:D20)</f>
        <v>1550000</v>
      </c>
      <c r="E21" s="1">
        <f>SUM(E4:E20)</f>
        <v>1100000</v>
      </c>
      <c r="F21" s="1">
        <f>SUM(F4:F20)</f>
        <v>1224999.9799999997</v>
      </c>
      <c r="G21" s="1">
        <f>SUM(G4:G20)</f>
        <v>5049999.97</v>
      </c>
      <c r="I21" s="8" t="s">
        <v>23</v>
      </c>
      <c r="J21" s="1">
        <f>SUM(J4:J20)</f>
        <v>273327929.86333334</v>
      </c>
      <c r="K21" s="1">
        <f>SUM(K4:K20)</f>
        <v>232976155.75333333</v>
      </c>
      <c r="L21" s="1">
        <f>SUM(L4:L20)</f>
        <v>229822050.63333333</v>
      </c>
      <c r="M21" s="1">
        <f>SUM(M4:M20)</f>
        <v>261555657.11000001</v>
      </c>
      <c r="N21" s="1">
        <f>SUM(N4:N20)</f>
        <v>245545959.88000003</v>
      </c>
    </row>
    <row r="24" spans="2:15" ht="15.75" x14ac:dyDescent="0.25">
      <c r="I24" s="39" t="s">
        <v>56</v>
      </c>
      <c r="J24" s="39"/>
      <c r="K24" s="39"/>
      <c r="L24" s="39"/>
      <c r="M24" s="39"/>
      <c r="N24" s="39"/>
      <c r="O24" s="39"/>
    </row>
    <row r="25" spans="2:15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5" x14ac:dyDescent="0.25">
      <c r="I26" s="5" t="s">
        <v>6</v>
      </c>
      <c r="J26" s="1">
        <v>13812262.859999999</v>
      </c>
      <c r="K26" s="1">
        <v>10998818.006666668</v>
      </c>
      <c r="L26" s="1">
        <v>9925701.9533333331</v>
      </c>
      <c r="M26" s="1">
        <v>12286023.039999999</v>
      </c>
      <c r="N26" s="1">
        <v>11087454.196666665</v>
      </c>
    </row>
    <row r="27" spans="2:15" x14ac:dyDescent="0.25">
      <c r="I27" s="5" t="s">
        <v>7</v>
      </c>
      <c r="J27" s="1">
        <v>19933907.199999999</v>
      </c>
      <c r="K27" s="1">
        <v>13286451.549999999</v>
      </c>
      <c r="L27" s="1">
        <v>12487050.799999999</v>
      </c>
      <c r="M27" s="1">
        <v>17769569.93</v>
      </c>
      <c r="N27" s="1">
        <v>15438944.876666665</v>
      </c>
    </row>
    <row r="28" spans="2:15" x14ac:dyDescent="0.25">
      <c r="I28" s="5" t="s">
        <v>8</v>
      </c>
      <c r="J28" s="1">
        <v>17309415.493333332</v>
      </c>
      <c r="K28" s="1">
        <v>13588245.51</v>
      </c>
      <c r="L28" s="1">
        <v>14150218.803333335</v>
      </c>
      <c r="M28" s="1">
        <v>17374572.149999999</v>
      </c>
      <c r="N28" s="1">
        <v>16318611.516666666</v>
      </c>
    </row>
    <row r="29" spans="2:15" x14ac:dyDescent="0.25">
      <c r="I29" s="5" t="s">
        <v>9</v>
      </c>
      <c r="J29" s="1">
        <v>17713623.540000003</v>
      </c>
      <c r="K29" s="1">
        <v>14437470.256666666</v>
      </c>
      <c r="L29" s="1">
        <v>14413594.333333334</v>
      </c>
      <c r="M29" s="1">
        <v>16114666.100000001</v>
      </c>
      <c r="N29" s="1">
        <v>15047671.456666669</v>
      </c>
    </row>
    <row r="30" spans="2:15" x14ac:dyDescent="0.25">
      <c r="I30" s="5" t="s">
        <v>10</v>
      </c>
      <c r="J30" s="1">
        <v>21287467.776666667</v>
      </c>
      <c r="K30" s="1">
        <v>18637247.283333331</v>
      </c>
      <c r="L30" s="1">
        <v>16221473.036666667</v>
      </c>
      <c r="M30" s="1">
        <v>19737733.109999999</v>
      </c>
      <c r="N30" s="1">
        <v>18382115.533333335</v>
      </c>
    </row>
    <row r="31" spans="2:15" x14ac:dyDescent="0.25">
      <c r="I31" s="5" t="s">
        <v>11</v>
      </c>
      <c r="J31" s="1">
        <v>16065930.256666668</v>
      </c>
      <c r="K31" s="1">
        <v>14506995.659999998</v>
      </c>
      <c r="L31" s="1">
        <v>13985705.373333335</v>
      </c>
      <c r="M31" s="1">
        <v>15899929.895</v>
      </c>
      <c r="N31" s="1">
        <v>15183681.689999999</v>
      </c>
    </row>
    <row r="32" spans="2:15" x14ac:dyDescent="0.25">
      <c r="I32" s="5" t="s">
        <v>12</v>
      </c>
      <c r="J32" s="1">
        <v>916110.73</v>
      </c>
      <c r="K32" s="1">
        <v>463590.63666666666</v>
      </c>
      <c r="L32" s="1">
        <v>760797.45000000007</v>
      </c>
      <c r="M32" s="1">
        <v>1513873.5150000001</v>
      </c>
      <c r="N32" s="1">
        <v>1637687.1333333335</v>
      </c>
    </row>
    <row r="33" spans="2:16" x14ac:dyDescent="0.25">
      <c r="I33" s="5" t="s">
        <v>13</v>
      </c>
      <c r="J33" s="1">
        <v>9360.4699999999993</v>
      </c>
      <c r="K33" s="1">
        <v>3120.1566666666663</v>
      </c>
      <c r="L33" s="1">
        <v>0</v>
      </c>
      <c r="M33" s="1">
        <v>0</v>
      </c>
      <c r="N33" s="1">
        <v>0</v>
      </c>
    </row>
    <row r="34" spans="2:16" x14ac:dyDescent="0.25">
      <c r="I34" s="5" t="s">
        <v>14</v>
      </c>
      <c r="J34" s="1">
        <v>17677221.996666666</v>
      </c>
      <c r="K34" s="1">
        <v>14983079.969999999</v>
      </c>
      <c r="L34" s="1">
        <v>14206199.609999999</v>
      </c>
      <c r="M34" s="1">
        <v>15947370.495000001</v>
      </c>
      <c r="N34" s="1">
        <v>15228908.943333333</v>
      </c>
    </row>
    <row r="35" spans="2:16" x14ac:dyDescent="0.25">
      <c r="I35" s="5" t="s">
        <v>15</v>
      </c>
      <c r="J35" s="1">
        <v>7428815.5766666671</v>
      </c>
      <c r="K35" s="1">
        <v>6712610.9366666665</v>
      </c>
      <c r="L35" s="1">
        <v>6548616.0066666678</v>
      </c>
      <c r="M35" s="1">
        <v>6882158.29</v>
      </c>
      <c r="N35" s="1">
        <v>6681355.3533333344</v>
      </c>
    </row>
    <row r="36" spans="2:16" x14ac:dyDescent="0.25">
      <c r="I36" s="5" t="s">
        <v>16</v>
      </c>
      <c r="J36" s="1">
        <v>33334719.526666671</v>
      </c>
      <c r="K36" s="1">
        <v>31045798.703333337</v>
      </c>
      <c r="L36" s="1">
        <v>35500753.07</v>
      </c>
      <c r="M36" s="1">
        <v>40246789.280000001</v>
      </c>
      <c r="N36" s="1">
        <v>39703411.140000001</v>
      </c>
    </row>
    <row r="37" spans="2:16" x14ac:dyDescent="0.25">
      <c r="I37" s="5" t="s">
        <v>84</v>
      </c>
      <c r="J37" s="1">
        <f>58642028.0533333-642702.56</f>
        <v>57999325.493333295</v>
      </c>
      <c r="K37" s="1">
        <f>49558525.6166667-642702.56</f>
        <v>48915823.056666695</v>
      </c>
      <c r="L37" s="1">
        <f>47345282.9066667-642702.56</f>
        <v>46702580.346666701</v>
      </c>
      <c r="M37" s="1">
        <f>53620203.82-642702.56</f>
        <v>52977501.259999998</v>
      </c>
      <c r="N37" s="1">
        <f>50192910.6166667-764789.33</f>
        <v>49428121.286666699</v>
      </c>
    </row>
    <row r="38" spans="2:16" x14ac:dyDescent="0.25">
      <c r="I38" s="5" t="s">
        <v>18</v>
      </c>
      <c r="J38" s="1">
        <v>12106950.476666667</v>
      </c>
      <c r="K38" s="1">
        <v>10809634.443333333</v>
      </c>
      <c r="L38" s="1">
        <v>11412802.756666666</v>
      </c>
      <c r="M38" s="1">
        <v>7993725.25</v>
      </c>
      <c r="N38" s="1">
        <v>6488896.3066666676</v>
      </c>
    </row>
    <row r="39" spans="2:16" x14ac:dyDescent="0.25">
      <c r="I39" s="5" t="s">
        <v>19</v>
      </c>
      <c r="J39" s="1">
        <v>37090115.906666666</v>
      </c>
      <c r="K39" s="1">
        <v>33944567.023333333</v>
      </c>
      <c r="L39" s="1">
        <v>32863854.533333331</v>
      </c>
      <c r="M39" s="1">
        <v>36169042.234999999</v>
      </c>
      <c r="N39" s="1">
        <v>34154311.116666667</v>
      </c>
    </row>
    <row r="40" spans="2:16" x14ac:dyDescent="0.25">
      <c r="I40" s="8" t="s">
        <v>23</v>
      </c>
      <c r="J40" s="1">
        <f>SUM(J26:J39)</f>
        <v>272685227.30333328</v>
      </c>
      <c r="K40" s="1">
        <f>SUM(K26:K39)</f>
        <v>232333453.19333336</v>
      </c>
      <c r="L40" s="1">
        <f>SUM(L26:L39)</f>
        <v>229179348.07333335</v>
      </c>
      <c r="M40" s="1">
        <f>SUM(M26:M39)</f>
        <v>260912954.55000001</v>
      </c>
      <c r="N40" s="1">
        <f>SUM(N26:N39)</f>
        <v>244781170.55000004</v>
      </c>
    </row>
    <row r="43" spans="2:16" ht="15.75" x14ac:dyDescent="0.25">
      <c r="B43" s="39" t="s">
        <v>97</v>
      </c>
      <c r="C43" s="39"/>
      <c r="D43" s="39"/>
      <c r="E43" s="39"/>
      <c r="F43" s="39"/>
      <c r="G43" s="39"/>
      <c r="I43" s="38" t="s">
        <v>123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117</v>
      </c>
      <c r="K44" s="16" t="s">
        <v>118</v>
      </c>
      <c r="L44" s="16" t="s">
        <v>124</v>
      </c>
      <c r="M44" s="16" t="s">
        <v>125</v>
      </c>
      <c r="N44" s="16" t="s">
        <v>126</v>
      </c>
      <c r="O44" s="16" t="s">
        <v>127</v>
      </c>
      <c r="P44" s="16" t="s">
        <v>128</v>
      </c>
    </row>
    <row r="45" spans="2:16" x14ac:dyDescent="0.25">
      <c r="B45" s="5" t="s">
        <v>6</v>
      </c>
      <c r="C45" s="9">
        <f>$C$59*K65</f>
        <v>60341.486264033527</v>
      </c>
      <c r="D45" s="9">
        <f t="shared" ref="D45:D58" si="1">($D$60*M65)-C45</f>
        <v>76538.976953294623</v>
      </c>
      <c r="E45" s="9">
        <f t="shared" ref="E45:E58" si="2">($E$60*O65)-D45-C45</f>
        <v>47043.286074404292</v>
      </c>
      <c r="F45" s="9">
        <f t="shared" ref="F45:F58" si="3">($F$60*Q65)-E45-D45-C45</f>
        <v>54708.094000544872</v>
      </c>
      <c r="G45" s="9">
        <f t="shared" ref="G45:G59" si="4">SUM(C45+D45+E45+F45)</f>
        <v>238631.84329227731</v>
      </c>
      <c r="I45" s="5" t="s">
        <v>6</v>
      </c>
      <c r="J45" s="1">
        <v>11677010.023333333</v>
      </c>
      <c r="K45" s="1">
        <v>11349489.756666668</v>
      </c>
      <c r="L45" s="1">
        <v>11845814.459999999</v>
      </c>
      <c r="M45" s="1">
        <v>13812262.859999999</v>
      </c>
      <c r="N45" s="1">
        <v>10998818.006666668</v>
      </c>
      <c r="O45" s="1">
        <v>9925701.9533333331</v>
      </c>
      <c r="P45" s="1">
        <v>12286023.039999999</v>
      </c>
    </row>
    <row r="46" spans="2:16" x14ac:dyDescent="0.25">
      <c r="B46" s="5" t="s">
        <v>7</v>
      </c>
      <c r="C46" s="9">
        <f t="shared" ref="C46:C58" si="5">$C$59*K66</f>
        <v>74661.573564273975</v>
      </c>
      <c r="D46" s="9">
        <f t="shared" si="1"/>
        <v>96998.635710436211</v>
      </c>
      <c r="E46" s="9">
        <f t="shared" si="2"/>
        <v>66798.682623560628</v>
      </c>
      <c r="F46" s="9">
        <f t="shared" si="3"/>
        <v>83674.769479512004</v>
      </c>
      <c r="G46" s="9">
        <f t="shared" si="4"/>
        <v>322133.66137778282</v>
      </c>
      <c r="I46" s="5" t="s">
        <v>7</v>
      </c>
      <c r="J46" s="1">
        <v>13320474.536666667</v>
      </c>
      <c r="K46" s="1">
        <v>12296523.486666666</v>
      </c>
      <c r="L46" s="1">
        <v>14687371.286666667</v>
      </c>
      <c r="M46" s="1">
        <v>19933907.199999999</v>
      </c>
      <c r="N46" s="1">
        <v>13286451.549999999</v>
      </c>
      <c r="O46" s="1">
        <v>12487050.799999999</v>
      </c>
      <c r="P46" s="1">
        <v>17769569.93</v>
      </c>
    </row>
    <row r="47" spans="2:16" x14ac:dyDescent="0.25">
      <c r="B47" s="5" t="s">
        <v>8</v>
      </c>
      <c r="C47" s="9">
        <f t="shared" si="5"/>
        <v>75915.76154196421</v>
      </c>
      <c r="D47" s="9">
        <f t="shared" si="1"/>
        <v>94648.859982426206</v>
      </c>
      <c r="E47" s="9">
        <f t="shared" si="2"/>
        <v>68066.677048159807</v>
      </c>
      <c r="F47" s="9">
        <f t="shared" si="3"/>
        <v>78150.835134921115</v>
      </c>
      <c r="G47" s="9">
        <f t="shared" si="4"/>
        <v>316782.13370747137</v>
      </c>
      <c r="I47" s="5" t="s">
        <v>8</v>
      </c>
      <c r="J47" s="1">
        <v>15018411.399999999</v>
      </c>
      <c r="K47" s="1">
        <v>13531783.949999997</v>
      </c>
      <c r="L47" s="1">
        <v>15390566.683333332</v>
      </c>
      <c r="M47" s="1">
        <v>17309415.493333332</v>
      </c>
      <c r="N47" s="1">
        <v>13588245.51</v>
      </c>
      <c r="O47" s="1">
        <v>14150218.803333335</v>
      </c>
      <c r="P47" s="1">
        <v>17374572.149999999</v>
      </c>
    </row>
    <row r="48" spans="2:16" x14ac:dyDescent="0.25">
      <c r="B48" s="5" t="s">
        <v>9</v>
      </c>
      <c r="C48" s="9">
        <f t="shared" si="5"/>
        <v>71963.862223956196</v>
      </c>
      <c r="D48" s="9">
        <f t="shared" si="1"/>
        <v>97485.132168874596</v>
      </c>
      <c r="E48" s="9">
        <f t="shared" si="2"/>
        <v>71975.828115940458</v>
      </c>
      <c r="F48" s="9">
        <f t="shared" si="3"/>
        <v>76661.041631418935</v>
      </c>
      <c r="G48" s="9">
        <f t="shared" si="4"/>
        <v>318085.86414019018</v>
      </c>
      <c r="I48" s="5" t="s">
        <v>9</v>
      </c>
      <c r="J48" s="1">
        <v>13070444.013333334</v>
      </c>
      <c r="K48" s="1">
        <v>12696370.140000001</v>
      </c>
      <c r="L48" s="1">
        <v>14581277.65</v>
      </c>
      <c r="M48" s="1">
        <v>17713623.540000003</v>
      </c>
      <c r="N48" s="1">
        <v>14437470.256666666</v>
      </c>
      <c r="O48" s="1">
        <v>14413594.333333334</v>
      </c>
      <c r="P48" s="1">
        <v>16114666.100000001</v>
      </c>
    </row>
    <row r="49" spans="2:17" x14ac:dyDescent="0.25">
      <c r="B49" s="5" t="s">
        <v>10</v>
      </c>
      <c r="C49" s="9">
        <f t="shared" si="5"/>
        <v>94605.132294939976</v>
      </c>
      <c r="D49" s="9">
        <f t="shared" si="1"/>
        <v>120886.39037475135</v>
      </c>
      <c r="E49" s="9">
        <f t="shared" si="2"/>
        <v>80249.839554887294</v>
      </c>
      <c r="F49" s="9">
        <f t="shared" si="3"/>
        <v>89355.181093281164</v>
      </c>
      <c r="G49" s="9">
        <f t="shared" si="4"/>
        <v>385096.54331785976</v>
      </c>
      <c r="I49" s="5" t="s">
        <v>10</v>
      </c>
      <c r="J49" s="1">
        <v>19389673.523333333</v>
      </c>
      <c r="K49" s="1">
        <v>16895355.300000001</v>
      </c>
      <c r="L49" s="1">
        <v>18756595.413333338</v>
      </c>
      <c r="M49" s="1">
        <v>21287467.776666667</v>
      </c>
      <c r="N49" s="1">
        <v>18637247.283333331</v>
      </c>
      <c r="O49" s="1">
        <v>16221473.036666667</v>
      </c>
      <c r="P49" s="1">
        <v>19737733.109999999</v>
      </c>
    </row>
    <row r="50" spans="2:17" x14ac:dyDescent="0.25">
      <c r="B50" s="5" t="s">
        <v>11</v>
      </c>
      <c r="C50" s="9">
        <f t="shared" si="5"/>
        <v>71457.017971546113</v>
      </c>
      <c r="D50" s="9">
        <f t="shared" si="1"/>
        <v>95272.024464843606</v>
      </c>
      <c r="E50" s="9">
        <f t="shared" si="2"/>
        <v>65943.969649412713</v>
      </c>
      <c r="F50" s="9">
        <f t="shared" si="3"/>
        <v>74142.747512416434</v>
      </c>
      <c r="G50" s="9">
        <f t="shared" si="4"/>
        <v>306815.75959821889</v>
      </c>
      <c r="I50" s="5" t="s">
        <v>11</v>
      </c>
      <c r="J50" s="1">
        <v>13684973.493333332</v>
      </c>
      <c r="K50" s="1">
        <v>13531128.143333333</v>
      </c>
      <c r="L50" s="1">
        <v>14370752.553333333</v>
      </c>
      <c r="M50" s="1">
        <v>16065930.256666668</v>
      </c>
      <c r="N50" s="1">
        <v>14506995.659999998</v>
      </c>
      <c r="O50" s="1">
        <v>13985705.373333335</v>
      </c>
      <c r="P50" s="1">
        <v>15899929.895</v>
      </c>
    </row>
    <row r="51" spans="2:17" x14ac:dyDescent="0.25">
      <c r="B51" s="5" t="s">
        <v>12</v>
      </c>
      <c r="C51" s="9">
        <f t="shared" si="5"/>
        <v>3947.6229536205278</v>
      </c>
      <c r="D51" s="9">
        <f t="shared" si="1"/>
        <v>5113.0501160466738</v>
      </c>
      <c r="E51" s="9">
        <f t="shared" si="2"/>
        <v>4135.4406645546733</v>
      </c>
      <c r="F51" s="9">
        <f t="shared" si="3"/>
        <v>5349.1344625413876</v>
      </c>
      <c r="G51" s="9">
        <f t="shared" si="4"/>
        <v>18545.248196763263</v>
      </c>
      <c r="I51" s="5" t="s">
        <v>12</v>
      </c>
      <c r="J51" s="1">
        <v>470865.22333333333</v>
      </c>
      <c r="K51" s="1">
        <v>596338.62333333341</v>
      </c>
      <c r="L51" s="1">
        <v>1201697.3603333333</v>
      </c>
      <c r="M51" s="1">
        <v>916110.73</v>
      </c>
      <c r="N51" s="1">
        <v>463590.63666666666</v>
      </c>
      <c r="O51" s="1">
        <v>760797.45000000007</v>
      </c>
      <c r="P51" s="1">
        <v>1513873.5150000001</v>
      </c>
    </row>
    <row r="52" spans="2:17" x14ac:dyDescent="0.25">
      <c r="B52" s="5" t="s">
        <v>13</v>
      </c>
      <c r="C52" s="9">
        <f t="shared" si="5"/>
        <v>46.117111183878102</v>
      </c>
      <c r="D52" s="9">
        <f t="shared" si="1"/>
        <v>42.462356343945665</v>
      </c>
      <c r="E52" s="9">
        <f t="shared" si="2"/>
        <v>-2.4879867491372352</v>
      </c>
      <c r="F52" s="9">
        <f t="shared" si="3"/>
        <v>-22.754661708880889</v>
      </c>
      <c r="G52" s="9">
        <f t="shared" si="4"/>
        <v>63.336819069805642</v>
      </c>
      <c r="I52" s="5" t="s">
        <v>13</v>
      </c>
      <c r="J52" s="1">
        <v>9261.8799999999992</v>
      </c>
      <c r="K52" s="1">
        <v>9261.8799999999992</v>
      </c>
      <c r="L52" s="1">
        <v>9323.8700000000008</v>
      </c>
      <c r="M52" s="1">
        <v>9360.4699999999993</v>
      </c>
      <c r="N52" s="1">
        <v>3120.1566666666663</v>
      </c>
      <c r="O52" s="1">
        <v>0</v>
      </c>
      <c r="P52" s="1">
        <v>0</v>
      </c>
    </row>
    <row r="53" spans="2:17" x14ac:dyDescent="0.25">
      <c r="B53" s="5" t="s">
        <v>14</v>
      </c>
      <c r="C53" s="9">
        <f t="shared" si="5"/>
        <v>80035.85702425403</v>
      </c>
      <c r="D53" s="9">
        <f t="shared" si="1"/>
        <v>100714.79929459489</v>
      </c>
      <c r="E53" s="9">
        <f t="shared" si="2"/>
        <v>66742.677374621111</v>
      </c>
      <c r="F53" s="9">
        <f t="shared" si="3"/>
        <v>71275.183043168523</v>
      </c>
      <c r="G53" s="9">
        <f t="shared" si="4"/>
        <v>318768.51673663856</v>
      </c>
      <c r="I53" s="5" t="s">
        <v>14</v>
      </c>
      <c r="J53" s="1">
        <v>16164990.186666667</v>
      </c>
      <c r="K53" s="1">
        <v>14915687.566666668</v>
      </c>
      <c r="L53" s="1">
        <v>15816443.596666669</v>
      </c>
      <c r="M53" s="1">
        <v>17677221.996666666</v>
      </c>
      <c r="N53" s="1">
        <v>14983079.969999999</v>
      </c>
      <c r="O53" s="1">
        <v>14206199.609999999</v>
      </c>
      <c r="P53" s="1">
        <v>15947370.495000001</v>
      </c>
    </row>
    <row r="54" spans="2:17" x14ac:dyDescent="0.25">
      <c r="B54" s="5" t="s">
        <v>15</v>
      </c>
      <c r="C54" s="9">
        <f t="shared" si="5"/>
        <v>33160.811345505645</v>
      </c>
      <c r="D54" s="9">
        <f t="shared" si="1"/>
        <v>43550.606369886431</v>
      </c>
      <c r="E54" s="9">
        <f t="shared" si="2"/>
        <v>30384.4201155802</v>
      </c>
      <c r="F54" s="9">
        <f t="shared" si="3"/>
        <v>32827.864776320872</v>
      </c>
      <c r="G54" s="9">
        <f t="shared" si="4"/>
        <v>139923.70260729315</v>
      </c>
      <c r="I54" s="5" t="s">
        <v>15</v>
      </c>
      <c r="J54" s="1">
        <v>6563296.4100000001</v>
      </c>
      <c r="K54" s="1">
        <v>6328362.5766666653</v>
      </c>
      <c r="L54" s="1">
        <v>6434253.8433333337</v>
      </c>
      <c r="M54" s="1">
        <v>7428815.5766666671</v>
      </c>
      <c r="N54" s="1">
        <v>6712610.9366666665</v>
      </c>
      <c r="O54" s="1">
        <v>6548616.0066666678</v>
      </c>
      <c r="P54" s="1">
        <v>6882158.29</v>
      </c>
    </row>
    <row r="55" spans="2:17" x14ac:dyDescent="0.25">
      <c r="B55" s="5" t="s">
        <v>16</v>
      </c>
      <c r="C55" s="9">
        <f t="shared" si="5"/>
        <v>153505.14509775085</v>
      </c>
      <c r="D55" s="9">
        <f t="shared" si="1"/>
        <v>205103.18750303998</v>
      </c>
      <c r="E55" s="9">
        <f t="shared" si="2"/>
        <v>162205.7894828459</v>
      </c>
      <c r="F55" s="9">
        <f t="shared" si="3"/>
        <v>190309.27392838729</v>
      </c>
      <c r="G55" s="9">
        <f t="shared" si="4"/>
        <v>711123.39601202402</v>
      </c>
      <c r="I55" s="5" t="s">
        <v>16</v>
      </c>
      <c r="J55" s="1">
        <v>29126214.266666669</v>
      </c>
      <c r="K55" s="1">
        <v>29363758.370000001</v>
      </c>
      <c r="L55" s="1">
        <v>32025970.696666669</v>
      </c>
      <c r="M55" s="1">
        <v>33334719.526666671</v>
      </c>
      <c r="N55" s="1">
        <v>31045798.703333337</v>
      </c>
      <c r="O55" s="1">
        <v>35500753.07</v>
      </c>
      <c r="P55" s="1">
        <v>40246789.280000001</v>
      </c>
    </row>
    <row r="56" spans="2:17" x14ac:dyDescent="0.25">
      <c r="B56" s="5" t="s">
        <v>17</v>
      </c>
      <c r="C56" s="9">
        <f t="shared" si="5"/>
        <v>250538.72791667393</v>
      </c>
      <c r="D56" s="9">
        <f t="shared" si="1"/>
        <v>328400.35049824376</v>
      </c>
      <c r="E56" s="9">
        <f t="shared" si="2"/>
        <v>226019.03199084348</v>
      </c>
      <c r="F56" s="9">
        <f t="shared" si="3"/>
        <v>243473.59599768231</v>
      </c>
      <c r="G56" s="9">
        <f t="shared" si="4"/>
        <v>1048431.7064034435</v>
      </c>
      <c r="I56" s="5" t="s">
        <v>84</v>
      </c>
      <c r="J56" s="1">
        <f>48533719.5933333-522938.59</f>
        <v>48010781.003333293</v>
      </c>
      <c r="K56" s="1">
        <f>46396888.4866667-522938.59</f>
        <v>45873949.896666698</v>
      </c>
      <c r="L56" s="1">
        <f>50897717.8233333-642702.56</f>
        <v>50255015.263333298</v>
      </c>
      <c r="M56" s="1">
        <f>58642028.0533333-642702.56</f>
        <v>57999325.493333295</v>
      </c>
      <c r="N56" s="1">
        <f>49558525.6166667-642702.56</f>
        <v>48915823.056666695</v>
      </c>
      <c r="O56" s="1">
        <f>47345282.9066667-642702.56</f>
        <v>46702580.346666701</v>
      </c>
      <c r="P56" s="1">
        <f>53620203.82-642702.56</f>
        <v>52977501.259999998</v>
      </c>
    </row>
    <row r="57" spans="2:17" x14ac:dyDescent="0.25">
      <c r="B57" s="5" t="s">
        <v>18</v>
      </c>
      <c r="C57" s="9">
        <f t="shared" si="5"/>
        <v>42951.945705355873</v>
      </c>
      <c r="D57" s="9">
        <f t="shared" si="1"/>
        <v>64808.103611968516</v>
      </c>
      <c r="E57" s="9">
        <f t="shared" si="2"/>
        <v>51052.090097704349</v>
      </c>
      <c r="F57" s="9">
        <f t="shared" si="3"/>
        <v>55969.65139573504</v>
      </c>
      <c r="G57" s="9">
        <f t="shared" si="4"/>
        <v>214781.79081076378</v>
      </c>
      <c r="I57" s="5" t="s">
        <v>18</v>
      </c>
      <c r="J57" s="1">
        <v>7670679.086666666</v>
      </c>
      <c r="K57" s="1">
        <v>8983598.1500000004</v>
      </c>
      <c r="L57" s="1">
        <v>5893160.8633333333</v>
      </c>
      <c r="M57" s="1">
        <v>12106950.476666667</v>
      </c>
      <c r="N57" s="1">
        <v>10809634.443333333</v>
      </c>
      <c r="O57" s="1">
        <v>11412802.756666666</v>
      </c>
      <c r="P57" s="1">
        <v>7993725.25</v>
      </c>
    </row>
    <row r="58" spans="2:17" x14ac:dyDescent="0.25">
      <c r="B58" s="5" t="s">
        <v>19</v>
      </c>
      <c r="C58" s="9">
        <f t="shared" si="5"/>
        <v>161868.92898494113</v>
      </c>
      <c r="D58" s="9">
        <f t="shared" si="1"/>
        <v>220437.4205952496</v>
      </c>
      <c r="E58" s="9">
        <f t="shared" si="2"/>
        <v>159384.75519423475</v>
      </c>
      <c r="F58" s="9">
        <f t="shared" si="3"/>
        <v>169125.36220577857</v>
      </c>
      <c r="G58" s="9">
        <f t="shared" si="4"/>
        <v>710816.4669802041</v>
      </c>
      <c r="I58" s="5" t="s">
        <v>19</v>
      </c>
      <c r="J58" s="1">
        <v>30461719.966666669</v>
      </c>
      <c r="K58" s="1">
        <v>29750631.613333333</v>
      </c>
      <c r="L58" s="1">
        <v>33296243.966666669</v>
      </c>
      <c r="M58" s="1">
        <v>37090115.906666666</v>
      </c>
      <c r="N58" s="1">
        <v>33944567.023333333</v>
      </c>
      <c r="O58" s="1">
        <v>32863854.533333331</v>
      </c>
      <c r="P58" s="1">
        <v>36169042.234999999</v>
      </c>
    </row>
    <row r="59" spans="2:17" x14ac:dyDescent="0.25">
      <c r="B59" s="8" t="s">
        <v>23</v>
      </c>
      <c r="C59" s="9">
        <f>$C$21-(C18+C19+C20)</f>
        <v>1174999.99</v>
      </c>
      <c r="D59" s="9">
        <f>$D$21-(D18+D19+D20)</f>
        <v>1550000</v>
      </c>
      <c r="E59" s="9">
        <f>$E$21-(E18+E19+E20)</f>
        <v>1100000</v>
      </c>
      <c r="F59" s="9">
        <f>$F$21-(F18+F19+F20)</f>
        <v>1224999.9799999997</v>
      </c>
      <c r="G59" s="9">
        <f t="shared" si="4"/>
        <v>5049999.97</v>
      </c>
      <c r="I59" s="8" t="s">
        <v>23</v>
      </c>
      <c r="J59" s="1">
        <f>SUM(J45:J58)-(J51+J52)</f>
        <v>224158667.91</v>
      </c>
      <c r="K59" s="1">
        <f t="shared" ref="K59:P59" si="6">SUM(K45:K58)</f>
        <v>216122239.45333338</v>
      </c>
      <c r="L59" s="1">
        <f t="shared" si="6"/>
        <v>234564487.50699997</v>
      </c>
      <c r="M59" s="1">
        <f t="shared" si="6"/>
        <v>272685227.30333328</v>
      </c>
      <c r="N59" s="1">
        <f t="shared" si="6"/>
        <v>232333453.19333336</v>
      </c>
      <c r="O59" s="1">
        <f t="shared" si="6"/>
        <v>229179348.07333335</v>
      </c>
      <c r="P59" s="1">
        <f t="shared" si="6"/>
        <v>260912954.55000001</v>
      </c>
    </row>
    <row r="60" spans="2:17" x14ac:dyDescent="0.25">
      <c r="B60" s="8" t="s">
        <v>133</v>
      </c>
      <c r="D60" s="9">
        <f>C59+D59</f>
        <v>2724999.99</v>
      </c>
      <c r="E60" s="9">
        <f>E59+D60</f>
        <v>3824999.99</v>
      </c>
      <c r="F60" s="9">
        <f>F59+E60</f>
        <v>5049999.97</v>
      </c>
    </row>
    <row r="61" spans="2:17" x14ac:dyDescent="0.25">
      <c r="D61" s="9"/>
      <c r="E61" s="9"/>
      <c r="F61" s="9"/>
    </row>
    <row r="63" spans="2:17" ht="15.75" x14ac:dyDescent="0.25">
      <c r="B63" s="39" t="s">
        <v>122</v>
      </c>
      <c r="C63" s="39"/>
      <c r="D63" s="39"/>
      <c r="E63" s="39"/>
      <c r="F63" s="39"/>
      <c r="G63" s="39"/>
      <c r="I63" s="38" t="s">
        <v>129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7">C45-C4</f>
        <v>1361.706264033528</v>
      </c>
      <c r="D65" s="9">
        <f t="shared" si="7"/>
        <v>-1207.7330467053835</v>
      </c>
      <c r="E65" s="9">
        <f t="shared" si="7"/>
        <v>-389.78392559570784</v>
      </c>
      <c r="F65" s="9">
        <f t="shared" si="7"/>
        <v>1217.9040005448696</v>
      </c>
      <c r="G65" s="9">
        <f t="shared" ref="G65:G79" si="8">SUM(C65+D65+E65+F65)</f>
        <v>982.09329227730632</v>
      </c>
      <c r="I65" t="s">
        <v>6</v>
      </c>
      <c r="J65" s="17">
        <f t="shared" ref="J65:J78" si="9">AVERAGE(J45:M45)</f>
        <v>12171144.275</v>
      </c>
      <c r="K65" s="19">
        <f>J65/$J$79</f>
        <v>5.1354456831981359E-2</v>
      </c>
      <c r="L65" s="1">
        <f t="shared" ref="L65:L78" si="10">AVERAGE(K45:N45)</f>
        <v>12001596.270833334</v>
      </c>
      <c r="M65" s="19">
        <f>L65/$L$79</f>
        <v>5.0231362832896059E-2</v>
      </c>
      <c r="N65" s="1">
        <f t="shared" ref="N65:N78" si="11">AVERAGE(L45:O45)</f>
        <v>11645649.32</v>
      </c>
      <c r="O65" s="19">
        <f>N65/$N$79</f>
        <v>4.8084640463419301E-2</v>
      </c>
      <c r="P65" s="1">
        <f t="shared" ref="P65:P78" si="12">AVERAGE(M45:P45)</f>
        <v>11755701.465</v>
      </c>
      <c r="Q65" s="19">
        <f>P65/$P$79</f>
        <v>4.7253830635622225E-2</v>
      </c>
    </row>
    <row r="66" spans="2:17" x14ac:dyDescent="0.25">
      <c r="B66" s="5" t="s">
        <v>7</v>
      </c>
      <c r="C66" s="9">
        <f t="shared" si="7"/>
        <v>1179.9935642739729</v>
      </c>
      <c r="D66" s="9">
        <f t="shared" si="7"/>
        <v>-988.03428956378775</v>
      </c>
      <c r="E66" s="9">
        <f t="shared" si="7"/>
        <v>15773.952623560624</v>
      </c>
      <c r="F66" s="9">
        <f t="shared" si="7"/>
        <v>-20985.150520487994</v>
      </c>
      <c r="G66" s="9">
        <f t="shared" si="8"/>
        <v>-5019.2386222171845</v>
      </c>
      <c r="I66" t="s">
        <v>7</v>
      </c>
      <c r="J66" s="17">
        <f t="shared" si="9"/>
        <v>15059569.127500001</v>
      </c>
      <c r="K66" s="19">
        <f t="shared" ref="K66:K78" si="13">J66/$J$79</f>
        <v>6.3541765276333304E-2</v>
      </c>
      <c r="L66" s="1">
        <f t="shared" si="10"/>
        <v>15051063.380833331</v>
      </c>
      <c r="M66" s="19">
        <f t="shared" ref="M66:M78" si="14">L66/$L$79</f>
        <v>6.2994572442075555E-2</v>
      </c>
      <c r="N66" s="1">
        <f t="shared" si="11"/>
        <v>15098695.209166665</v>
      </c>
      <c r="O66" s="19">
        <f t="shared" ref="O66:O78" si="15">N66/$N$79</f>
        <v>6.2342194123318366E-2</v>
      </c>
      <c r="P66" s="1">
        <f t="shared" si="12"/>
        <v>15869244.869999999</v>
      </c>
      <c r="Q66" s="19">
        <f t="shared" ref="Q66:Q78" si="16">P66/$P$79</f>
        <v>6.3788844216128349E-2</v>
      </c>
    </row>
    <row r="67" spans="2:17" x14ac:dyDescent="0.25">
      <c r="B67" s="5" t="s">
        <v>8</v>
      </c>
      <c r="C67" s="9">
        <f t="shared" si="7"/>
        <v>4510.8415419642115</v>
      </c>
      <c r="D67" s="9">
        <f t="shared" si="7"/>
        <v>523.42998242621252</v>
      </c>
      <c r="E67" s="9">
        <f t="shared" si="7"/>
        <v>-5171.4829518401966</v>
      </c>
      <c r="F67" s="9">
        <f t="shared" si="7"/>
        <v>1728.5451349211216</v>
      </c>
      <c r="G67" s="9">
        <f t="shared" si="8"/>
        <v>1591.333707471349</v>
      </c>
      <c r="I67" t="s">
        <v>8</v>
      </c>
      <c r="J67" s="17">
        <f t="shared" si="9"/>
        <v>15312544.381666664</v>
      </c>
      <c r="K67" s="19">
        <f t="shared" si="13"/>
        <v>6.4609159308983657E-2</v>
      </c>
      <c r="L67" s="1">
        <f t="shared" si="10"/>
        <v>14955002.909166666</v>
      </c>
      <c r="M67" s="19">
        <f t="shared" si="14"/>
        <v>6.259252189002408E-2</v>
      </c>
      <c r="N67" s="1">
        <f t="shared" si="11"/>
        <v>15109611.622499999</v>
      </c>
      <c r="O67" s="19">
        <f t="shared" si="15"/>
        <v>6.2387267763770682E-2</v>
      </c>
      <c r="P67" s="1">
        <f t="shared" si="12"/>
        <v>15605612.989166666</v>
      </c>
      <c r="Q67" s="19">
        <f t="shared" si="16"/>
        <v>6.2729135760266425E-2</v>
      </c>
    </row>
    <row r="68" spans="2:17" x14ac:dyDescent="0.25">
      <c r="B68" s="5" t="s">
        <v>9</v>
      </c>
      <c r="C68" s="9">
        <f t="shared" si="7"/>
        <v>-1049.2177760438062</v>
      </c>
      <c r="D68" s="9">
        <f t="shared" si="7"/>
        <v>1239.8321688745928</v>
      </c>
      <c r="E68" s="9">
        <f t="shared" si="7"/>
        <v>-500.14188405954337</v>
      </c>
      <c r="F68" s="9">
        <f t="shared" si="7"/>
        <v>1618.6116314189421</v>
      </c>
      <c r="G68" s="9">
        <f t="shared" si="8"/>
        <v>1309.0841401901853</v>
      </c>
      <c r="I68" s="5" t="s">
        <v>9</v>
      </c>
      <c r="J68" s="17">
        <f t="shared" si="9"/>
        <v>14515428.835833333</v>
      </c>
      <c r="K68" s="19">
        <f t="shared" si="13"/>
        <v>6.1245840711842213E-2</v>
      </c>
      <c r="L68" s="1">
        <f t="shared" si="10"/>
        <v>14857185.396666666</v>
      </c>
      <c r="M68" s="19">
        <f t="shared" si="14"/>
        <v>6.218311743657319E-2</v>
      </c>
      <c r="N68" s="1">
        <f t="shared" si="11"/>
        <v>15286491.445000002</v>
      </c>
      <c r="O68" s="19">
        <f t="shared" si="15"/>
        <v>6.3117600820901246E-2</v>
      </c>
      <c r="P68" s="1">
        <f t="shared" si="12"/>
        <v>15669838.557500001</v>
      </c>
      <c r="Q68" s="19">
        <f t="shared" si="16"/>
        <v>6.2987300203922611E-2</v>
      </c>
    </row>
    <row r="69" spans="2:17" x14ac:dyDescent="0.25">
      <c r="B69" s="5" t="s">
        <v>10</v>
      </c>
      <c r="C69" s="9">
        <f t="shared" si="7"/>
        <v>1361.0622949399694</v>
      </c>
      <c r="D69" s="9">
        <f t="shared" si="7"/>
        <v>-2027.2496252486453</v>
      </c>
      <c r="E69" s="9">
        <f t="shared" si="7"/>
        <v>-1062.0504451127053</v>
      </c>
      <c r="F69" s="9">
        <f t="shared" si="7"/>
        <v>1588.4910932811617</v>
      </c>
      <c r="G69" s="9">
        <f t="shared" si="8"/>
        <v>-139.74668214021949</v>
      </c>
      <c r="I69" s="5" t="s">
        <v>10</v>
      </c>
      <c r="J69" s="17">
        <f t="shared" si="9"/>
        <v>19082273.003333338</v>
      </c>
      <c r="K69" s="19">
        <f t="shared" si="13"/>
        <v>8.0515006893693661E-2</v>
      </c>
      <c r="L69" s="1">
        <f t="shared" si="10"/>
        <v>18894166.443333335</v>
      </c>
      <c r="M69" s="19">
        <f t="shared" si="14"/>
        <v>7.9079458150637022E-2</v>
      </c>
      <c r="N69" s="1">
        <f t="shared" si="11"/>
        <v>18725695.877500001</v>
      </c>
      <c r="O69" s="19">
        <f t="shared" si="15"/>
        <v>7.7318003398106835E-2</v>
      </c>
      <c r="P69" s="1">
        <f t="shared" si="12"/>
        <v>18970980.30166667</v>
      </c>
      <c r="Q69" s="19">
        <f t="shared" si="16"/>
        <v>7.6256741704071693E-2</v>
      </c>
    </row>
    <row r="70" spans="2:17" x14ac:dyDescent="0.25">
      <c r="B70" s="5" t="s">
        <v>11</v>
      </c>
      <c r="C70" s="9">
        <f t="shared" si="7"/>
        <v>-384.08202845389314</v>
      </c>
      <c r="D70" s="9">
        <f t="shared" si="7"/>
        <v>571.63446484360611</v>
      </c>
      <c r="E70" s="9">
        <f t="shared" si="7"/>
        <v>-485.86035058728885</v>
      </c>
      <c r="F70" s="9">
        <f t="shared" si="7"/>
        <v>1561.017512416438</v>
      </c>
      <c r="G70" s="9">
        <f t="shared" si="8"/>
        <v>1262.7095982188621</v>
      </c>
      <c r="I70" s="5" t="s">
        <v>11</v>
      </c>
      <c r="J70" s="17">
        <f t="shared" si="9"/>
        <v>14413196.111666666</v>
      </c>
      <c r="K70" s="19">
        <f t="shared" si="13"/>
        <v>6.0814483897609316E-2</v>
      </c>
      <c r="L70" s="1">
        <f t="shared" si="10"/>
        <v>14618701.653333332</v>
      </c>
      <c r="M70" s="19">
        <f t="shared" si="14"/>
        <v>6.1184969925959412E-2</v>
      </c>
      <c r="N70" s="1">
        <f t="shared" si="11"/>
        <v>14732345.960833333</v>
      </c>
      <c r="O70" s="19">
        <f t="shared" si="15"/>
        <v>6.082954580237853E-2</v>
      </c>
      <c r="P70" s="1">
        <f t="shared" si="12"/>
        <v>15114640.296250001</v>
      </c>
      <c r="Q70" s="19">
        <f t="shared" si="16"/>
        <v>6.0755596320967685E-2</v>
      </c>
    </row>
    <row r="71" spans="2:17" x14ac:dyDescent="0.25">
      <c r="B71" s="5" t="s">
        <v>12</v>
      </c>
      <c r="C71" s="9">
        <f t="shared" si="7"/>
        <v>41.392953620527805</v>
      </c>
      <c r="D71" s="9">
        <f t="shared" si="7"/>
        <v>-36.109883953326062</v>
      </c>
      <c r="E71" s="9">
        <f t="shared" si="7"/>
        <v>-26.739335445327015</v>
      </c>
      <c r="F71" s="9">
        <f t="shared" si="7"/>
        <v>114.47446254138777</v>
      </c>
      <c r="G71" s="9">
        <f t="shared" si="8"/>
        <v>93.018196763262495</v>
      </c>
      <c r="I71" s="5" t="s">
        <v>12</v>
      </c>
      <c r="J71" s="17">
        <f t="shared" si="9"/>
        <v>796252.98424999998</v>
      </c>
      <c r="K71" s="19">
        <f t="shared" si="13"/>
        <v>3.359679138057293E-3</v>
      </c>
      <c r="L71" s="1">
        <f t="shared" si="10"/>
        <v>794434.33758333337</v>
      </c>
      <c r="M71" s="19">
        <f t="shared" si="14"/>
        <v>3.3250176524467442E-3</v>
      </c>
      <c r="N71" s="1">
        <f t="shared" si="11"/>
        <v>835549.04425000004</v>
      </c>
      <c r="O71" s="19">
        <f t="shared" si="15"/>
        <v>3.4499643839794821E-3</v>
      </c>
      <c r="P71" s="1">
        <f t="shared" si="12"/>
        <v>913593.08291666675</v>
      </c>
      <c r="Q71" s="19">
        <f t="shared" si="16"/>
        <v>3.6723263974124867E-3</v>
      </c>
    </row>
    <row r="72" spans="2:17" x14ac:dyDescent="0.25">
      <c r="B72" s="5" t="s">
        <v>13</v>
      </c>
      <c r="C72" s="9">
        <f t="shared" si="7"/>
        <v>7.9471111838780999</v>
      </c>
      <c r="D72" s="9">
        <f t="shared" si="7"/>
        <v>-7.8476436560543377</v>
      </c>
      <c r="E72" s="9">
        <f t="shared" si="7"/>
        <v>-2.4879867491372352</v>
      </c>
      <c r="F72" s="9">
        <f t="shared" si="7"/>
        <v>-22.754661708880889</v>
      </c>
      <c r="G72" s="9">
        <f t="shared" si="8"/>
        <v>-25.143180930194362</v>
      </c>
      <c r="I72" s="5" t="s">
        <v>13</v>
      </c>
      <c r="J72" s="17">
        <f t="shared" si="9"/>
        <v>9302.0249999999996</v>
      </c>
      <c r="K72" s="19">
        <f t="shared" si="13"/>
        <v>3.9248605596905666E-5</v>
      </c>
      <c r="L72" s="1">
        <f t="shared" si="10"/>
        <v>7766.5941666666668</v>
      </c>
      <c r="M72" s="19">
        <f t="shared" si="14"/>
        <v>3.2506226735004046E-5</v>
      </c>
      <c r="N72" s="1">
        <f t="shared" si="11"/>
        <v>5451.1241666666665</v>
      </c>
      <c r="O72" s="19">
        <f t="shared" si="15"/>
        <v>2.2507576733009748E-5</v>
      </c>
      <c r="P72" s="1">
        <f t="shared" si="12"/>
        <v>3120.1566666666663</v>
      </c>
      <c r="Q72" s="19">
        <f>P72/$P$79</f>
        <v>1.2541944444765145E-5</v>
      </c>
    </row>
    <row r="73" spans="2:17" x14ac:dyDescent="0.25">
      <c r="B73" s="5" t="s">
        <v>14</v>
      </c>
      <c r="C73" s="9">
        <f t="shared" si="7"/>
        <v>2153.0570242540271</v>
      </c>
      <c r="D73" s="9">
        <f t="shared" si="7"/>
        <v>-1949.7307054051053</v>
      </c>
      <c r="E73" s="9">
        <f t="shared" si="7"/>
        <v>-520.63262537888659</v>
      </c>
      <c r="F73" s="9">
        <f t="shared" si="7"/>
        <v>1629.2030431685271</v>
      </c>
      <c r="G73" s="9">
        <f t="shared" si="8"/>
        <v>1311.8967366385623</v>
      </c>
      <c r="I73" s="5" t="s">
        <v>14</v>
      </c>
      <c r="J73" s="17">
        <f t="shared" si="9"/>
        <v>16143585.83666667</v>
      </c>
      <c r="K73" s="19">
        <f t="shared" si="13"/>
        <v>6.8115623579072568E-2</v>
      </c>
      <c r="L73" s="1">
        <f t="shared" si="10"/>
        <v>15848108.282500001</v>
      </c>
      <c r="M73" s="19">
        <f t="shared" si="14"/>
        <v>6.633051632372626E-2</v>
      </c>
      <c r="N73" s="1">
        <f t="shared" si="11"/>
        <v>15670736.293333333</v>
      </c>
      <c r="O73" s="19">
        <f t="shared" si="15"/>
        <v>6.4704139696865726E-2</v>
      </c>
      <c r="P73" s="1">
        <f t="shared" si="12"/>
        <v>15703468.017916668</v>
      </c>
      <c r="Q73" s="19">
        <f t="shared" si="16"/>
        <v>6.3122478936695633E-2</v>
      </c>
    </row>
    <row r="74" spans="2:17" x14ac:dyDescent="0.25">
      <c r="B74" s="5" t="s">
        <v>15</v>
      </c>
      <c r="C74" s="9">
        <f t="shared" si="7"/>
        <v>106.99134550564486</v>
      </c>
      <c r="D74" s="9">
        <f t="shared" si="7"/>
        <v>-20.693630113571999</v>
      </c>
      <c r="E74" s="9">
        <f t="shared" si="7"/>
        <v>-223.59988441980022</v>
      </c>
      <c r="F74" s="9">
        <f t="shared" si="7"/>
        <v>713.16477632087117</v>
      </c>
      <c r="G74" s="9">
        <f t="shared" si="8"/>
        <v>575.86260729314381</v>
      </c>
      <c r="I74" s="5" t="s">
        <v>15</v>
      </c>
      <c r="J74" s="17">
        <f t="shared" si="9"/>
        <v>6688682.1016666666</v>
      </c>
      <c r="K74" s="19">
        <f t="shared" si="13"/>
        <v>2.8221967342744951E-2</v>
      </c>
      <c r="L74" s="1">
        <f t="shared" si="10"/>
        <v>6726010.7333333334</v>
      </c>
      <c r="M74" s="19">
        <f t="shared" si="14"/>
        <v>2.8150979081431875E-2</v>
      </c>
      <c r="N74" s="1">
        <f t="shared" si="11"/>
        <v>6781074.0908333343</v>
      </c>
      <c r="O74" s="19">
        <f t="shared" si="15"/>
        <v>2.799891192443435E-2</v>
      </c>
      <c r="P74" s="1">
        <f t="shared" si="12"/>
        <v>6893050.2025000006</v>
      </c>
      <c r="Q74" s="19">
        <f t="shared" si="16"/>
        <v>2.7707664047232294E-2</v>
      </c>
    </row>
    <row r="75" spans="2:17" x14ac:dyDescent="0.25">
      <c r="B75" s="5" t="s">
        <v>16</v>
      </c>
      <c r="C75" s="9">
        <f t="shared" si="7"/>
        <v>-1013.9149022491474</v>
      </c>
      <c r="D75" s="9">
        <f t="shared" si="7"/>
        <v>1417.3175030399871</v>
      </c>
      <c r="E75" s="9">
        <f t="shared" si="7"/>
        <v>-1071.1205171541078</v>
      </c>
      <c r="F75" s="9">
        <f t="shared" si="7"/>
        <v>3594.3739283873001</v>
      </c>
      <c r="G75" s="9">
        <f t="shared" si="8"/>
        <v>2926.656012024032</v>
      </c>
      <c r="I75" s="5" t="s">
        <v>16</v>
      </c>
      <c r="J75" s="17">
        <f t="shared" si="9"/>
        <v>30962665.715000004</v>
      </c>
      <c r="K75" s="19">
        <f t="shared" si="13"/>
        <v>0.13064267779078947</v>
      </c>
      <c r="L75" s="1">
        <f t="shared" si="10"/>
        <v>31442561.824166667</v>
      </c>
      <c r="M75" s="19">
        <f t="shared" si="14"/>
        <v>0.13159938859331549</v>
      </c>
      <c r="N75" s="1">
        <f t="shared" si="11"/>
        <v>32976810.499166667</v>
      </c>
      <c r="O75" s="19">
        <f t="shared" si="15"/>
        <v>0.13616055514908293</v>
      </c>
      <c r="P75" s="1">
        <f t="shared" si="12"/>
        <v>35032015.145000003</v>
      </c>
      <c r="Q75" s="19">
        <f t="shared" si="16"/>
        <v>0.1408165148983207</v>
      </c>
    </row>
    <row r="76" spans="2:17" x14ac:dyDescent="0.25">
      <c r="B76" s="5" t="s">
        <v>17</v>
      </c>
      <c r="C76" s="9">
        <f t="shared" si="7"/>
        <v>-1928.9320833260717</v>
      </c>
      <c r="D76" s="9">
        <f t="shared" si="7"/>
        <v>-4400.6295017562225</v>
      </c>
      <c r="E76" s="9">
        <f t="shared" si="7"/>
        <v>-4865.9080091565265</v>
      </c>
      <c r="F76" s="9">
        <f t="shared" si="7"/>
        <v>2517.6159976822964</v>
      </c>
      <c r="G76" s="9">
        <f t="shared" si="8"/>
        <v>-8677.8535965565243</v>
      </c>
      <c r="I76" s="5" t="s">
        <v>17</v>
      </c>
      <c r="J76" s="17">
        <f t="shared" si="9"/>
        <v>50534767.914166644</v>
      </c>
      <c r="K76" s="19">
        <f t="shared" si="13"/>
        <v>0.21322445110546251</v>
      </c>
      <c r="L76" s="1">
        <f t="shared" si="10"/>
        <v>50761028.427500002</v>
      </c>
      <c r="M76" s="19">
        <f t="shared" si="14"/>
        <v>0.21245470845484943</v>
      </c>
      <c r="N76" s="1">
        <f t="shared" si="11"/>
        <v>50968186.039999999</v>
      </c>
      <c r="O76" s="19">
        <f t="shared" si="15"/>
        <v>0.21044656536215078</v>
      </c>
      <c r="P76" s="1">
        <f t="shared" si="12"/>
        <v>51648807.539166667</v>
      </c>
      <c r="Q76" s="19">
        <f t="shared" si="16"/>
        <v>0.20761024012509915</v>
      </c>
    </row>
    <row r="77" spans="2:17" x14ac:dyDescent="0.25">
      <c r="B77" s="5" t="s">
        <v>18</v>
      </c>
      <c r="C77" s="9">
        <f t="shared" si="7"/>
        <v>-3485.5842946441262</v>
      </c>
      <c r="D77" s="9">
        <f t="shared" si="7"/>
        <v>3594.5036119685174</v>
      </c>
      <c r="E77" s="9">
        <f t="shared" si="7"/>
        <v>-329.59990229565301</v>
      </c>
      <c r="F77" s="9">
        <f t="shared" si="7"/>
        <v>1104.631395735043</v>
      </c>
      <c r="G77" s="9">
        <f t="shared" si="8"/>
        <v>883.95081076378119</v>
      </c>
      <c r="I77" s="5" t="s">
        <v>18</v>
      </c>
      <c r="J77" s="17">
        <f t="shared" si="9"/>
        <v>8663597.144166667</v>
      </c>
      <c r="K77" s="19">
        <f t="shared" si="13"/>
        <v>3.6554847719918598E-2</v>
      </c>
      <c r="L77" s="1">
        <f t="shared" si="10"/>
        <v>9448335.9833333343</v>
      </c>
      <c r="M77" s="19">
        <f t="shared" si="14"/>
        <v>3.9544972371660221E-2</v>
      </c>
      <c r="N77" s="1">
        <f t="shared" si="11"/>
        <v>10055637.135</v>
      </c>
      <c r="O77" s="19">
        <f t="shared" si="15"/>
        <v>4.1519513681104278E-2</v>
      </c>
      <c r="P77" s="1">
        <f t="shared" si="12"/>
        <v>10580778.231666667</v>
      </c>
      <c r="Q77" s="19">
        <f t="shared" si="16"/>
        <v>4.2531047937959449E-2</v>
      </c>
    </row>
    <row r="78" spans="2:17" x14ac:dyDescent="0.25">
      <c r="B78" s="5" t="s">
        <v>19</v>
      </c>
      <c r="C78" s="9">
        <f t="shared" si="7"/>
        <v>-2861.2610150588735</v>
      </c>
      <c r="D78" s="9">
        <f t="shared" si="7"/>
        <v>3291.3105952496117</v>
      </c>
      <c r="E78" s="9">
        <f t="shared" si="7"/>
        <v>-1124.5448057652393</v>
      </c>
      <c r="F78" s="9">
        <f t="shared" si="7"/>
        <v>3619.8722057785781</v>
      </c>
      <c r="G78" s="9">
        <f t="shared" si="8"/>
        <v>2925.376980204077</v>
      </c>
      <c r="I78" s="5" t="s">
        <v>19</v>
      </c>
      <c r="J78" s="17">
        <f t="shared" si="9"/>
        <v>32649677.863333333</v>
      </c>
      <c r="K78" s="19">
        <f t="shared" si="13"/>
        <v>0.13776079179791409</v>
      </c>
      <c r="L78" s="1">
        <f t="shared" si="10"/>
        <v>33520389.627499998</v>
      </c>
      <c r="M78" s="19">
        <f t="shared" si="14"/>
        <v>0.14029590861766963</v>
      </c>
      <c r="N78" s="1">
        <f t="shared" si="11"/>
        <v>34298695.357500002</v>
      </c>
      <c r="O78" s="19">
        <f t="shared" si="15"/>
        <v>0.14161858985375461</v>
      </c>
      <c r="P78" s="1">
        <f t="shared" si="12"/>
        <v>35016894.924583331</v>
      </c>
      <c r="Q78" s="19">
        <f t="shared" si="16"/>
        <v>0.14075573687185669</v>
      </c>
    </row>
    <row r="79" spans="2:17" x14ac:dyDescent="0.25">
      <c r="B79" s="8" t="s">
        <v>23</v>
      </c>
      <c r="C79" s="9">
        <f>SUM(C65:C78)</f>
        <v>-1.5825207810848951E-10</v>
      </c>
      <c r="D79" s="9">
        <f>SUM(D65:D78)</f>
        <v>4.3110048864036798E-10</v>
      </c>
      <c r="E79" s="9">
        <f>SUM(E65:E78)</f>
        <v>5.0476955948397517E-10</v>
      </c>
      <c r="F79" s="9">
        <f>SUM(F65:F78)</f>
        <v>-3.383320290595293E-10</v>
      </c>
      <c r="G79" s="9">
        <f t="shared" si="8"/>
        <v>4.3928594095632434E-10</v>
      </c>
      <c r="I79" s="18" t="s">
        <v>23</v>
      </c>
      <c r="J79" s="1">
        <f>SUM(J65:J78)</f>
        <v>237002687.31925002</v>
      </c>
      <c r="K79" s="10">
        <f>SUM(K65:K78)</f>
        <v>0.99999999999999989</v>
      </c>
      <c r="L79" s="1">
        <f>SUM(L65:L78)</f>
        <v>238926351.86425</v>
      </c>
      <c r="M79" s="10">
        <f>SUM(M65:M78)-(M72+M71)</f>
        <v>0.99664247612081813</v>
      </c>
      <c r="N79" s="1">
        <f>SUM(N65:N78)</f>
        <v>242190629.01924998</v>
      </c>
      <c r="O79" s="10">
        <f>SUM(O65:O78)</f>
        <v>1.0000000000000002</v>
      </c>
      <c r="P79" s="1">
        <f>SUM(P65:P78)</f>
        <v>248777745.77999997</v>
      </c>
      <c r="Q79" s="10">
        <f>SUM(Q65:Q78)</f>
        <v>1.0000000000000002</v>
      </c>
    </row>
    <row r="82" spans="9:17" ht="15.75" x14ac:dyDescent="0.25">
      <c r="I82" s="38" t="s">
        <v>182</v>
      </c>
      <c r="J82" s="38"/>
      <c r="K82" s="38"/>
      <c r="L82" s="38"/>
      <c r="M82" s="38"/>
      <c r="N82" s="38"/>
      <c r="O82" s="38"/>
      <c r="P82" s="38"/>
      <c r="Q82" s="38"/>
    </row>
    <row r="83" spans="9:17" x14ac:dyDescent="0.25">
      <c r="I83"/>
      <c r="J83"/>
      <c r="K83"/>
      <c r="L83"/>
      <c r="M83"/>
      <c r="N83"/>
      <c r="O83"/>
      <c r="P83"/>
      <c r="Q83"/>
    </row>
    <row r="84" spans="9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9:17" x14ac:dyDescent="0.25">
      <c r="I85" s="18" t="s">
        <v>159</v>
      </c>
      <c r="J85" s="5" t="s">
        <v>171</v>
      </c>
      <c r="K85"/>
      <c r="L85"/>
      <c r="M85"/>
      <c r="N85"/>
      <c r="O85"/>
      <c r="P85"/>
      <c r="Q85"/>
    </row>
  </sheetData>
  <sheetProtection algorithmName="SHA-512" hashValue="Wy8jFw002/OWLSPRI9RjiCVCKojfACAebweOt2YLC2GvOfkdkCtZht0b22ByKtz4SorH8bRv9MHIzuaSMkpgNQ==" saltValue="BIpwqZ2tS5tsTbmWA9QuDg==" spinCount="100000" sheet="1" objects="1" scenarios="1"/>
  <mergeCells count="8">
    <mergeCell ref="I82:Q82"/>
    <mergeCell ref="B63:G63"/>
    <mergeCell ref="I24:O24"/>
    <mergeCell ref="I2:N2"/>
    <mergeCell ref="I43:P43"/>
    <mergeCell ref="I63:Q63"/>
    <mergeCell ref="B2:G2"/>
    <mergeCell ref="B43:G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2746-5D6C-4796-BB10-7FC0E0398358}">
  <dimension ref="B2:Q87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1.140625" style="5" bestFit="1" customWidth="1"/>
    <col min="3" max="7" width="14.28515625" style="5" bestFit="1" customWidth="1"/>
    <col min="8" max="8" width="9.140625" style="5"/>
    <col min="9" max="9" width="10.28515625" style="5" bestFit="1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6384" width="9.140625" style="5"/>
  </cols>
  <sheetData>
    <row r="2" spans="2:14" ht="15.75" x14ac:dyDescent="0.25">
      <c r="B2" s="39" t="s">
        <v>51</v>
      </c>
      <c r="C2" s="39"/>
      <c r="D2" s="39"/>
      <c r="E2" s="39"/>
      <c r="F2" s="39"/>
      <c r="G2" s="39"/>
      <c r="H2" s="4"/>
      <c r="I2" s="39" t="s">
        <v>52</v>
      </c>
      <c r="J2" s="39"/>
      <c r="K2" s="39"/>
      <c r="L2" s="39"/>
      <c r="M2" s="39"/>
      <c r="N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59801.01</v>
      </c>
      <c r="D4" s="2">
        <v>68878.850000000006</v>
      </c>
      <c r="E4" s="2">
        <v>55575.77</v>
      </c>
      <c r="F4" s="2">
        <v>75119.649999999994</v>
      </c>
      <c r="G4" s="2">
        <f t="shared" ref="G4:G20" si="0">C4+D4+E4+F4</f>
        <v>259375.28</v>
      </c>
      <c r="I4" s="5" t="s">
        <v>6</v>
      </c>
      <c r="J4" s="1">
        <v>15017242.9</v>
      </c>
      <c r="K4" s="1">
        <v>11677010.023333333</v>
      </c>
      <c r="L4" s="1">
        <v>11349489.756666668</v>
      </c>
      <c r="M4" s="1">
        <v>13031852.649999999</v>
      </c>
      <c r="N4" s="1">
        <v>11845814.459999999</v>
      </c>
    </row>
    <row r="5" spans="2:14" x14ac:dyDescent="0.25">
      <c r="B5" s="5" t="s">
        <v>7</v>
      </c>
      <c r="C5" s="1">
        <v>65068.68</v>
      </c>
      <c r="D5" s="1">
        <v>87118</v>
      </c>
      <c r="E5" s="1">
        <v>60314.12</v>
      </c>
      <c r="F5" s="1">
        <v>103480.79</v>
      </c>
      <c r="G5" s="2">
        <f t="shared" si="0"/>
        <v>315981.58999999997</v>
      </c>
      <c r="I5" s="5" t="s">
        <v>7</v>
      </c>
      <c r="J5" s="1">
        <v>19441480.313333333</v>
      </c>
      <c r="K5" s="1">
        <v>13320474.536666667</v>
      </c>
      <c r="L5" s="1">
        <v>12296523.486666666</v>
      </c>
      <c r="M5" s="1">
        <v>17163903.98</v>
      </c>
      <c r="N5" s="1">
        <v>14687371.286666667</v>
      </c>
    </row>
    <row r="6" spans="2:14" x14ac:dyDescent="0.25">
      <c r="B6" s="5" t="s">
        <v>8</v>
      </c>
      <c r="C6" s="1">
        <v>69041.33</v>
      </c>
      <c r="D6" s="1">
        <v>77080.039999999994</v>
      </c>
      <c r="E6" s="1">
        <v>66162.149999999994</v>
      </c>
      <c r="F6" s="1">
        <v>89729.33</v>
      </c>
      <c r="G6" s="2">
        <f t="shared" si="0"/>
        <v>302012.84999999998</v>
      </c>
      <c r="I6" s="5" t="s">
        <v>8</v>
      </c>
      <c r="J6" s="1">
        <v>19007755.77</v>
      </c>
      <c r="K6" s="1">
        <v>15018411.399999999</v>
      </c>
      <c r="L6" s="1">
        <v>13531783.949999997</v>
      </c>
      <c r="M6" s="1">
        <v>16886153.664999999</v>
      </c>
      <c r="N6" s="1">
        <v>15390566.683333332</v>
      </c>
    </row>
    <row r="7" spans="2:14" x14ac:dyDescent="0.25">
      <c r="B7" s="5" t="s">
        <v>9</v>
      </c>
      <c r="C7" s="1">
        <v>59096.99</v>
      </c>
      <c r="D7" s="1">
        <v>72834.559999999998</v>
      </c>
      <c r="E7" s="1">
        <v>71014.039999999994</v>
      </c>
      <c r="F7" s="1">
        <v>89801.69</v>
      </c>
      <c r="G7" s="2">
        <f t="shared" si="0"/>
        <v>292747.27999999997</v>
      </c>
      <c r="I7" s="5" t="s">
        <v>9</v>
      </c>
      <c r="J7" s="1">
        <v>16207139.663333334</v>
      </c>
      <c r="K7" s="1">
        <v>13070444.013333334</v>
      </c>
      <c r="L7" s="1">
        <v>12696370.140000001</v>
      </c>
      <c r="M7" s="1">
        <v>15673179.52</v>
      </c>
      <c r="N7" s="1">
        <v>14581277.65</v>
      </c>
    </row>
    <row r="8" spans="2:14" x14ac:dyDescent="0.25">
      <c r="B8" s="5" t="s">
        <v>10</v>
      </c>
      <c r="C8" s="1">
        <v>90166.89</v>
      </c>
      <c r="D8" s="1">
        <v>104133.52</v>
      </c>
      <c r="E8" s="1">
        <v>91478.83</v>
      </c>
      <c r="F8" s="1">
        <v>114481.23</v>
      </c>
      <c r="G8" s="2">
        <f t="shared" si="0"/>
        <v>400260.47</v>
      </c>
      <c r="I8" s="5" t="s">
        <v>10</v>
      </c>
      <c r="J8" s="1">
        <v>22016775.969999999</v>
      </c>
      <c r="K8" s="1">
        <v>19389673.523333333</v>
      </c>
      <c r="L8" s="1">
        <v>16895355.300000001</v>
      </c>
      <c r="M8" s="1">
        <v>20062553.570000004</v>
      </c>
      <c r="N8" s="1">
        <v>18756595.413333338</v>
      </c>
    </row>
    <row r="9" spans="2:14" x14ac:dyDescent="0.25">
      <c r="B9" s="5" t="s">
        <v>11</v>
      </c>
      <c r="C9" s="1">
        <v>64064.21</v>
      </c>
      <c r="D9" s="1">
        <v>75393.240000000005</v>
      </c>
      <c r="E9" s="1">
        <v>67317.649999999994</v>
      </c>
      <c r="F9" s="1">
        <v>87713.279999999999</v>
      </c>
      <c r="G9" s="2">
        <f t="shared" si="0"/>
        <v>294488.38</v>
      </c>
      <c r="I9" s="5" t="s">
        <v>11</v>
      </c>
      <c r="J9" s="1">
        <v>15613272.936666667</v>
      </c>
      <c r="K9" s="1">
        <v>13684973.493333332</v>
      </c>
      <c r="L9" s="1">
        <v>13531128.143333333</v>
      </c>
      <c r="M9" s="1">
        <v>15160614.055</v>
      </c>
      <c r="N9" s="1">
        <v>14370752.553333333</v>
      </c>
    </row>
    <row r="10" spans="2:14" x14ac:dyDescent="0.25">
      <c r="B10" s="5" t="s">
        <v>12</v>
      </c>
      <c r="C10" s="1">
        <v>0</v>
      </c>
      <c r="D10" s="1">
        <v>0</v>
      </c>
      <c r="E10" s="1">
        <v>2508.62</v>
      </c>
      <c r="F10" s="1">
        <v>4763.8599999999997</v>
      </c>
      <c r="G10" s="2">
        <f t="shared" si="0"/>
        <v>7272.48</v>
      </c>
      <c r="I10" s="5" t="s">
        <v>12</v>
      </c>
      <c r="J10" s="1">
        <v>956284.89666666661</v>
      </c>
      <c r="K10" s="1">
        <v>470865.22333333333</v>
      </c>
      <c r="L10" s="1">
        <v>596338.62333333341</v>
      </c>
      <c r="M10" s="1">
        <v>712444.16999999993</v>
      </c>
      <c r="N10" s="1">
        <v>1201697.3603333333</v>
      </c>
    </row>
    <row r="11" spans="2:14" x14ac:dyDescent="0.25">
      <c r="B11" s="5" t="s">
        <v>13</v>
      </c>
      <c r="C11" s="1">
        <v>0</v>
      </c>
      <c r="D11" s="1">
        <v>0</v>
      </c>
      <c r="E11" s="1">
        <v>43.69</v>
      </c>
      <c r="F11" s="1">
        <v>54.9</v>
      </c>
      <c r="G11" s="2">
        <f t="shared" si="0"/>
        <v>98.59</v>
      </c>
      <c r="I11" s="5" t="s">
        <v>13</v>
      </c>
      <c r="J11" s="1">
        <v>9261.8799999999992</v>
      </c>
      <c r="K11" s="1">
        <v>9261.8799999999992</v>
      </c>
      <c r="L11" s="1">
        <v>9261.8799999999992</v>
      </c>
      <c r="M11" s="1">
        <v>9305.57</v>
      </c>
      <c r="N11" s="1">
        <v>9323.8700000000008</v>
      </c>
    </row>
    <row r="12" spans="2:14" x14ac:dyDescent="0.25">
      <c r="B12" s="5" t="s">
        <v>14</v>
      </c>
      <c r="C12" s="1">
        <v>74064</v>
      </c>
      <c r="D12" s="1">
        <v>87055.21</v>
      </c>
      <c r="E12" s="1">
        <v>76534.850000000006</v>
      </c>
      <c r="F12" s="1">
        <v>98014.77</v>
      </c>
      <c r="G12" s="2">
        <f t="shared" si="0"/>
        <v>335668.83</v>
      </c>
      <c r="I12" s="5" t="s">
        <v>14</v>
      </c>
      <c r="J12" s="1">
        <v>18280920.816666666</v>
      </c>
      <c r="K12" s="1">
        <v>16164990.186666667</v>
      </c>
      <c r="L12" s="1">
        <v>14915687.566666668</v>
      </c>
      <c r="M12" s="1">
        <v>16737550.295000002</v>
      </c>
      <c r="N12" s="1">
        <v>15816443.596666669</v>
      </c>
    </row>
    <row r="13" spans="2:14" x14ac:dyDescent="0.25">
      <c r="B13" s="5" t="s">
        <v>15</v>
      </c>
      <c r="C13" s="1">
        <v>30852.09</v>
      </c>
      <c r="D13" s="1">
        <v>35173.839999999997</v>
      </c>
      <c r="E13" s="1">
        <v>31597.32</v>
      </c>
      <c r="F13" s="1">
        <v>38664.839999999997</v>
      </c>
      <c r="G13" s="2">
        <f t="shared" si="0"/>
        <v>136288.09</v>
      </c>
      <c r="I13" s="5" t="s">
        <v>15</v>
      </c>
      <c r="J13" s="1">
        <v>7320592.5700000003</v>
      </c>
      <c r="K13" s="1">
        <v>6563296.4100000001</v>
      </c>
      <c r="L13" s="1">
        <v>6328362.5766666653</v>
      </c>
      <c r="M13" s="1">
        <v>6625291.8000000007</v>
      </c>
      <c r="N13" s="1">
        <v>6434253.8433333337</v>
      </c>
    </row>
    <row r="14" spans="2:14" x14ac:dyDescent="0.25">
      <c r="B14" s="5" t="s">
        <v>16</v>
      </c>
      <c r="C14" s="1">
        <v>132255.03</v>
      </c>
      <c r="D14" s="1">
        <v>158104</v>
      </c>
      <c r="E14" s="1">
        <v>149857.85999999999</v>
      </c>
      <c r="F14" s="1">
        <v>184423.3</v>
      </c>
      <c r="G14" s="2">
        <f t="shared" si="0"/>
        <v>624640.18999999994</v>
      </c>
      <c r="I14" s="5" t="s">
        <v>16</v>
      </c>
      <c r="J14" s="1">
        <v>31913633.439999998</v>
      </c>
      <c r="K14" s="1">
        <v>29126214.266666669</v>
      </c>
      <c r="L14" s="1">
        <v>29363758.370000001</v>
      </c>
      <c r="M14" s="1">
        <v>32599134.25</v>
      </c>
      <c r="N14" s="1">
        <v>32025970.696666669</v>
      </c>
    </row>
    <row r="15" spans="2:14" x14ac:dyDescent="0.25">
      <c r="B15" s="5" t="s">
        <v>17</v>
      </c>
      <c r="C15" s="1">
        <v>233036.93</v>
      </c>
      <c r="D15" s="1">
        <v>274383.49</v>
      </c>
      <c r="E15" s="1">
        <v>238923.97</v>
      </c>
      <c r="F15" s="1">
        <v>320206.98</v>
      </c>
      <c r="G15" s="2">
        <f t="shared" si="0"/>
        <v>1066551.3700000001</v>
      </c>
      <c r="I15" s="5" t="s">
        <v>17</v>
      </c>
      <c r="J15" s="1">
        <v>59482158.056666672</v>
      </c>
      <c r="K15" s="1">
        <v>48533719.593333334</v>
      </c>
      <c r="L15" s="1">
        <v>46396888.486666657</v>
      </c>
      <c r="M15" s="1">
        <v>55610129.310000002</v>
      </c>
      <c r="N15" s="1">
        <v>50897717.82333333</v>
      </c>
    </row>
    <row r="16" spans="2:14" x14ac:dyDescent="0.25">
      <c r="B16" s="5" t="s">
        <v>18</v>
      </c>
      <c r="C16" s="1">
        <v>33177.050000000003</v>
      </c>
      <c r="D16" s="1">
        <v>37470.980000000003</v>
      </c>
      <c r="E16" s="1">
        <v>35886.269999999997</v>
      </c>
      <c r="F16" s="1">
        <v>47158.32</v>
      </c>
      <c r="G16" s="2">
        <f t="shared" si="0"/>
        <v>153692.62</v>
      </c>
      <c r="I16" s="5" t="s">
        <v>18</v>
      </c>
      <c r="J16" s="1">
        <v>6601528.083333333</v>
      </c>
      <c r="K16" s="1">
        <v>7670679.086666666</v>
      </c>
      <c r="L16" s="1">
        <v>8983598.1500000004</v>
      </c>
      <c r="M16" s="1">
        <v>7008997.1399999997</v>
      </c>
      <c r="N16" s="1">
        <v>5893160.8633333333</v>
      </c>
    </row>
    <row r="17" spans="2:14" x14ac:dyDescent="0.25">
      <c r="B17" s="5" t="s">
        <v>19</v>
      </c>
      <c r="C17" s="1">
        <v>149475.69</v>
      </c>
      <c r="D17" s="1">
        <v>167609.38</v>
      </c>
      <c r="E17" s="1">
        <v>149834.76</v>
      </c>
      <c r="F17" s="1">
        <v>193939.41</v>
      </c>
      <c r="G17" s="2">
        <f t="shared" si="0"/>
        <v>660859.24</v>
      </c>
      <c r="I17" s="5" t="s">
        <v>19</v>
      </c>
      <c r="J17" s="1">
        <v>35147164.816666663</v>
      </c>
      <c r="K17" s="1">
        <v>30461719.966666669</v>
      </c>
      <c r="L17" s="1">
        <v>29750631.613333333</v>
      </c>
      <c r="M17" s="1">
        <v>34775397.190000005</v>
      </c>
      <c r="N17" s="1">
        <v>33296243.966666669</v>
      </c>
    </row>
    <row r="18" spans="2:14" x14ac:dyDescent="0.25">
      <c r="B18" s="14" t="s">
        <v>20</v>
      </c>
      <c r="C18" s="15">
        <v>1055.1600000000001</v>
      </c>
      <c r="D18" s="15">
        <v>1234.72</v>
      </c>
      <c r="E18" s="15">
        <v>1176.56</v>
      </c>
      <c r="F18" s="15">
        <v>1314.87</v>
      </c>
      <c r="G18" s="20">
        <f t="shared" si="0"/>
        <v>4781.3099999999995</v>
      </c>
      <c r="I18" s="14" t="s">
        <v>20</v>
      </c>
      <c r="J18" s="15">
        <v>238912.65333333332</v>
      </c>
      <c r="K18" s="15">
        <v>233330.94666666666</v>
      </c>
      <c r="L18" s="15">
        <v>233466.26666666669</v>
      </c>
      <c r="M18" s="15">
        <v>235815.035</v>
      </c>
      <c r="N18" s="15">
        <v>242080.01</v>
      </c>
    </row>
    <row r="19" spans="2:14" x14ac:dyDescent="0.25">
      <c r="B19" s="14" t="s">
        <v>21</v>
      </c>
      <c r="C19" s="15">
        <v>3844.94</v>
      </c>
      <c r="D19" s="15">
        <v>3530.19</v>
      </c>
      <c r="E19" s="15">
        <v>1773.56</v>
      </c>
      <c r="F19" s="15">
        <v>1132.8</v>
      </c>
      <c r="G19" s="20">
        <f t="shared" si="0"/>
        <v>10281.49</v>
      </c>
      <c r="I19" s="14" t="s">
        <v>21</v>
      </c>
      <c r="J19" s="15">
        <v>681513.68666666665</v>
      </c>
      <c r="K19" s="15">
        <v>527454.92000000004</v>
      </c>
      <c r="L19" s="15">
        <v>472652.51</v>
      </c>
      <c r="M19" s="15">
        <v>342985.61499999999</v>
      </c>
      <c r="N19" s="15">
        <v>523377.8833333333</v>
      </c>
    </row>
    <row r="20" spans="2:14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4" x14ac:dyDescent="0.25">
      <c r="B21" s="8" t="s">
        <v>23</v>
      </c>
      <c r="C21" s="9">
        <f>SUM(C4:C20)</f>
        <v>1065000</v>
      </c>
      <c r="D21" s="1">
        <f>SUM(D4:D20)</f>
        <v>1250000.0199999998</v>
      </c>
      <c r="E21" s="1">
        <f>SUM(E4:E20)</f>
        <v>1100000.02</v>
      </c>
      <c r="F21" s="1">
        <f>SUM(F4:F20)</f>
        <v>1450000.02</v>
      </c>
      <c r="G21" s="1">
        <f>SUM(G4:G20)</f>
        <v>4865000.0599999996</v>
      </c>
      <c r="I21" s="8" t="s">
        <v>23</v>
      </c>
      <c r="J21" s="1">
        <f>SUM(J4:J20)</f>
        <v>267935638.45333335</v>
      </c>
      <c r="K21" s="1">
        <f>SUM(K4:K20)</f>
        <v>225922519.47</v>
      </c>
      <c r="L21" s="1">
        <f>SUM(L4:L20)</f>
        <v>217351296.81999999</v>
      </c>
      <c r="M21" s="1">
        <f>SUM(M4:M20)</f>
        <v>252635307.81499997</v>
      </c>
      <c r="N21" s="9">
        <f>SUM(N4:N20)</f>
        <v>235972647.96033332</v>
      </c>
    </row>
    <row r="24" spans="2:14" ht="15.75" x14ac:dyDescent="0.25">
      <c r="I24" s="39" t="s">
        <v>53</v>
      </c>
      <c r="J24" s="39"/>
      <c r="K24" s="39"/>
      <c r="L24" s="39"/>
      <c r="M24" s="39"/>
      <c r="N24" s="39"/>
    </row>
    <row r="25" spans="2:14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4" x14ac:dyDescent="0.25">
      <c r="I26" s="5" t="s">
        <v>6</v>
      </c>
      <c r="J26" s="1">
        <v>15017242.9</v>
      </c>
      <c r="K26" s="1">
        <v>11677010.023333333</v>
      </c>
      <c r="L26" s="1">
        <v>11349489.756666668</v>
      </c>
      <c r="M26" s="1">
        <v>13031852.649999999</v>
      </c>
      <c r="N26" s="1">
        <v>11845814.459999999</v>
      </c>
    </row>
    <row r="27" spans="2:14" x14ac:dyDescent="0.25">
      <c r="I27" s="5" t="s">
        <v>7</v>
      </c>
      <c r="J27" s="1">
        <v>19441480.313333333</v>
      </c>
      <c r="K27" s="1">
        <v>13320474.536666667</v>
      </c>
      <c r="L27" s="1">
        <v>12296523.486666666</v>
      </c>
      <c r="M27" s="1">
        <v>17163903.98</v>
      </c>
      <c r="N27" s="1">
        <v>14687371.286666667</v>
      </c>
    </row>
    <row r="28" spans="2:14" x14ac:dyDescent="0.25">
      <c r="I28" s="5" t="s">
        <v>8</v>
      </c>
      <c r="J28" s="1">
        <v>19007755.77</v>
      </c>
      <c r="K28" s="1">
        <v>15018411.399999999</v>
      </c>
      <c r="L28" s="1">
        <v>13531783.949999997</v>
      </c>
      <c r="M28" s="1">
        <v>16886153.664999999</v>
      </c>
      <c r="N28" s="1">
        <v>15390566.683333332</v>
      </c>
    </row>
    <row r="29" spans="2:14" x14ac:dyDescent="0.25">
      <c r="I29" s="5" t="s">
        <v>9</v>
      </c>
      <c r="J29" s="1">
        <v>16207139.663333334</v>
      </c>
      <c r="K29" s="1">
        <v>13070444.013333334</v>
      </c>
      <c r="L29" s="1">
        <v>12696370.140000001</v>
      </c>
      <c r="M29" s="1">
        <v>15673179.52</v>
      </c>
      <c r="N29" s="1">
        <v>14581277.65</v>
      </c>
    </row>
    <row r="30" spans="2:14" x14ac:dyDescent="0.25">
      <c r="I30" s="5" t="s">
        <v>10</v>
      </c>
      <c r="J30" s="1">
        <v>22016775.969999999</v>
      </c>
      <c r="K30" s="1">
        <v>19389673.523333333</v>
      </c>
      <c r="L30" s="1">
        <v>16895355.300000001</v>
      </c>
      <c r="M30" s="1">
        <v>20062553.570000004</v>
      </c>
      <c r="N30" s="1">
        <v>18756595.413333338</v>
      </c>
    </row>
    <row r="31" spans="2:14" x14ac:dyDescent="0.25">
      <c r="I31" s="5" t="s">
        <v>11</v>
      </c>
      <c r="J31" s="1">
        <v>15613272.936666667</v>
      </c>
      <c r="K31" s="1">
        <v>13684973.493333332</v>
      </c>
      <c r="L31" s="1">
        <v>13531128.143333333</v>
      </c>
      <c r="M31" s="1">
        <v>15160614.055</v>
      </c>
      <c r="N31" s="1">
        <v>14370752.553333333</v>
      </c>
    </row>
    <row r="32" spans="2:14" x14ac:dyDescent="0.25">
      <c r="I32" s="5" t="s">
        <v>12</v>
      </c>
      <c r="J32" s="1">
        <v>956284.89666666661</v>
      </c>
      <c r="K32" s="1">
        <v>470865.22333333333</v>
      </c>
      <c r="L32" s="1">
        <v>596338.62333333341</v>
      </c>
      <c r="M32" s="1">
        <v>712444.16999999993</v>
      </c>
      <c r="N32" s="1">
        <v>1201697.3603333333</v>
      </c>
    </row>
    <row r="33" spans="2:16" x14ac:dyDescent="0.25">
      <c r="I33" s="5" t="s">
        <v>13</v>
      </c>
      <c r="J33" s="1">
        <v>9261.8799999999992</v>
      </c>
      <c r="K33" s="1">
        <v>9261.8799999999992</v>
      </c>
      <c r="L33" s="1">
        <v>9261.8799999999992</v>
      </c>
      <c r="M33" s="1">
        <v>9305.57</v>
      </c>
      <c r="N33" s="1">
        <v>9323.8700000000008</v>
      </c>
    </row>
    <row r="34" spans="2:16" x14ac:dyDescent="0.25">
      <c r="I34" s="5" t="s">
        <v>14</v>
      </c>
      <c r="J34" s="1">
        <v>18280920.816666666</v>
      </c>
      <c r="K34" s="1">
        <v>16164990.186666667</v>
      </c>
      <c r="L34" s="1">
        <v>14915687.566666668</v>
      </c>
      <c r="M34" s="1">
        <v>16737550.295000002</v>
      </c>
      <c r="N34" s="1">
        <v>15816443.596666669</v>
      </c>
    </row>
    <row r="35" spans="2:16" x14ac:dyDescent="0.25">
      <c r="I35" s="5" t="s">
        <v>15</v>
      </c>
      <c r="J35" s="1">
        <v>7320592.5700000003</v>
      </c>
      <c r="K35" s="1">
        <v>6563296.4100000001</v>
      </c>
      <c r="L35" s="1">
        <v>6328362.5766666653</v>
      </c>
      <c r="M35" s="1">
        <v>6625291.8000000007</v>
      </c>
      <c r="N35" s="1">
        <v>6434253.8433333337</v>
      </c>
    </row>
    <row r="36" spans="2:16" x14ac:dyDescent="0.25">
      <c r="I36" s="5" t="s">
        <v>16</v>
      </c>
      <c r="J36" s="1">
        <v>31913633.439999998</v>
      </c>
      <c r="K36" s="1">
        <v>29126214.266666669</v>
      </c>
      <c r="L36" s="1">
        <v>29363758.370000001</v>
      </c>
      <c r="M36" s="1">
        <v>32599134.25</v>
      </c>
      <c r="N36" s="1">
        <v>32025970.696666669</v>
      </c>
    </row>
    <row r="37" spans="2:16" x14ac:dyDescent="0.25">
      <c r="I37" s="5" t="s">
        <v>84</v>
      </c>
      <c r="J37" s="1">
        <f>59482158.0566667-522938.59</f>
        <v>58959219.466666698</v>
      </c>
      <c r="K37" s="1">
        <f>48533719.5933333-522938.59</f>
        <v>48010781.003333293</v>
      </c>
      <c r="L37" s="1">
        <f>46396888.4866667-522938.59</f>
        <v>45873949.896666698</v>
      </c>
      <c r="M37" s="1">
        <f>55610129.31-522938.59</f>
        <v>55087190.719999999</v>
      </c>
      <c r="N37" s="1">
        <f>50897717.8233333-642702.56</f>
        <v>50255015.263333298</v>
      </c>
    </row>
    <row r="38" spans="2:16" x14ac:dyDescent="0.25">
      <c r="I38" s="5" t="s">
        <v>18</v>
      </c>
      <c r="J38" s="1">
        <v>6601528.083333333</v>
      </c>
      <c r="K38" s="1">
        <v>7670679.086666666</v>
      </c>
      <c r="L38" s="1">
        <v>8983598.1500000004</v>
      </c>
      <c r="M38" s="1">
        <v>7008997.1399999997</v>
      </c>
      <c r="N38" s="1">
        <f>5893160.86333333</f>
        <v>5893160.8633333296</v>
      </c>
    </row>
    <row r="39" spans="2:16" x14ac:dyDescent="0.25">
      <c r="I39" s="5" t="s">
        <v>19</v>
      </c>
      <c r="J39" s="1">
        <v>35147164.816666663</v>
      </c>
      <c r="K39" s="1">
        <v>30461719.966666669</v>
      </c>
      <c r="L39" s="1">
        <v>29750631.613333333</v>
      </c>
      <c r="M39" s="1">
        <v>34775397.190000005</v>
      </c>
      <c r="N39" s="1">
        <v>33296243.966666669</v>
      </c>
    </row>
    <row r="40" spans="2:16" x14ac:dyDescent="0.25">
      <c r="I40" s="8" t="s">
        <v>23</v>
      </c>
      <c r="J40" s="1">
        <f>SUM(J26:J39)-(J32+J33)</f>
        <v>265526726.7466667</v>
      </c>
      <c r="K40" s="1">
        <f>SUM(K26:K39)-(K32+K33)</f>
        <v>224158667.91</v>
      </c>
      <c r="L40" s="1">
        <f>SUM(L26:L39)</f>
        <v>216122239.45333338</v>
      </c>
      <c r="M40" s="1">
        <f>SUM(M26:M39)</f>
        <v>251533568.57499996</v>
      </c>
      <c r="N40" s="1">
        <f>SUM(N26:N39)</f>
        <v>234564487.50699994</v>
      </c>
    </row>
    <row r="43" spans="2:16" ht="15.75" x14ac:dyDescent="0.25">
      <c r="B43" s="39" t="s">
        <v>96</v>
      </c>
      <c r="C43" s="39"/>
      <c r="D43" s="39"/>
      <c r="E43" s="39"/>
      <c r="F43" s="39"/>
      <c r="G43" s="39"/>
      <c r="I43" s="38" t="s">
        <v>114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110</v>
      </c>
      <c r="K44" s="16" t="s">
        <v>111</v>
      </c>
      <c r="L44" s="16" t="s">
        <v>115</v>
      </c>
      <c r="M44" s="16" t="s">
        <v>116</v>
      </c>
      <c r="N44" s="16" t="s">
        <v>117</v>
      </c>
      <c r="O44" s="16" t="s">
        <v>118</v>
      </c>
      <c r="P44" s="16" t="s">
        <v>119</v>
      </c>
    </row>
    <row r="45" spans="2:16" x14ac:dyDescent="0.25">
      <c r="B45" s="5" t="s">
        <v>6</v>
      </c>
      <c r="C45" s="9">
        <f>$C$59*K65</f>
        <v>59392.519970677677</v>
      </c>
      <c r="D45" s="9">
        <f t="shared" ref="D45:D50" si="1">($D$60*M65)-C45</f>
        <v>68917.764139951425</v>
      </c>
      <c r="E45" s="9">
        <f t="shared" ref="E45:E50" si="2">($E$60*O65)-D45-C45</f>
        <v>55602.600959791642</v>
      </c>
      <c r="F45" s="9">
        <f t="shared" ref="F45:F58" si="3">($F$60*Q65)-E45-D45-C45</f>
        <v>74448.424332478084</v>
      </c>
      <c r="G45" s="9">
        <f t="shared" ref="G45:G59" si="4">SUM(C45+D45+E45+F45)</f>
        <v>258361.30940289883</v>
      </c>
      <c r="I45" s="5" t="s">
        <v>6</v>
      </c>
      <c r="J45" s="1">
        <v>11691525.323333332</v>
      </c>
      <c r="K45" s="1">
        <v>13137798.82766667</v>
      </c>
      <c r="L45" s="1">
        <v>12205190.803333333</v>
      </c>
      <c r="M45" s="1">
        <v>15017242.9</v>
      </c>
      <c r="N45" s="1">
        <v>11677010.023333333</v>
      </c>
      <c r="O45" s="1">
        <v>11349489.756666668</v>
      </c>
      <c r="P45" s="1">
        <v>13031852.649999999</v>
      </c>
    </row>
    <row r="46" spans="2:16" x14ac:dyDescent="0.25">
      <c r="B46" s="5" t="s">
        <v>7</v>
      </c>
      <c r="C46" s="9">
        <f t="shared" ref="C46:C58" si="5">$C$59*K66</f>
        <v>64565.462187795893</v>
      </c>
      <c r="D46" s="9">
        <f t="shared" si="1"/>
        <v>78751.897097776498</v>
      </c>
      <c r="E46" s="9">
        <f t="shared" si="2"/>
        <v>68865.630714994215</v>
      </c>
      <c r="F46" s="9">
        <f t="shared" si="3"/>
        <v>102563.33974136764</v>
      </c>
      <c r="G46" s="9">
        <f t="shared" si="4"/>
        <v>314746.32974193426</v>
      </c>
      <c r="I46" s="5" t="s">
        <v>7</v>
      </c>
      <c r="J46" s="1">
        <v>11782332.656666666</v>
      </c>
      <c r="K46" s="1">
        <v>12447072.383333335</v>
      </c>
      <c r="L46" s="1">
        <v>12914452.416666666</v>
      </c>
      <c r="M46" s="1">
        <v>19441480.313333333</v>
      </c>
      <c r="N46" s="1">
        <v>13320474.536666667</v>
      </c>
      <c r="O46" s="1">
        <v>12296523.486666666</v>
      </c>
      <c r="P46" s="1">
        <v>17163903.98</v>
      </c>
    </row>
    <row r="47" spans="2:16" x14ac:dyDescent="0.25">
      <c r="B47" s="5" t="s">
        <v>8</v>
      </c>
      <c r="C47" s="9">
        <f t="shared" si="5"/>
        <v>70472.171744491949</v>
      </c>
      <c r="D47" s="9">
        <f t="shared" si="1"/>
        <v>83389.879573897764</v>
      </c>
      <c r="E47" s="9">
        <f t="shared" si="2"/>
        <v>76222.10974281044</v>
      </c>
      <c r="F47" s="9">
        <f t="shared" si="3"/>
        <v>95900.552146257614</v>
      </c>
      <c r="G47" s="9">
        <f t="shared" si="4"/>
        <v>325984.71320745774</v>
      </c>
      <c r="I47" s="5" t="s">
        <v>8</v>
      </c>
      <c r="J47" s="1">
        <v>14380442.43</v>
      </c>
      <c r="K47" s="1">
        <v>13067832.663333334</v>
      </c>
      <c r="L47" s="1">
        <v>15305962.413333334</v>
      </c>
      <c r="M47" s="1">
        <v>19007755.77</v>
      </c>
      <c r="N47" s="1">
        <v>15018411.399999999</v>
      </c>
      <c r="O47" s="1">
        <v>13531783.949999997</v>
      </c>
      <c r="P47" s="1">
        <v>16886153.664999999</v>
      </c>
    </row>
    <row r="48" spans="2:16" x14ac:dyDescent="0.25">
      <c r="B48" s="5" t="s">
        <v>9</v>
      </c>
      <c r="C48" s="9">
        <f t="shared" si="5"/>
        <v>58688.715193061435</v>
      </c>
      <c r="D48" s="9">
        <f t="shared" si="1"/>
        <v>72853.987800526738</v>
      </c>
      <c r="E48" s="9">
        <f t="shared" si="2"/>
        <v>71025.368403935921</v>
      </c>
      <c r="F48" s="9">
        <f t="shared" si="3"/>
        <v>89034.772503868808</v>
      </c>
      <c r="G48" s="9">
        <f t="shared" si="4"/>
        <v>291602.84390139289</v>
      </c>
      <c r="I48" s="5" t="s">
        <v>9</v>
      </c>
      <c r="J48" s="1">
        <f>11544237.1966667-387027.05</f>
        <v>11157210.1466667</v>
      </c>
      <c r="K48" s="1">
        <f>11180541.1466667-481924.97</f>
        <v>10698616.176666699</v>
      </c>
      <c r="L48" s="1">
        <v>13371975.543333335</v>
      </c>
      <c r="M48" s="1">
        <v>16207139.663333334</v>
      </c>
      <c r="N48" s="1">
        <v>13070444.013333334</v>
      </c>
      <c r="O48" s="1">
        <v>12696370.140000001</v>
      </c>
      <c r="P48" s="1">
        <v>15673179.52</v>
      </c>
    </row>
    <row r="49" spans="2:17" x14ac:dyDescent="0.25">
      <c r="B49" s="5" t="s">
        <v>10</v>
      </c>
      <c r="C49" s="9">
        <f t="shared" si="5"/>
        <v>89028.03538961953</v>
      </c>
      <c r="D49" s="9">
        <f t="shared" si="1"/>
        <v>103579.48626022536</v>
      </c>
      <c r="E49" s="9">
        <f t="shared" si="2"/>
        <v>90978.470589732868</v>
      </c>
      <c r="F49" s="9">
        <f t="shared" si="3"/>
        <v>112813.07284144813</v>
      </c>
      <c r="G49" s="9">
        <f t="shared" si="4"/>
        <v>396399.06508102588</v>
      </c>
      <c r="I49" s="5" t="s">
        <v>10</v>
      </c>
      <c r="J49" s="1">
        <v>19300581.840000004</v>
      </c>
      <c r="K49" s="1">
        <v>17527089.033333335</v>
      </c>
      <c r="L49" s="1">
        <v>19179953.243333329</v>
      </c>
      <c r="M49" s="1">
        <v>22016775.969999999</v>
      </c>
      <c r="N49" s="1">
        <v>19389673.523333333</v>
      </c>
      <c r="O49" s="1">
        <v>16895355.300000001</v>
      </c>
      <c r="P49" s="1">
        <v>20062553.570000004</v>
      </c>
    </row>
    <row r="50" spans="2:17" x14ac:dyDescent="0.25">
      <c r="B50" s="5" t="s">
        <v>11</v>
      </c>
      <c r="C50" s="9">
        <f t="shared" si="5"/>
        <v>63626.596484342219</v>
      </c>
      <c r="D50" s="9">
        <f t="shared" si="1"/>
        <v>75430.315354098304</v>
      </c>
      <c r="E50" s="9">
        <f t="shared" si="2"/>
        <v>67333.549353571987</v>
      </c>
      <c r="F50" s="9">
        <f t="shared" si="3"/>
        <v>86946.685393830558</v>
      </c>
      <c r="G50" s="9">
        <f t="shared" si="4"/>
        <v>293337.14658584306</v>
      </c>
      <c r="I50" s="5" t="s">
        <v>11</v>
      </c>
      <c r="J50" s="1">
        <v>13051865.18</v>
      </c>
      <c r="K50" s="1">
        <v>13536461.9</v>
      </c>
      <c r="L50" s="1">
        <v>13560913.426666668</v>
      </c>
      <c r="M50" s="1">
        <v>15613272.936666667</v>
      </c>
      <c r="N50" s="1">
        <v>13684973.493333332</v>
      </c>
      <c r="O50" s="1">
        <v>13531128.143333333</v>
      </c>
      <c r="P50" s="1">
        <v>15160614.055</v>
      </c>
    </row>
    <row r="51" spans="2:17" x14ac:dyDescent="0.25">
      <c r="B51" s="5" t="s">
        <v>12</v>
      </c>
      <c r="C51" s="9">
        <v>0</v>
      </c>
      <c r="D51" s="9">
        <v>0</v>
      </c>
      <c r="E51" s="9">
        <v>0</v>
      </c>
      <c r="F51" s="9">
        <f>($F$60*Q71)-E51-D51-C51</f>
        <v>13839.470795401647</v>
      </c>
      <c r="G51" s="9">
        <f t="shared" si="4"/>
        <v>13839.470795401647</v>
      </c>
      <c r="I51" s="5" t="s">
        <v>12</v>
      </c>
      <c r="J51" s="1">
        <v>0</v>
      </c>
      <c r="K51" s="1">
        <v>0</v>
      </c>
      <c r="L51" s="1">
        <v>0</v>
      </c>
      <c r="M51" s="1">
        <v>956284.89666666661</v>
      </c>
      <c r="N51" s="1">
        <v>470865.22333333333</v>
      </c>
      <c r="O51" s="1">
        <v>596338.62333333341</v>
      </c>
      <c r="P51" s="1">
        <v>712444.16999999993</v>
      </c>
    </row>
    <row r="52" spans="2:17" x14ac:dyDescent="0.25">
      <c r="B52" s="5" t="s">
        <v>13</v>
      </c>
      <c r="C52" s="9">
        <v>0</v>
      </c>
      <c r="D52" s="9">
        <v>0</v>
      </c>
      <c r="E52" s="9">
        <v>0</v>
      </c>
      <c r="F52" s="9">
        <f t="shared" si="3"/>
        <v>187.62255282630485</v>
      </c>
      <c r="G52" s="9">
        <f t="shared" si="4"/>
        <v>187.62255282630485</v>
      </c>
      <c r="I52" s="5" t="s">
        <v>13</v>
      </c>
      <c r="J52" s="1">
        <f>9261.88-1912061.97333333</f>
        <v>-1902800.09333333</v>
      </c>
      <c r="K52" s="1">
        <f>9261.88-2282540.23</f>
        <v>-2273278.35</v>
      </c>
      <c r="L52" s="1">
        <f>9261.88-926273.21</f>
        <v>-917011.33</v>
      </c>
      <c r="M52" s="1">
        <v>9261.8799999999992</v>
      </c>
      <c r="N52" s="1">
        <v>9261.8799999999992</v>
      </c>
      <c r="O52" s="1">
        <v>9261.8799999999992</v>
      </c>
      <c r="P52" s="1">
        <v>9305.57</v>
      </c>
    </row>
    <row r="53" spans="2:17" x14ac:dyDescent="0.25">
      <c r="B53" s="5" t="s">
        <v>14</v>
      </c>
      <c r="C53" s="9">
        <f t="shared" si="5"/>
        <v>73314.326979767808</v>
      </c>
      <c r="D53" s="9">
        <f t="shared" ref="D53:D58" si="6">($D$60*M73)-C53</f>
        <v>87012.918671840467</v>
      </c>
      <c r="E53" s="9">
        <f t="shared" ref="E53:E58" si="7">($E$60*O73)-D53-C53</f>
        <v>76689.26609351924</v>
      </c>
      <c r="F53" s="9">
        <f t="shared" si="3"/>
        <v>97340.093221312054</v>
      </c>
      <c r="G53" s="9">
        <f t="shared" si="4"/>
        <v>334356.60496643954</v>
      </c>
      <c r="I53" s="5" t="s">
        <v>14</v>
      </c>
      <c r="J53" s="1">
        <v>15395883.109999999</v>
      </c>
      <c r="K53" s="1">
        <v>15179680.106666667</v>
      </c>
      <c r="L53" s="1">
        <v>15396381.43</v>
      </c>
      <c r="M53" s="1">
        <v>18280920.816666666</v>
      </c>
      <c r="N53" s="1">
        <v>16164990.186666667</v>
      </c>
      <c r="O53" s="1">
        <v>14915687.566666668</v>
      </c>
      <c r="P53" s="1">
        <v>16737550.295000002</v>
      </c>
    </row>
    <row r="54" spans="2:17" x14ac:dyDescent="0.25">
      <c r="B54" s="5" t="s">
        <v>15</v>
      </c>
      <c r="C54" s="9">
        <f t="shared" si="5"/>
        <v>30677.688867251545</v>
      </c>
      <c r="D54" s="9">
        <f t="shared" si="6"/>
        <v>35237.145535331132</v>
      </c>
      <c r="E54" s="9">
        <f t="shared" si="7"/>
        <v>31643.393704336373</v>
      </c>
      <c r="F54" s="9">
        <f t="shared" si="3"/>
        <v>38197.073382690971</v>
      </c>
      <c r="G54" s="9">
        <f t="shared" si="4"/>
        <v>135755.30148961002</v>
      </c>
      <c r="I54" s="5" t="s">
        <v>15</v>
      </c>
      <c r="J54" s="1">
        <v>6717023.8266666671</v>
      </c>
      <c r="K54" s="1">
        <v>6405646.5300000012</v>
      </c>
      <c r="L54" s="1">
        <v>6442742.8066666676</v>
      </c>
      <c r="M54" s="1">
        <v>7320592.5700000003</v>
      </c>
      <c r="N54" s="1">
        <v>6563296.4100000001</v>
      </c>
      <c r="O54" s="1">
        <v>6328362.5766666653</v>
      </c>
      <c r="P54" s="1">
        <v>6625291.8000000007</v>
      </c>
    </row>
    <row r="55" spans="2:17" x14ac:dyDescent="0.25">
      <c r="B55" s="5" t="s">
        <v>16</v>
      </c>
      <c r="C55" s="9">
        <f t="shared" si="5"/>
        <v>131351.6204916829</v>
      </c>
      <c r="D55" s="9">
        <f t="shared" si="6"/>
        <v>158173.48241238203</v>
      </c>
      <c r="E55" s="9">
        <f t="shared" si="7"/>
        <v>149872.91692709032</v>
      </c>
      <c r="F55" s="9">
        <f t="shared" si="3"/>
        <v>182800.28927551111</v>
      </c>
      <c r="G55" s="9">
        <f t="shared" si="4"/>
        <v>622198.30910666636</v>
      </c>
      <c r="I55" s="5" t="s">
        <v>16</v>
      </c>
      <c r="J55" s="1">
        <v>26823936.27</v>
      </c>
      <c r="K55" s="1">
        <v>26729999.443333331</v>
      </c>
      <c r="L55" s="1">
        <v>29649330.196666669</v>
      </c>
      <c r="M55" s="1">
        <v>31913633.439999998</v>
      </c>
      <c r="N55" s="1">
        <v>29126214.266666669</v>
      </c>
      <c r="O55" s="1">
        <v>29363758.370000001</v>
      </c>
      <c r="P55" s="1">
        <v>32599134.25</v>
      </c>
    </row>
    <row r="56" spans="2:17" x14ac:dyDescent="0.25">
      <c r="B56" s="5" t="s">
        <v>17</v>
      </c>
      <c r="C56" s="9">
        <f t="shared" si="5"/>
        <v>237577.69298898976</v>
      </c>
      <c r="D56" s="9">
        <f t="shared" si="6"/>
        <v>276673.80862297356</v>
      </c>
      <c r="E56" s="9">
        <f t="shared" si="7"/>
        <v>223048.67730244918</v>
      </c>
      <c r="F56" s="9">
        <f t="shared" si="3"/>
        <v>314500.8139021328</v>
      </c>
      <c r="G56" s="9">
        <f t="shared" si="4"/>
        <v>1051800.9928165453</v>
      </c>
      <c r="I56" s="5" t="s">
        <v>84</v>
      </c>
      <c r="J56" s="1">
        <f>48052737.7766667-386984.95</f>
        <v>47665752.826666698</v>
      </c>
      <c r="K56" s="1">
        <f>53373489.32-386984.95</f>
        <v>52986504.369999997</v>
      </c>
      <c r="L56" s="1">
        <f>49125165.49-522938.59</f>
        <v>48602226.899999999</v>
      </c>
      <c r="M56" s="1">
        <f>59482158.0566667-522938.59</f>
        <v>58959219.466666698</v>
      </c>
      <c r="N56" s="1">
        <f>48533719.5933333-522938.59</f>
        <v>48010781.003333293</v>
      </c>
      <c r="O56" s="1">
        <f>46396888.4866667-522938.59</f>
        <v>45873949.896666698</v>
      </c>
      <c r="P56" s="1">
        <f>55610129.31-522938.59</f>
        <v>55087190.719999999</v>
      </c>
    </row>
    <row r="57" spans="2:17" x14ac:dyDescent="0.25">
      <c r="B57" s="5" t="s">
        <v>18</v>
      </c>
      <c r="C57" s="9">
        <f t="shared" si="5"/>
        <v>32950.418756712868</v>
      </c>
      <c r="D57" s="9">
        <f t="shared" si="6"/>
        <v>37494.695623296371</v>
      </c>
      <c r="E57" s="9">
        <f t="shared" si="7"/>
        <v>35891.007553829244</v>
      </c>
      <c r="F57" s="9">
        <f t="shared" si="3"/>
        <v>46755.661761787298</v>
      </c>
      <c r="G57" s="9">
        <f t="shared" si="4"/>
        <v>153091.78369562578</v>
      </c>
      <c r="I57" s="5" t="s">
        <v>18</v>
      </c>
      <c r="J57" s="1">
        <v>7978942.2533333329</v>
      </c>
      <c r="K57" s="1">
        <v>8499864.3733333331</v>
      </c>
      <c r="L57" s="1">
        <v>5797497.3666666672</v>
      </c>
      <c r="M57" s="1">
        <v>6601528.083333333</v>
      </c>
      <c r="N57" s="1">
        <v>7670679.086666666</v>
      </c>
      <c r="O57" s="1">
        <v>8983598.1500000004</v>
      </c>
      <c r="P57" s="1">
        <v>7008997.1399999997</v>
      </c>
    </row>
    <row r="58" spans="2:17" x14ac:dyDescent="0.25">
      <c r="B58" s="5" t="s">
        <v>19</v>
      </c>
      <c r="C58" s="9">
        <f t="shared" si="5"/>
        <v>148454.65094560632</v>
      </c>
      <c r="D58" s="9">
        <f t="shared" si="6"/>
        <v>167719.72890770037</v>
      </c>
      <c r="E58" s="9">
        <f t="shared" si="7"/>
        <v>149876.90865393772</v>
      </c>
      <c r="F58" s="9">
        <f t="shared" si="3"/>
        <v>192224.47814908702</v>
      </c>
      <c r="G58" s="9">
        <f t="shared" si="4"/>
        <v>658275.76665633149</v>
      </c>
      <c r="I58" s="5" t="s">
        <v>19</v>
      </c>
      <c r="J58" s="1">
        <v>32340758.640000001</v>
      </c>
      <c r="K58" s="1">
        <v>30642453.039999995</v>
      </c>
      <c r="L58" s="1">
        <v>31975662.903333336</v>
      </c>
      <c r="M58" s="1">
        <v>35147164.816666663</v>
      </c>
      <c r="N58" s="1">
        <v>30461719.966666669</v>
      </c>
      <c r="O58" s="1">
        <v>29750631.613333333</v>
      </c>
      <c r="P58" s="1">
        <v>34775397.190000005</v>
      </c>
    </row>
    <row r="59" spans="2:17" x14ac:dyDescent="0.25">
      <c r="B59" s="8" t="s">
        <v>23</v>
      </c>
      <c r="C59" s="9">
        <f>$C$21-(C18+C19+C20)</f>
        <v>1060099.8999999999</v>
      </c>
      <c r="D59" s="9">
        <f>$D$21-(D18+D19+D20)</f>
        <v>1245235.1099999999</v>
      </c>
      <c r="E59" s="9">
        <f>$E$21-(E18+E19+E20)</f>
        <v>1097049.8999999999</v>
      </c>
      <c r="F59" s="9">
        <f>$F$21-(F18+F19+F20)</f>
        <v>1447552.35</v>
      </c>
      <c r="G59" s="9">
        <f t="shared" si="4"/>
        <v>4849937.26</v>
      </c>
      <c r="I59" s="8" t="s">
        <v>23</v>
      </c>
      <c r="J59" s="1">
        <f>SUM(J45:J58)-J52</f>
        <v>218286254.50333342</v>
      </c>
      <c r="K59" s="1">
        <f>SUM(K45:K58)-K52</f>
        <v>220859018.84766671</v>
      </c>
      <c r="L59" s="1">
        <f>SUM(L45:L58)-L52</f>
        <v>224402289.45000002</v>
      </c>
      <c r="M59" s="1">
        <f>SUM(M45:M58)-(M51+M52)</f>
        <v>265526726.7466667</v>
      </c>
      <c r="N59" s="1">
        <f>SUM(N45:N58)-(N51+N52)</f>
        <v>224158667.91</v>
      </c>
      <c r="O59" s="1">
        <f>SUM(O45:O58)</f>
        <v>216122239.45333338</v>
      </c>
      <c r="P59" s="1">
        <f>SUM(P45:P58)</f>
        <v>251533568.57499996</v>
      </c>
    </row>
    <row r="60" spans="2:17" x14ac:dyDescent="0.25">
      <c r="B60" s="8" t="s">
        <v>133</v>
      </c>
      <c r="D60" s="9">
        <f>C59+D59</f>
        <v>2305335.0099999998</v>
      </c>
      <c r="E60" s="9">
        <f>E59+D60</f>
        <v>3402384.9099999997</v>
      </c>
      <c r="F60" s="9">
        <f>F59+E60</f>
        <v>4849937.26</v>
      </c>
      <c r="G60" s="9"/>
    </row>
    <row r="61" spans="2:17" x14ac:dyDescent="0.25">
      <c r="D61" s="9"/>
      <c r="E61" s="9"/>
      <c r="F61" s="9"/>
      <c r="G61" s="9"/>
    </row>
    <row r="63" spans="2:17" ht="15.75" x14ac:dyDescent="0.25">
      <c r="B63" s="39" t="s">
        <v>120</v>
      </c>
      <c r="C63" s="39"/>
      <c r="D63" s="39"/>
      <c r="E63" s="39"/>
      <c r="F63" s="39"/>
      <c r="G63" s="39"/>
      <c r="I63" s="38" t="s">
        <v>121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8">C45-C4</f>
        <v>-408.49002932232543</v>
      </c>
      <c r="D65" s="9">
        <f t="shared" si="8"/>
        <v>38.914139951419202</v>
      </c>
      <c r="E65" s="9">
        <f t="shared" si="8"/>
        <v>26.830959791645</v>
      </c>
      <c r="F65" s="9">
        <f t="shared" si="8"/>
        <v>-671.22566752191051</v>
      </c>
      <c r="G65" s="9">
        <f t="shared" ref="G65:G79" si="9">SUM(C65+D65+E65+F65)</f>
        <v>-1013.9705971011717</v>
      </c>
      <c r="I65" t="s">
        <v>6</v>
      </c>
      <c r="J65" s="17">
        <f t="shared" ref="J65:J78" si="10">AVERAGE(J45:M45)</f>
        <v>13012939.463583333</v>
      </c>
      <c r="K65" s="19">
        <f>J65/$J$79</f>
        <v>5.6025399088027159E-2</v>
      </c>
      <c r="L65" s="1">
        <f t="shared" ref="L65:L78" si="11">AVERAGE(K45:N45)</f>
        <v>13009310.638583334</v>
      </c>
      <c r="M65" s="19">
        <f>L65/$L$79</f>
        <v>5.5657977497435007E-2</v>
      </c>
      <c r="N65" s="1">
        <f t="shared" ref="N65:N78" si="12">AVERAGE(L45:O45)</f>
        <v>12562233.370833334</v>
      </c>
      <c r="O65" s="19">
        <f>N65/$N$79</f>
        <v>5.4054109083860463E-2</v>
      </c>
      <c r="P65" s="1">
        <f t="shared" ref="P65:P78" si="13">AVERAGE(M45:P45)</f>
        <v>12768898.8325</v>
      </c>
      <c r="Q65" s="19">
        <f t="shared" ref="Q65:Q78" si="14">P65/$P$79</f>
        <v>5.3271062191616647E-2</v>
      </c>
    </row>
    <row r="66" spans="2:17" x14ac:dyDescent="0.25">
      <c r="B66" s="5" t="s">
        <v>7</v>
      </c>
      <c r="C66" s="9">
        <f t="shared" si="8"/>
        <v>-503.21781220410776</v>
      </c>
      <c r="D66" s="9">
        <f t="shared" si="8"/>
        <v>-8366.1029022235016</v>
      </c>
      <c r="E66" s="9">
        <f t="shared" si="8"/>
        <v>8551.5107149942123</v>
      </c>
      <c r="F66" s="9">
        <f t="shared" si="8"/>
        <v>-917.4502586323506</v>
      </c>
      <c r="G66" s="9">
        <f t="shared" si="9"/>
        <v>-1235.2602580657476</v>
      </c>
      <c r="I66" t="s">
        <v>7</v>
      </c>
      <c r="J66" s="17">
        <f t="shared" si="10"/>
        <v>14146334.442499999</v>
      </c>
      <c r="K66" s="19">
        <f t="shared" ref="K66:K78" si="15">J66/$J$79</f>
        <v>6.0905073368836181E-2</v>
      </c>
      <c r="L66" s="1">
        <f t="shared" si="11"/>
        <v>14530869.9125</v>
      </c>
      <c r="M66" s="19">
        <f t="shared" ref="M66:M78" si="16">L66/$L$79</f>
        <v>6.2167693052808157E-2</v>
      </c>
      <c r="N66" s="1">
        <f t="shared" si="12"/>
        <v>14493232.688333333</v>
      </c>
      <c r="O66" s="19">
        <f t="shared" ref="O66:O78" si="17">N66/$N$79</f>
        <v>6.2363017593023193E-2</v>
      </c>
      <c r="P66" s="1">
        <f t="shared" si="13"/>
        <v>15555595.579166666</v>
      </c>
      <c r="Q66" s="19">
        <f t="shared" si="14"/>
        <v>6.4896989975069139E-2</v>
      </c>
    </row>
    <row r="67" spans="2:17" x14ac:dyDescent="0.25">
      <c r="B67" s="5" t="s">
        <v>8</v>
      </c>
      <c r="C67" s="9">
        <f t="shared" si="8"/>
        <v>1430.8417444919469</v>
      </c>
      <c r="D67" s="9">
        <f t="shared" si="8"/>
        <v>6309.8395738977706</v>
      </c>
      <c r="E67" s="9">
        <f t="shared" si="8"/>
        <v>10059.959742810446</v>
      </c>
      <c r="F67" s="9">
        <f t="shared" si="8"/>
        <v>6171.2221462576126</v>
      </c>
      <c r="G67" s="9">
        <f t="shared" si="9"/>
        <v>23971.863207457776</v>
      </c>
      <c r="I67" t="s">
        <v>8</v>
      </c>
      <c r="J67" s="17">
        <f t="shared" si="10"/>
        <v>15440498.319166668</v>
      </c>
      <c r="K67" s="19">
        <f t="shared" si="15"/>
        <v>6.6476915755290564E-2</v>
      </c>
      <c r="L67" s="1">
        <f t="shared" si="11"/>
        <v>15599990.561666666</v>
      </c>
      <c r="M67" s="19">
        <f t="shared" si="16"/>
        <v>6.6741731961286493E-2</v>
      </c>
      <c r="N67" s="1">
        <f t="shared" si="12"/>
        <v>15715978.383333333</v>
      </c>
      <c r="O67" s="19">
        <f t="shared" si="17"/>
        <v>6.7624377355118295E-2</v>
      </c>
      <c r="P67" s="1">
        <f t="shared" si="13"/>
        <v>16111026.196249999</v>
      </c>
      <c r="Q67" s="19">
        <f t="shared" si="14"/>
        <v>6.7214212417968017E-2</v>
      </c>
    </row>
    <row r="68" spans="2:17" x14ac:dyDescent="0.25">
      <c r="B68" s="5" t="s">
        <v>9</v>
      </c>
      <c r="C68" s="9">
        <f t="shared" si="8"/>
        <v>-408.27480693856342</v>
      </c>
      <c r="D68" s="9">
        <f t="shared" si="8"/>
        <v>19.427800526740612</v>
      </c>
      <c r="E68" s="9">
        <f t="shared" si="8"/>
        <v>11.328403935927781</v>
      </c>
      <c r="F68" s="9">
        <f t="shared" si="8"/>
        <v>-766.91749613119464</v>
      </c>
      <c r="G68" s="9">
        <f t="shared" si="9"/>
        <v>-1144.4360986070897</v>
      </c>
      <c r="I68" s="5" t="s">
        <v>9</v>
      </c>
      <c r="J68" s="17">
        <f t="shared" si="10"/>
        <v>12858735.382500017</v>
      </c>
      <c r="K68" s="19">
        <f t="shared" si="15"/>
        <v>5.536149488653045E-2</v>
      </c>
      <c r="L68" s="1">
        <f t="shared" si="11"/>
        <v>13337043.849166676</v>
      </c>
      <c r="M68" s="19">
        <f t="shared" si="16"/>
        <v>5.706012463394125E-2</v>
      </c>
      <c r="N68" s="1">
        <f t="shared" si="12"/>
        <v>13836482.340000002</v>
      </c>
      <c r="O68" s="19">
        <f t="shared" si="17"/>
        <v>5.9537082592317318E-2</v>
      </c>
      <c r="P68" s="1">
        <f t="shared" si="13"/>
        <v>14411783.334166668</v>
      </c>
      <c r="Q68" s="19">
        <f t="shared" si="14"/>
        <v>6.0125075494562773E-2</v>
      </c>
    </row>
    <row r="69" spans="2:17" x14ac:dyDescent="0.25">
      <c r="B69" s="5" t="s">
        <v>10</v>
      </c>
      <c r="C69" s="9">
        <f t="shared" si="8"/>
        <v>-1138.8546103804692</v>
      </c>
      <c r="D69" s="9">
        <f t="shared" si="8"/>
        <v>-554.03373977464798</v>
      </c>
      <c r="E69" s="9">
        <f t="shared" si="8"/>
        <v>-500.35941026713408</v>
      </c>
      <c r="F69" s="9">
        <f t="shared" si="8"/>
        <v>-1668.1571585518686</v>
      </c>
      <c r="G69" s="9">
        <f t="shared" si="9"/>
        <v>-3861.4049189741199</v>
      </c>
      <c r="I69" s="5" t="s">
        <v>10</v>
      </c>
      <c r="J69" s="17">
        <f t="shared" si="10"/>
        <v>19506100.021666665</v>
      </c>
      <c r="K69" s="19">
        <f t="shared" si="15"/>
        <v>8.398079783765619E-2</v>
      </c>
      <c r="L69" s="1">
        <f t="shared" si="11"/>
        <v>19528372.942499999</v>
      </c>
      <c r="M69" s="19">
        <f t="shared" si="16"/>
        <v>8.3548603918458211E-2</v>
      </c>
      <c r="N69" s="1">
        <f t="shared" si="12"/>
        <v>19370439.509166665</v>
      </c>
      <c r="O69" s="19">
        <f t="shared" si="17"/>
        <v>8.3349179984335692E-2</v>
      </c>
      <c r="P69" s="1">
        <f t="shared" si="13"/>
        <v>19591089.590833336</v>
      </c>
      <c r="Q69" s="19">
        <f t="shared" si="14"/>
        <v>8.1732823298630852E-2</v>
      </c>
    </row>
    <row r="70" spans="2:17" x14ac:dyDescent="0.25">
      <c r="B70" s="5" t="s">
        <v>11</v>
      </c>
      <c r="C70" s="9">
        <f t="shared" si="8"/>
        <v>-437.61351565778023</v>
      </c>
      <c r="D70" s="9">
        <f t="shared" si="8"/>
        <v>37.075354098298703</v>
      </c>
      <c r="E70" s="9">
        <f t="shared" si="8"/>
        <v>15.899353571992833</v>
      </c>
      <c r="F70" s="9">
        <f t="shared" si="8"/>
        <v>-766.59460616944125</v>
      </c>
      <c r="G70" s="9">
        <f t="shared" si="9"/>
        <v>-1151.2334141569299</v>
      </c>
      <c r="I70" s="5" t="s">
        <v>11</v>
      </c>
      <c r="J70" s="17">
        <f t="shared" si="10"/>
        <v>13940628.360833334</v>
      </c>
      <c r="K70" s="19">
        <f t="shared" si="15"/>
        <v>6.0019434474375695E-2</v>
      </c>
      <c r="L70" s="1">
        <f t="shared" si="11"/>
        <v>14098905.439166667</v>
      </c>
      <c r="M70" s="19">
        <f t="shared" si="16"/>
        <v>6.0319611351601576E-2</v>
      </c>
      <c r="N70" s="1">
        <f t="shared" si="12"/>
        <v>14097572</v>
      </c>
      <c r="O70" s="19">
        <f t="shared" si="17"/>
        <v>6.0660526851446836E-2</v>
      </c>
      <c r="P70" s="1">
        <f t="shared" si="13"/>
        <v>14497497.157083333</v>
      </c>
      <c r="Q70" s="19">
        <f t="shared" si="14"/>
        <v>6.0482668302773691E-2</v>
      </c>
    </row>
    <row r="71" spans="2:17" x14ac:dyDescent="0.25">
      <c r="B71" s="5" t="s">
        <v>12</v>
      </c>
      <c r="C71" s="9">
        <f t="shared" si="8"/>
        <v>0</v>
      </c>
      <c r="D71" s="9">
        <f t="shared" si="8"/>
        <v>0</v>
      </c>
      <c r="E71" s="9">
        <f t="shared" si="8"/>
        <v>-2508.62</v>
      </c>
      <c r="F71" s="9">
        <f t="shared" si="8"/>
        <v>9075.6107954016479</v>
      </c>
      <c r="G71" s="9">
        <f t="shared" si="9"/>
        <v>6566.990795401648</v>
      </c>
      <c r="I71" s="5" t="s">
        <v>12</v>
      </c>
      <c r="J71" s="17">
        <f t="shared" si="10"/>
        <v>239071.22416666665</v>
      </c>
      <c r="K71" s="19">
        <f t="shared" si="15"/>
        <v>1.029287870114507E-3</v>
      </c>
      <c r="L71" s="1">
        <f t="shared" si="11"/>
        <v>356787.52999999997</v>
      </c>
      <c r="M71" s="19">
        <f t="shared" si="16"/>
        <v>1.5264507757397888E-3</v>
      </c>
      <c r="N71" s="1">
        <f t="shared" si="12"/>
        <v>505872.18583333329</v>
      </c>
      <c r="O71" s="19">
        <f t="shared" si="17"/>
        <v>2.1767204531491675E-3</v>
      </c>
      <c r="P71" s="1">
        <f t="shared" si="13"/>
        <v>683983.22833333327</v>
      </c>
      <c r="Q71" s="19">
        <f>P71/$P$79</f>
        <v>2.8535360466501471E-3</v>
      </c>
    </row>
    <row r="72" spans="2:17" x14ac:dyDescent="0.25">
      <c r="B72" s="5" t="s">
        <v>13</v>
      </c>
      <c r="C72" s="9">
        <f t="shared" si="8"/>
        <v>0</v>
      </c>
      <c r="D72" s="9">
        <f t="shared" si="8"/>
        <v>0</v>
      </c>
      <c r="E72" s="9">
        <f t="shared" si="8"/>
        <v>-43.69</v>
      </c>
      <c r="F72" s="9">
        <f t="shared" si="8"/>
        <v>132.72255282630485</v>
      </c>
      <c r="G72" s="9">
        <f t="shared" si="9"/>
        <v>89.032552826304851</v>
      </c>
      <c r="I72" s="5" t="s">
        <v>13</v>
      </c>
      <c r="J72" s="17">
        <f t="shared" si="10"/>
        <v>-1270956.9733333325</v>
      </c>
      <c r="K72" s="19">
        <f t="shared" si="15"/>
        <v>-5.4719282952157304E-3</v>
      </c>
      <c r="L72" s="1">
        <f t="shared" si="11"/>
        <v>-792941.4800000001</v>
      </c>
      <c r="M72" s="19">
        <f t="shared" si="16"/>
        <v>-3.3924563934794928E-3</v>
      </c>
      <c r="N72" s="1">
        <f t="shared" si="12"/>
        <v>-222306.42249999999</v>
      </c>
      <c r="O72" s="19">
        <f t="shared" si="17"/>
        <v>-9.5656363459681814E-4</v>
      </c>
      <c r="P72" s="1">
        <f t="shared" si="13"/>
        <v>9272.8024999999998</v>
      </c>
      <c r="Q72" s="19">
        <f t="shared" si="14"/>
        <v>3.8685562878045328E-5</v>
      </c>
    </row>
    <row r="73" spans="2:17" x14ac:dyDescent="0.25">
      <c r="B73" s="5" t="s">
        <v>14</v>
      </c>
      <c r="C73" s="9">
        <f t="shared" si="8"/>
        <v>-749.67302023219236</v>
      </c>
      <c r="D73" s="9">
        <f t="shared" si="8"/>
        <v>-42.291328159539262</v>
      </c>
      <c r="E73" s="9">
        <f t="shared" si="8"/>
        <v>154.41609351923398</v>
      </c>
      <c r="F73" s="9">
        <f t="shared" si="8"/>
        <v>-674.67677868794999</v>
      </c>
      <c r="G73" s="9">
        <f t="shared" si="9"/>
        <v>-1312.2250335604476</v>
      </c>
      <c r="I73" s="5" t="s">
        <v>14</v>
      </c>
      <c r="J73" s="17">
        <f t="shared" si="10"/>
        <v>16063216.365833335</v>
      </c>
      <c r="K73" s="19">
        <f t="shared" si="15"/>
        <v>6.9157941605095724E-2</v>
      </c>
      <c r="L73" s="1">
        <f t="shared" si="11"/>
        <v>16255493.135000002</v>
      </c>
      <c r="M73" s="19">
        <f t="shared" si="16"/>
        <v>6.9546180904791047E-2</v>
      </c>
      <c r="N73" s="1">
        <f t="shared" si="12"/>
        <v>16189495.000000002</v>
      </c>
      <c r="O73" s="19">
        <f t="shared" si="17"/>
        <v>6.9661874836238785E-2</v>
      </c>
      <c r="P73" s="1">
        <f t="shared" si="13"/>
        <v>16524787.216250001</v>
      </c>
      <c r="Q73" s="19">
        <f t="shared" si="14"/>
        <v>6.8940397997321629E-2</v>
      </c>
    </row>
    <row r="74" spans="2:17" x14ac:dyDescent="0.25">
      <c r="B74" s="5" t="s">
        <v>15</v>
      </c>
      <c r="C74" s="9">
        <f t="shared" si="8"/>
        <v>-174.40113274845498</v>
      </c>
      <c r="D74" s="9">
        <f t="shared" si="8"/>
        <v>63.305535331135616</v>
      </c>
      <c r="E74" s="9">
        <f t="shared" si="8"/>
        <v>46.073704336373339</v>
      </c>
      <c r="F74" s="9">
        <f t="shared" si="8"/>
        <v>-467.76661730902561</v>
      </c>
      <c r="G74" s="9">
        <f t="shared" si="9"/>
        <v>-532.78851038997163</v>
      </c>
      <c r="I74" s="5" t="s">
        <v>15</v>
      </c>
      <c r="J74" s="17">
        <f t="shared" si="10"/>
        <v>6721501.4333333345</v>
      </c>
      <c r="K74" s="19">
        <f t="shared" si="15"/>
        <v>2.8938488596453548E-2</v>
      </c>
      <c r="L74" s="1">
        <f t="shared" si="11"/>
        <v>6683069.5791666675</v>
      </c>
      <c r="M74" s="19">
        <f t="shared" si="16"/>
        <v>2.8592301820195183E-2</v>
      </c>
      <c r="N74" s="1">
        <f t="shared" si="12"/>
        <v>6663748.5908333333</v>
      </c>
      <c r="O74" s="19">
        <f t="shared" si="17"/>
        <v>2.8673483655592354E-2</v>
      </c>
      <c r="P74" s="1">
        <f t="shared" si="13"/>
        <v>6709385.8391666664</v>
      </c>
      <c r="Q74" s="19">
        <f t="shared" si="14"/>
        <v>2.7991145908062745E-2</v>
      </c>
    </row>
    <row r="75" spans="2:17" x14ac:dyDescent="0.25">
      <c r="B75" s="5" t="s">
        <v>16</v>
      </c>
      <c r="C75" s="9">
        <f t="shared" si="8"/>
        <v>-903.40950831709779</v>
      </c>
      <c r="D75" s="9">
        <f t="shared" si="8"/>
        <v>69.482412382028997</v>
      </c>
      <c r="E75" s="9">
        <f t="shared" si="8"/>
        <v>15.056927090336103</v>
      </c>
      <c r="F75" s="9">
        <f t="shared" si="8"/>
        <v>-1623.0107244888786</v>
      </c>
      <c r="G75" s="9">
        <f t="shared" si="9"/>
        <v>-2441.8808933336113</v>
      </c>
      <c r="I75" s="5" t="s">
        <v>16</v>
      </c>
      <c r="J75" s="17">
        <f t="shared" si="10"/>
        <v>28779224.837499999</v>
      </c>
      <c r="K75" s="19">
        <f t="shared" si="15"/>
        <v>0.12390494564869114</v>
      </c>
      <c r="L75" s="1">
        <f t="shared" si="11"/>
        <v>29354794.336666666</v>
      </c>
      <c r="M75" s="19">
        <f t="shared" si="16"/>
        <v>0.12558916671467413</v>
      </c>
      <c r="N75" s="1">
        <f t="shared" si="12"/>
        <v>30013234.068333335</v>
      </c>
      <c r="O75" s="19">
        <f t="shared" si="17"/>
        <v>0.12914412432870662</v>
      </c>
      <c r="P75" s="1">
        <f t="shared" si="13"/>
        <v>30750685.081666667</v>
      </c>
      <c r="Q75" s="19">
        <f t="shared" si="14"/>
        <v>0.12828997072565562</v>
      </c>
    </row>
    <row r="76" spans="2:17" x14ac:dyDescent="0.25">
      <c r="B76" s="5" t="s">
        <v>17</v>
      </c>
      <c r="C76" s="9">
        <f t="shared" si="8"/>
        <v>4540.7629889897653</v>
      </c>
      <c r="D76" s="9">
        <f t="shared" si="8"/>
        <v>2290.3186229735729</v>
      </c>
      <c r="E76" s="9">
        <f t="shared" si="8"/>
        <v>-15875.292697550816</v>
      </c>
      <c r="F76" s="9">
        <f t="shared" si="8"/>
        <v>-5706.1660978671862</v>
      </c>
      <c r="G76" s="9">
        <f t="shared" si="9"/>
        <v>-14750.377183454664</v>
      </c>
      <c r="I76" s="5" t="s">
        <v>17</v>
      </c>
      <c r="J76" s="17">
        <f t="shared" si="10"/>
        <v>52053425.890833348</v>
      </c>
      <c r="K76" s="19">
        <f t="shared" si="15"/>
        <v>0.22410877785102118</v>
      </c>
      <c r="L76" s="1">
        <f t="shared" si="11"/>
        <v>52139682.934999995</v>
      </c>
      <c r="M76" s="19">
        <f t="shared" si="16"/>
        <v>0.22307018259006242</v>
      </c>
      <c r="N76" s="1">
        <f t="shared" si="12"/>
        <v>50361544.316666678</v>
      </c>
      <c r="O76" s="19">
        <f t="shared" si="17"/>
        <v>0.21670099016351815</v>
      </c>
      <c r="P76" s="1">
        <f t="shared" si="13"/>
        <v>51982785.271666676</v>
      </c>
      <c r="Q76" s="19">
        <f t="shared" si="14"/>
        <v>0.21686898952102018</v>
      </c>
    </row>
    <row r="77" spans="2:17" x14ac:dyDescent="0.25">
      <c r="B77" s="5" t="s">
        <v>18</v>
      </c>
      <c r="C77" s="9">
        <f t="shared" si="8"/>
        <v>-226.63124328713457</v>
      </c>
      <c r="D77" s="9">
        <f t="shared" si="8"/>
        <v>23.715623296367994</v>
      </c>
      <c r="E77" s="9">
        <f t="shared" si="8"/>
        <v>4.7375538292471902</v>
      </c>
      <c r="F77" s="9">
        <f t="shared" si="8"/>
        <v>-402.65823821270169</v>
      </c>
      <c r="G77" s="9">
        <f t="shared" si="9"/>
        <v>-600.83630437422107</v>
      </c>
      <c r="I77" s="5" t="s">
        <v>18</v>
      </c>
      <c r="J77" s="17">
        <f t="shared" si="10"/>
        <v>7219458.0191666661</v>
      </c>
      <c r="K77" s="19">
        <f t="shared" si="15"/>
        <v>3.1082371346995569E-2</v>
      </c>
      <c r="L77" s="1">
        <f t="shared" si="11"/>
        <v>7142392.2275</v>
      </c>
      <c r="M77" s="19">
        <f t="shared" si="16"/>
        <v>3.0557430514192057E-2</v>
      </c>
      <c r="N77" s="1">
        <f t="shared" si="12"/>
        <v>7263325.6716666669</v>
      </c>
      <c r="O77" s="19">
        <f t="shared" si="17"/>
        <v>3.1253407461720284E-2</v>
      </c>
      <c r="P77" s="1">
        <f t="shared" si="13"/>
        <v>7566200.6150000002</v>
      </c>
      <c r="Q77" s="19">
        <f t="shared" si="14"/>
        <v>3.1565724562718528E-2</v>
      </c>
    </row>
    <row r="78" spans="2:17" x14ac:dyDescent="0.25">
      <c r="B78" s="5" t="s">
        <v>19</v>
      </c>
      <c r="C78" s="9">
        <f t="shared" si="8"/>
        <v>-1021.039054393681</v>
      </c>
      <c r="D78" s="9">
        <f t="shared" si="8"/>
        <v>110.34890770036145</v>
      </c>
      <c r="E78" s="9">
        <f t="shared" si="8"/>
        <v>42.148653937707422</v>
      </c>
      <c r="F78" s="9">
        <f t="shared" si="8"/>
        <v>-1714.9318509129807</v>
      </c>
      <c r="G78" s="9">
        <f t="shared" si="9"/>
        <v>-2583.4733436685929</v>
      </c>
      <c r="I78" s="5" t="s">
        <v>19</v>
      </c>
      <c r="J78" s="17">
        <f t="shared" si="10"/>
        <v>32526509.849999998</v>
      </c>
      <c r="K78" s="19">
        <f t="shared" si="15"/>
        <v>0.14003835954102659</v>
      </c>
      <c r="L78" s="1">
        <f t="shared" si="11"/>
        <v>32056750.181666665</v>
      </c>
      <c r="M78" s="19">
        <f t="shared" si="16"/>
        <v>0.13714899504055453</v>
      </c>
      <c r="N78" s="1">
        <f t="shared" si="12"/>
        <v>31833794.824999999</v>
      </c>
      <c r="O78" s="19">
        <f t="shared" si="17"/>
        <v>0.13697782609412187</v>
      </c>
      <c r="P78" s="1">
        <f t="shared" si="13"/>
        <v>32533728.396666668</v>
      </c>
      <c r="Q78" s="19">
        <f t="shared" si="14"/>
        <v>0.13572871799507186</v>
      </c>
    </row>
    <row r="79" spans="2:17" x14ac:dyDescent="0.25">
      <c r="B79" s="8" t="s">
        <v>23</v>
      </c>
      <c r="C79" s="9">
        <f>SUM(C65:C78)</f>
        <v>-9.4587448984384537E-11</v>
      </c>
      <c r="D79" s="9">
        <f>SUM(D65:D78)</f>
        <v>7.2759576141834259E-12</v>
      </c>
      <c r="E79" s="9">
        <f>SUM(E65:E78)</f>
        <v>-8.276401786133647E-10</v>
      </c>
      <c r="F79" s="9">
        <f>SUM(F65:F78)</f>
        <v>7.6397554948925972E-11</v>
      </c>
      <c r="G79" s="9">
        <f t="shared" si="9"/>
        <v>-8.3855411503463984E-10</v>
      </c>
      <c r="I79" s="18" t="s">
        <v>23</v>
      </c>
      <c r="J79" s="1">
        <f>SUM(J65:J78)-(J71+J72)</f>
        <v>232268572.3869167</v>
      </c>
      <c r="K79" s="10">
        <f>SUM(K65:K78)-(K72+K71)</f>
        <v>0.99999999999999989</v>
      </c>
      <c r="L79" s="1">
        <f>SUM(L65:L78)-(L71+L72)</f>
        <v>233736675.73858333</v>
      </c>
      <c r="M79" s="10">
        <f>SUM(M65:M78)-(M72+M71)</f>
        <v>1</v>
      </c>
      <c r="N79" s="1">
        <f>SUM(N65:N78)-(N71+N72)</f>
        <v>232401080.76416671</v>
      </c>
      <c r="O79" s="10">
        <f>SUM(O65:O78)-(O72+O71)</f>
        <v>1</v>
      </c>
      <c r="P79" s="1">
        <f>SUM(P65:P78)</f>
        <v>239696719.14125004</v>
      </c>
      <c r="Q79" s="10">
        <f>SUM(Q65:Q78)</f>
        <v>1</v>
      </c>
    </row>
    <row r="82" spans="7:17" ht="15.75" x14ac:dyDescent="0.25">
      <c r="I82" s="38" t="s">
        <v>181</v>
      </c>
      <c r="J82" s="38"/>
      <c r="K82" s="38"/>
      <c r="L82" s="38"/>
      <c r="M82" s="38"/>
      <c r="N82" s="38"/>
      <c r="O82" s="38"/>
      <c r="P82" s="38"/>
      <c r="Q82" s="38"/>
    </row>
    <row r="83" spans="7:17" x14ac:dyDescent="0.25">
      <c r="G83" s="13"/>
      <c r="I83"/>
      <c r="J83"/>
      <c r="K83"/>
      <c r="L83"/>
      <c r="M83"/>
      <c r="N83"/>
      <c r="O83"/>
      <c r="P83"/>
      <c r="Q83"/>
    </row>
    <row r="84" spans="7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7:17" x14ac:dyDescent="0.25">
      <c r="I85" s="18" t="s">
        <v>159</v>
      </c>
      <c r="J85" s="5" t="s">
        <v>171</v>
      </c>
      <c r="K85"/>
      <c r="L85"/>
      <c r="M85"/>
      <c r="N85"/>
      <c r="O85"/>
      <c r="P85"/>
      <c r="Q85"/>
    </row>
    <row r="86" spans="7:17" x14ac:dyDescent="0.25">
      <c r="I86"/>
      <c r="J86"/>
      <c r="K86"/>
      <c r="L86"/>
    </row>
    <row r="87" spans="7:17" x14ac:dyDescent="0.25">
      <c r="I87"/>
      <c r="J87"/>
      <c r="K87"/>
      <c r="L87"/>
    </row>
  </sheetData>
  <sheetProtection algorithmName="SHA-512" hashValue="/oggcoEjVw27475aWFcCZwJ87SpnJgdDz+iZ1Uv1ORKg1wpd50eAu0IC/v66Xz83mxEBFHhxWwqOfm7XHlQHIw==" saltValue="lkD0uKEOWttc/6T9x6nyoA==" spinCount="100000" sheet="1" objects="1" scenarios="1"/>
  <mergeCells count="8">
    <mergeCell ref="I82:Q82"/>
    <mergeCell ref="I63:Q63"/>
    <mergeCell ref="B63:G63"/>
    <mergeCell ref="B2:G2"/>
    <mergeCell ref="B43:G43"/>
    <mergeCell ref="I2:N2"/>
    <mergeCell ref="I24:N24"/>
    <mergeCell ref="I43:P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CBB-21D6-46C0-927B-4613AF6D2C40}">
  <dimension ref="B2:Q87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1.140625" style="5" bestFit="1" customWidth="1"/>
    <col min="3" max="3" width="13.42578125" style="5" bestFit="1" customWidth="1"/>
    <col min="4" max="7" width="14.28515625" style="5" bestFit="1" customWidth="1"/>
    <col min="8" max="8" width="9.140625" style="5"/>
    <col min="9" max="9" width="10.28515625" style="5" bestFit="1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6384" width="9.140625" style="5"/>
  </cols>
  <sheetData>
    <row r="2" spans="2:14" ht="15.75" x14ac:dyDescent="0.25">
      <c r="B2" s="39" t="s">
        <v>48</v>
      </c>
      <c r="C2" s="39"/>
      <c r="D2" s="39"/>
      <c r="E2" s="39"/>
      <c r="F2" s="39"/>
      <c r="G2" s="39"/>
      <c r="H2" s="4"/>
      <c r="I2" s="39" t="s">
        <v>49</v>
      </c>
      <c r="J2" s="39"/>
      <c r="K2" s="39"/>
      <c r="L2" s="39"/>
      <c r="M2" s="39"/>
      <c r="N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37970.69</v>
      </c>
      <c r="D4" s="2">
        <v>40455.634041737845</v>
      </c>
      <c r="E4" s="2">
        <v>41490.620000000003</v>
      </c>
      <c r="F4" s="2">
        <v>61939.05</v>
      </c>
      <c r="G4" s="2">
        <f t="shared" ref="G4:G20" si="0">C4+D4+E4+F4</f>
        <v>181855.99404173787</v>
      </c>
      <c r="I4" s="5" t="s">
        <v>6</v>
      </c>
      <c r="J4" s="1">
        <v>14472349.593333334</v>
      </c>
      <c r="K4" s="1">
        <v>11691525.323333332</v>
      </c>
      <c r="L4" s="1">
        <v>13137798.82766667</v>
      </c>
      <c r="M4" s="1">
        <v>13292186.855</v>
      </c>
      <c r="N4" s="1">
        <v>12205190.803333333</v>
      </c>
    </row>
    <row r="5" spans="2:14" x14ac:dyDescent="0.25">
      <c r="B5" s="5" t="s">
        <v>7</v>
      </c>
      <c r="C5" s="1">
        <v>28654.502699182754</v>
      </c>
      <c r="D5" s="1">
        <v>42332.699886523456</v>
      </c>
      <c r="E5" s="1">
        <v>40032.699999999997</v>
      </c>
      <c r="F5" s="1">
        <v>78415.210000000006</v>
      </c>
      <c r="G5" s="2">
        <f t="shared" si="0"/>
        <v>189435.11258570623</v>
      </c>
      <c r="I5" s="5" t="s">
        <v>7</v>
      </c>
      <c r="J5" s="1">
        <v>15483070.793333331</v>
      </c>
      <c r="K5" s="1">
        <v>11782332.656666666</v>
      </c>
      <c r="L5" s="1">
        <v>12447072.383333335</v>
      </c>
      <c r="M5" s="1">
        <v>15116073.484999999</v>
      </c>
      <c r="N5" s="1">
        <v>12914452.416666666</v>
      </c>
    </row>
    <row r="6" spans="2:14" x14ac:dyDescent="0.25">
      <c r="B6" s="5" t="s">
        <v>8</v>
      </c>
      <c r="C6" s="1">
        <v>46767.785987856376</v>
      </c>
      <c r="D6" s="1">
        <v>50302.261730754006</v>
      </c>
      <c r="E6" s="1">
        <v>44968.09</v>
      </c>
      <c r="F6" s="1">
        <v>73090.81</v>
      </c>
      <c r="G6" s="2">
        <f t="shared" si="0"/>
        <v>215128.94771861038</v>
      </c>
      <c r="I6" s="5" t="s">
        <v>8</v>
      </c>
      <c r="J6" s="1">
        <v>18268797.07</v>
      </c>
      <c r="K6" s="1">
        <v>14380442.43</v>
      </c>
      <c r="L6" s="1">
        <v>13067832.663333334</v>
      </c>
      <c r="M6" s="1">
        <v>16571957.210000001</v>
      </c>
      <c r="N6" s="1">
        <v>15305962.413333334</v>
      </c>
    </row>
    <row r="7" spans="2:14" x14ac:dyDescent="0.25">
      <c r="B7" s="5" t="s">
        <v>9</v>
      </c>
      <c r="C7" s="1">
        <v>33451.537582094694</v>
      </c>
      <c r="D7" s="1">
        <v>36987.375681649937</v>
      </c>
      <c r="E7" s="1">
        <v>36559.78</v>
      </c>
      <c r="F7" s="1">
        <v>62436.06</v>
      </c>
      <c r="G7" s="2">
        <f t="shared" si="0"/>
        <v>169434.75326374464</v>
      </c>
      <c r="I7" s="5" t="s">
        <v>9</v>
      </c>
      <c r="J7" s="1">
        <v>13264812.816666668</v>
      </c>
      <c r="K7" s="1">
        <v>11544237.196666667</v>
      </c>
      <c r="L7" s="1">
        <v>11180541.146666668</v>
      </c>
      <c r="M7" s="1">
        <v>14425557.32</v>
      </c>
      <c r="N7" s="1">
        <v>13371975.543333335</v>
      </c>
    </row>
    <row r="8" spans="2:14" x14ac:dyDescent="0.25">
      <c r="B8" s="5" t="s">
        <v>10</v>
      </c>
      <c r="C8" s="1">
        <v>58200.402616221792</v>
      </c>
      <c r="D8" s="1">
        <v>64238.760961999826</v>
      </c>
      <c r="E8" s="1">
        <v>58643.5</v>
      </c>
      <c r="F8" s="1">
        <v>91823.15</v>
      </c>
      <c r="G8" s="2">
        <f t="shared" si="0"/>
        <v>272905.8135782216</v>
      </c>
      <c r="I8" s="5" t="s">
        <v>10</v>
      </c>
      <c r="J8" s="1">
        <v>21528019.036666665</v>
      </c>
      <c r="K8" s="1">
        <v>19300581.840000004</v>
      </c>
      <c r="L8" s="1">
        <v>17527089.033333335</v>
      </c>
      <c r="M8" s="1">
        <v>20536411.879999995</v>
      </c>
      <c r="N8" s="1">
        <v>19179953.243333329</v>
      </c>
    </row>
    <row r="9" spans="2:14" x14ac:dyDescent="0.25">
      <c r="B9" s="5" t="s">
        <v>11</v>
      </c>
      <c r="C9" s="1">
        <v>39357.929391144928</v>
      </c>
      <c r="D9" s="1">
        <v>43345.524080752373</v>
      </c>
      <c r="E9" s="1">
        <v>43207.93</v>
      </c>
      <c r="F9" s="1">
        <v>66248.47</v>
      </c>
      <c r="G9" s="2">
        <f t="shared" si="0"/>
        <v>192159.85347189731</v>
      </c>
      <c r="I9" s="5" t="s">
        <v>11</v>
      </c>
      <c r="J9" s="1">
        <v>14677986.843333334</v>
      </c>
      <c r="K9" s="1">
        <v>13051865.18</v>
      </c>
      <c r="L9" s="1">
        <v>13536461.9</v>
      </c>
      <c r="M9" s="1">
        <v>14307487.920000002</v>
      </c>
      <c r="N9" s="1">
        <v>13560913.426666668</v>
      </c>
    </row>
    <row r="10" spans="2:14" x14ac:dyDescent="0.25">
      <c r="B10" s="5" t="s">
        <v>12</v>
      </c>
      <c r="C10" s="1">
        <v>0</v>
      </c>
      <c r="D10" s="1">
        <v>0</v>
      </c>
      <c r="E10" s="1">
        <v>0</v>
      </c>
      <c r="F10" s="1">
        <v>0</v>
      </c>
      <c r="G10" s="2">
        <f t="shared" si="0"/>
        <v>0</v>
      </c>
      <c r="I10" s="5" t="s">
        <v>12</v>
      </c>
      <c r="J10" s="1">
        <v>-1476854.41</v>
      </c>
      <c r="K10" s="1">
        <v>-1912061.9733333334</v>
      </c>
      <c r="L10" s="1">
        <v>-2282540.23</v>
      </c>
      <c r="M10" s="1">
        <v>-2169237.5250000004</v>
      </c>
      <c r="N10" s="1">
        <v>-926273.21000000031</v>
      </c>
    </row>
    <row r="11" spans="2:14" x14ac:dyDescent="0.25">
      <c r="B11" s="5" t="s">
        <v>13</v>
      </c>
      <c r="C11" s="1">
        <v>0</v>
      </c>
      <c r="D11" s="1">
        <v>0</v>
      </c>
      <c r="E11" s="1">
        <v>0</v>
      </c>
      <c r="F11" s="1">
        <v>0</v>
      </c>
      <c r="G11" s="2">
        <f t="shared" si="0"/>
        <v>0</v>
      </c>
      <c r="I11" s="5" t="s">
        <v>13</v>
      </c>
      <c r="J11" s="1">
        <v>9261.8799999999992</v>
      </c>
      <c r="K11" s="1">
        <v>9261.8799999999992</v>
      </c>
      <c r="L11" s="1">
        <v>9261.8799999999992</v>
      </c>
      <c r="M11" s="1">
        <v>9261.8799999999992</v>
      </c>
      <c r="N11" s="1">
        <v>9261.8799999999992</v>
      </c>
    </row>
    <row r="12" spans="2:14" x14ac:dyDescent="0.25">
      <c r="B12" s="5" t="s">
        <v>14</v>
      </c>
      <c r="C12" s="1">
        <v>48383.812438121524</v>
      </c>
      <c r="D12" s="1">
        <v>51290.760942874411</v>
      </c>
      <c r="E12" s="1">
        <v>48973.17</v>
      </c>
      <c r="F12" s="1">
        <v>74400.27</v>
      </c>
      <c r="G12" s="2">
        <f t="shared" si="0"/>
        <v>223048.01338099595</v>
      </c>
      <c r="I12" s="5" t="s">
        <v>14</v>
      </c>
      <c r="J12" s="1">
        <v>17377213.879999999</v>
      </c>
      <c r="K12" s="1">
        <v>15395883.109999999</v>
      </c>
      <c r="L12" s="1">
        <v>15179680.106666667</v>
      </c>
      <c r="M12" s="1">
        <v>16233630.465</v>
      </c>
      <c r="N12" s="1">
        <v>15396381.43</v>
      </c>
    </row>
    <row r="13" spans="2:14" x14ac:dyDescent="0.25">
      <c r="B13" s="5" t="s">
        <v>15</v>
      </c>
      <c r="C13" s="1">
        <v>20755.041008917819</v>
      </c>
      <c r="D13" s="1">
        <v>22117.527144596148</v>
      </c>
      <c r="E13" s="1">
        <v>20100.509999999998</v>
      </c>
      <c r="F13" s="1">
        <v>30741.21</v>
      </c>
      <c r="G13" s="2">
        <f t="shared" si="0"/>
        <v>93714.288153513975</v>
      </c>
      <c r="I13" s="5" t="s">
        <v>15</v>
      </c>
      <c r="J13" s="1">
        <v>7356150.3733333321</v>
      </c>
      <c r="K13" s="1">
        <v>6717023.8266666671</v>
      </c>
      <c r="L13" s="1">
        <v>6405646.5300000012</v>
      </c>
      <c r="M13" s="1">
        <v>6671699.5499999998</v>
      </c>
      <c r="N13" s="1">
        <v>6442742.8066666676</v>
      </c>
    </row>
    <row r="14" spans="2:14" x14ac:dyDescent="0.25">
      <c r="B14" s="5" t="s">
        <v>16</v>
      </c>
      <c r="C14" s="1">
        <v>84245.304068845944</v>
      </c>
      <c r="D14" s="1">
        <v>90530.310668108417</v>
      </c>
      <c r="E14" s="1">
        <v>83816.5</v>
      </c>
      <c r="F14" s="1">
        <v>130407.89</v>
      </c>
      <c r="G14" s="2">
        <f t="shared" si="0"/>
        <v>389000.00473695435</v>
      </c>
      <c r="I14" s="5" t="s">
        <v>16</v>
      </c>
      <c r="J14" s="1">
        <v>29098022.536666673</v>
      </c>
      <c r="K14" s="1">
        <v>26823936.27</v>
      </c>
      <c r="L14" s="1">
        <v>26729999.443333331</v>
      </c>
      <c r="M14" s="1">
        <v>29849212.555</v>
      </c>
      <c r="N14" s="1">
        <v>29649330.196666669</v>
      </c>
    </row>
    <row r="15" spans="2:14" x14ac:dyDescent="0.25">
      <c r="B15" s="5" t="s">
        <v>17</v>
      </c>
      <c r="C15" s="1">
        <v>141710.05349246424</v>
      </c>
      <c r="D15" s="1">
        <v>152679.81850469479</v>
      </c>
      <c r="E15" s="1">
        <v>166116.43</v>
      </c>
      <c r="F15" s="1">
        <v>242660.86</v>
      </c>
      <c r="G15" s="2">
        <f t="shared" si="0"/>
        <v>703167.16199715901</v>
      </c>
      <c r="I15" s="5" t="s">
        <v>17</v>
      </c>
      <c r="J15" s="1">
        <v>55639603.583333336</v>
      </c>
      <c r="K15" s="1">
        <v>46153009.923333339</v>
      </c>
      <c r="L15" s="1">
        <v>48052737.776666664</v>
      </c>
      <c r="M15" s="1">
        <v>53373489.32</v>
      </c>
      <c r="N15" s="1">
        <v>49125165.490000002</v>
      </c>
    </row>
    <row r="16" spans="2:14" x14ac:dyDescent="0.25">
      <c r="B16" s="5" t="s">
        <v>18</v>
      </c>
      <c r="C16" s="1">
        <v>13879.796989392207</v>
      </c>
      <c r="D16" s="1">
        <v>18308.015657003882</v>
      </c>
      <c r="E16" s="1">
        <v>25101.08</v>
      </c>
      <c r="F16" s="1">
        <v>35864.720000000001</v>
      </c>
      <c r="G16" s="2">
        <f t="shared" si="0"/>
        <v>93153.612646396097</v>
      </c>
      <c r="I16" s="5" t="s">
        <v>18</v>
      </c>
      <c r="J16" s="1">
        <v>3584689.4733333341</v>
      </c>
      <c r="K16" s="1">
        <v>7978942.2533333329</v>
      </c>
      <c r="L16" s="1">
        <v>8499864.3733333331</v>
      </c>
      <c r="M16" s="1">
        <v>6877098.79</v>
      </c>
      <c r="N16" s="1">
        <v>5797497.3666666672</v>
      </c>
    </row>
    <row r="17" spans="2:14" x14ac:dyDescent="0.25">
      <c r="B17" s="5" t="s">
        <v>19</v>
      </c>
      <c r="C17" s="1">
        <v>117879.49085067076</v>
      </c>
      <c r="D17" s="1">
        <v>108399.66640293374</v>
      </c>
      <c r="E17" s="1">
        <v>87331.63</v>
      </c>
      <c r="F17" s="1">
        <v>147315.94</v>
      </c>
      <c r="G17" s="2">
        <f t="shared" si="0"/>
        <v>460926.72725360451</v>
      </c>
      <c r="I17" s="5" t="s">
        <v>19</v>
      </c>
      <c r="J17" s="1">
        <v>35961137.663333334</v>
      </c>
      <c r="K17" s="1">
        <v>32340758.640000001</v>
      </c>
      <c r="L17" s="1">
        <v>30642453.039999995</v>
      </c>
      <c r="M17" s="1">
        <v>34358467.640000001</v>
      </c>
      <c r="N17" s="1">
        <v>31975662.903333336</v>
      </c>
    </row>
    <row r="18" spans="2:14" x14ac:dyDescent="0.25">
      <c r="B18" s="14" t="s">
        <v>20</v>
      </c>
      <c r="C18" s="15">
        <v>669.16938159063307</v>
      </c>
      <c r="D18" s="15">
        <v>738.6325798897974</v>
      </c>
      <c r="E18" s="15">
        <v>664.04</v>
      </c>
      <c r="F18" s="15">
        <v>1062.04</v>
      </c>
      <c r="G18" s="20">
        <f t="shared" si="0"/>
        <v>3133.8819614804306</v>
      </c>
      <c r="I18" s="14" t="s">
        <v>20</v>
      </c>
      <c r="J18" s="15">
        <v>228220.38666666663</v>
      </c>
      <c r="K18" s="15">
        <v>231484.36666666667</v>
      </c>
      <c r="L18" s="15">
        <v>230699.35666666666</v>
      </c>
      <c r="M18" s="15">
        <v>238233.28</v>
      </c>
      <c r="N18" s="15">
        <v>239634.13</v>
      </c>
    </row>
    <row r="19" spans="2:14" x14ac:dyDescent="0.25">
      <c r="B19" s="14" t="s">
        <v>21</v>
      </c>
      <c r="C19" s="15">
        <v>3074.4866397625842</v>
      </c>
      <c r="D19" s="15">
        <v>3273.0117164814305</v>
      </c>
      <c r="E19" s="15">
        <v>2994.04</v>
      </c>
      <c r="F19" s="15">
        <v>3594.31</v>
      </c>
      <c r="G19" s="20">
        <f t="shared" si="0"/>
        <v>12935.848356244014</v>
      </c>
      <c r="I19" s="14" t="s">
        <v>21</v>
      </c>
      <c r="J19" s="15">
        <v>1071650.0366666666</v>
      </c>
      <c r="K19" s="15">
        <v>891703.91666666663</v>
      </c>
      <c r="L19" s="15">
        <v>806250.19433333341</v>
      </c>
      <c r="M19" s="15">
        <v>817635.04</v>
      </c>
      <c r="N19" s="15">
        <v>813346.51000000013</v>
      </c>
    </row>
    <row r="20" spans="2:14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4" x14ac:dyDescent="0.25">
      <c r="B21" s="8" t="s">
        <v>23</v>
      </c>
      <c r="C21" s="9">
        <f>SUM(C4:C20)</f>
        <v>675000.00314626622</v>
      </c>
      <c r="D21" s="1">
        <f>SUM(D4:D20)</f>
        <v>725000.00000000012</v>
      </c>
      <c r="E21" s="1">
        <f>SUM(E4:E20)</f>
        <v>700000.02</v>
      </c>
      <c r="F21" s="1">
        <f>SUM(F4:F20)</f>
        <v>1099999.99</v>
      </c>
      <c r="G21" s="1">
        <f>SUM(G4:G20)</f>
        <v>3200000.0131462668</v>
      </c>
      <c r="I21" s="8" t="s">
        <v>23</v>
      </c>
      <c r="J21" s="1">
        <f>SUM(J4:J20)</f>
        <v>246544131.55666664</v>
      </c>
      <c r="K21" s="1">
        <f>SUM(K4:K20)</f>
        <v>216380926.84</v>
      </c>
      <c r="L21" s="1">
        <f>SUM(L4:L20)</f>
        <v>215170848.42533332</v>
      </c>
      <c r="M21" s="1">
        <f>SUM(M4:M20)</f>
        <v>240509165.66499996</v>
      </c>
      <c r="N21" s="9">
        <f>SUM(N4:N20)</f>
        <v>225061197.34999999</v>
      </c>
    </row>
    <row r="24" spans="2:14" ht="15.75" x14ac:dyDescent="0.25">
      <c r="I24" s="39" t="s">
        <v>50</v>
      </c>
      <c r="J24" s="39"/>
      <c r="K24" s="39"/>
      <c r="L24" s="39"/>
      <c r="M24" s="39"/>
      <c r="N24" s="39"/>
    </row>
    <row r="25" spans="2:14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4" x14ac:dyDescent="0.25">
      <c r="I26" s="5" t="s">
        <v>6</v>
      </c>
      <c r="J26" s="1">
        <v>14472349.593333334</v>
      </c>
      <c r="K26" s="1">
        <v>11691525.323333332</v>
      </c>
      <c r="L26" s="1">
        <v>13137798.82766667</v>
      </c>
      <c r="M26" s="1">
        <v>13292186.855</v>
      </c>
      <c r="N26" s="1">
        <v>12205190.803333333</v>
      </c>
    </row>
    <row r="27" spans="2:14" x14ac:dyDescent="0.25">
      <c r="I27" s="5" t="s">
        <v>7</v>
      </c>
      <c r="J27" s="1">
        <v>15483070.793333331</v>
      </c>
      <c r="K27" s="1">
        <v>11782332.656666666</v>
      </c>
      <c r="L27" s="1">
        <v>12447072.383333335</v>
      </c>
      <c r="M27" s="1">
        <v>15116073.484999999</v>
      </c>
      <c r="N27" s="1">
        <v>12914452.416666666</v>
      </c>
    </row>
    <row r="28" spans="2:14" x14ac:dyDescent="0.25">
      <c r="I28" s="5" t="s">
        <v>8</v>
      </c>
      <c r="J28" s="1">
        <v>18268797.07</v>
      </c>
      <c r="K28" s="1">
        <v>14380442.43</v>
      </c>
      <c r="L28" s="1">
        <v>13067832.663333334</v>
      </c>
      <c r="M28" s="1">
        <v>16571957.210000001</v>
      </c>
      <c r="N28" s="1">
        <v>15305962.413333334</v>
      </c>
    </row>
    <row r="29" spans="2:14" x14ac:dyDescent="0.25">
      <c r="I29" s="5" t="s">
        <v>36</v>
      </c>
      <c r="J29" s="1">
        <f>13264812.8166667-547605.01</f>
        <v>12717207.8066667</v>
      </c>
      <c r="K29" s="1">
        <f>11544237.1966667-387027.05</f>
        <v>11157210.1466667</v>
      </c>
      <c r="L29" s="1">
        <f>11180541.1466667-477899.75</f>
        <v>10702641.3966667</v>
      </c>
      <c r="M29" s="1">
        <v>14425557.32</v>
      </c>
      <c r="N29" s="1">
        <v>13371975.543333335</v>
      </c>
    </row>
    <row r="30" spans="2:14" x14ac:dyDescent="0.25">
      <c r="I30" s="5" t="s">
        <v>10</v>
      </c>
      <c r="J30" s="1">
        <v>21528019.036666665</v>
      </c>
      <c r="K30" s="1">
        <v>19300581.840000004</v>
      </c>
      <c r="L30" s="1">
        <v>17527089.033333335</v>
      </c>
      <c r="M30" s="1">
        <v>20536411.879999995</v>
      </c>
      <c r="N30" s="1">
        <v>19179953.243333329</v>
      </c>
    </row>
    <row r="31" spans="2:14" x14ac:dyDescent="0.25">
      <c r="I31" s="5" t="s">
        <v>11</v>
      </c>
      <c r="J31" s="1">
        <v>14677986.843333334</v>
      </c>
      <c r="K31" s="1">
        <v>13051865.18</v>
      </c>
      <c r="L31" s="1">
        <v>13536461.9</v>
      </c>
      <c r="M31" s="1">
        <v>14307487.920000002</v>
      </c>
      <c r="N31" s="1">
        <v>13560913.426666668</v>
      </c>
    </row>
    <row r="32" spans="2:14" x14ac:dyDescent="0.25">
      <c r="I32" s="5" t="s">
        <v>24</v>
      </c>
      <c r="J32" s="1"/>
      <c r="K32" s="1"/>
      <c r="L32" s="1"/>
      <c r="M32" s="1"/>
      <c r="N32" s="1"/>
    </row>
    <row r="33" spans="2:16" x14ac:dyDescent="0.25">
      <c r="I33" s="5" t="s">
        <v>78</v>
      </c>
      <c r="J33" s="1">
        <f>9261.88-1476854.41</f>
        <v>-1467592.53</v>
      </c>
      <c r="K33" s="1">
        <f>9261.88-1912061.97333333</f>
        <v>-1902800.09333333</v>
      </c>
      <c r="L33" s="1">
        <f>9261.88-2282540.23</f>
        <v>-2273278.35</v>
      </c>
      <c r="M33" s="1">
        <f>9261.88-2169237.525</f>
        <v>-2159975.645</v>
      </c>
      <c r="N33" s="1">
        <f>9261.88-926273.21</f>
        <v>-917011.33</v>
      </c>
    </row>
    <row r="34" spans="2:16" x14ac:dyDescent="0.25">
      <c r="I34" s="5" t="s">
        <v>14</v>
      </c>
      <c r="J34" s="1">
        <v>17377213.879999999</v>
      </c>
      <c r="K34" s="1">
        <v>15395883.109999999</v>
      </c>
      <c r="L34" s="1">
        <v>15179680.106666667</v>
      </c>
      <c r="M34" s="1">
        <v>16233630.465</v>
      </c>
      <c r="N34" s="1">
        <v>15396381.43</v>
      </c>
    </row>
    <row r="35" spans="2:16" x14ac:dyDescent="0.25">
      <c r="I35" s="5" t="s">
        <v>15</v>
      </c>
      <c r="J35" s="1">
        <v>7356150.3733333321</v>
      </c>
      <c r="K35" s="1">
        <v>6717023.8266666671</v>
      </c>
      <c r="L35" s="1">
        <v>6405646.5300000012</v>
      </c>
      <c r="M35" s="1">
        <v>6671699.5499999998</v>
      </c>
      <c r="N35" s="1">
        <v>6442742.8066666676</v>
      </c>
    </row>
    <row r="36" spans="2:16" x14ac:dyDescent="0.25">
      <c r="I36" s="5" t="s">
        <v>16</v>
      </c>
      <c r="J36" s="1">
        <v>29098022.536666673</v>
      </c>
      <c r="K36" s="1">
        <v>26823936.27</v>
      </c>
      <c r="L36" s="1">
        <v>26729999.443333331</v>
      </c>
      <c r="M36" s="1">
        <v>29849212.555</v>
      </c>
      <c r="N36" s="1">
        <v>29649330.196666669</v>
      </c>
    </row>
    <row r="37" spans="2:16" x14ac:dyDescent="0.25">
      <c r="I37" s="5" t="s">
        <v>47</v>
      </c>
      <c r="J37" s="1">
        <f>55639603.5833333-386984.95</f>
        <v>55252618.633333296</v>
      </c>
      <c r="K37" s="1">
        <f>46153009.9233333-386984.95</f>
        <v>45766024.973333299</v>
      </c>
      <c r="L37" s="1">
        <f>48052737.7766667-386984.95</f>
        <v>47665752.826666698</v>
      </c>
      <c r="M37" s="1">
        <f>53373489.32-386984.95</f>
        <v>52986504.369999997</v>
      </c>
      <c r="N37" s="1">
        <f>49125165.49-522938.59</f>
        <v>48602226.899999999</v>
      </c>
    </row>
    <row r="38" spans="2:16" x14ac:dyDescent="0.25">
      <c r="I38" s="5" t="s">
        <v>18</v>
      </c>
      <c r="J38" s="1">
        <v>3584689.4733333341</v>
      </c>
      <c r="K38" s="1">
        <v>7978942.2533333329</v>
      </c>
      <c r="L38" s="1">
        <v>8499864.3733333331</v>
      </c>
      <c r="M38" s="1">
        <v>6877098.79</v>
      </c>
      <c r="N38" s="1">
        <v>5797497.3666666672</v>
      </c>
    </row>
    <row r="39" spans="2:16" x14ac:dyDescent="0.25">
      <c r="I39" s="5" t="s">
        <v>19</v>
      </c>
      <c r="J39" s="1">
        <v>35961137.663333334</v>
      </c>
      <c r="K39" s="1">
        <v>32340758.640000001</v>
      </c>
      <c r="L39" s="1">
        <v>30642453.039999995</v>
      </c>
      <c r="M39" s="1">
        <v>34358467.640000001</v>
      </c>
      <c r="N39" s="1">
        <v>31975662.903333336</v>
      </c>
    </row>
    <row r="40" spans="2:16" x14ac:dyDescent="0.25">
      <c r="I40" s="8" t="s">
        <v>23</v>
      </c>
      <c r="J40" s="1">
        <f>SUM(J26:J39)-J33</f>
        <v>245777263.70333332</v>
      </c>
      <c r="K40" s="1">
        <f>SUM(K26:K39)-K33</f>
        <v>216386526.65000001</v>
      </c>
      <c r="L40" s="1">
        <f>SUM(L26:L39)-L33</f>
        <v>215542292.52433342</v>
      </c>
      <c r="M40" s="1">
        <f>SUM(M26:M39)-M33</f>
        <v>241226288.03999999</v>
      </c>
      <c r="N40" s="1">
        <f>SUM(N26:N39)-N33</f>
        <v>224402289.45000002</v>
      </c>
    </row>
    <row r="43" spans="2:16" ht="15.75" x14ac:dyDescent="0.25">
      <c r="B43" s="39" t="s">
        <v>95</v>
      </c>
      <c r="C43" s="39"/>
      <c r="D43" s="39"/>
      <c r="E43" s="39"/>
      <c r="F43" s="39"/>
      <c r="G43" s="39"/>
      <c r="I43" s="38" t="s">
        <v>107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101</v>
      </c>
      <c r="K44" s="16" t="s">
        <v>102</v>
      </c>
      <c r="L44" s="16" t="s">
        <v>108</v>
      </c>
      <c r="M44" s="16" t="s">
        <v>109</v>
      </c>
      <c r="N44" s="16" t="s">
        <v>110</v>
      </c>
      <c r="O44" s="16" t="s">
        <v>111</v>
      </c>
      <c r="P44" s="16" t="s">
        <v>112</v>
      </c>
    </row>
    <row r="45" spans="2:16" x14ac:dyDescent="0.25">
      <c r="B45" s="5" t="s">
        <v>6</v>
      </c>
      <c r="C45" s="9">
        <f>$C$59*K65</f>
        <v>37435.143068757112</v>
      </c>
      <c r="D45" s="9">
        <f t="shared" ref="D45:D58" si="1">($D$60*M65)-C45</f>
        <v>40598.365818108912</v>
      </c>
      <c r="E45" s="9">
        <f t="shared" ref="E45:E58" si="2">($E$60*O65)-D45-C45</f>
        <v>42230.532080641628</v>
      </c>
      <c r="F45" s="9">
        <f t="shared" ref="F45:F58" si="3">($F$60*Q65)-E45-D45-C45</f>
        <v>61963.93440118646</v>
      </c>
      <c r="G45" s="9">
        <f t="shared" ref="G45:G59" si="4">SUM(C45+D45+E45+F45)</f>
        <v>182227.97536869411</v>
      </c>
      <c r="I45" s="5" t="s">
        <v>6</v>
      </c>
      <c r="J45" s="1">
        <v>11618801.806666667</v>
      </c>
      <c r="K45" s="1">
        <v>11209332.516666666</v>
      </c>
      <c r="L45" s="1">
        <v>12112609.949999997</v>
      </c>
      <c r="M45" s="1">
        <v>14472349.593333334</v>
      </c>
      <c r="N45" s="1">
        <v>11691525.323333332</v>
      </c>
      <c r="O45" s="1">
        <v>13137798.82766667</v>
      </c>
      <c r="P45" s="1">
        <v>13292186.855</v>
      </c>
    </row>
    <row r="46" spans="2:16" x14ac:dyDescent="0.25">
      <c r="B46" s="5" t="s">
        <v>7</v>
      </c>
      <c r="C46" s="9">
        <f t="shared" ref="C46:C58" si="5">$C$59*K66</f>
        <v>30554.052612374278</v>
      </c>
      <c r="D46" s="9">
        <f t="shared" si="1"/>
        <v>36551.764247710715</v>
      </c>
      <c r="E46" s="9">
        <f t="shared" si="2"/>
        <v>44261.166495008729</v>
      </c>
      <c r="F46" s="9">
        <f t="shared" si="3"/>
        <v>78603.774083639044</v>
      </c>
      <c r="G46" s="9">
        <f t="shared" si="4"/>
        <v>189970.75743873278</v>
      </c>
      <c r="I46" s="5" t="s">
        <v>7</v>
      </c>
      <c r="J46" s="1">
        <v>9556725.1866666675</v>
      </c>
      <c r="K46" s="1">
        <v>7392284.8166666664</v>
      </c>
      <c r="L46" s="1">
        <v>7898211.7033333341</v>
      </c>
      <c r="M46" s="1">
        <v>15483070.793333331</v>
      </c>
      <c r="N46" s="1">
        <v>11782332.656666666</v>
      </c>
      <c r="O46" s="1">
        <v>12447072.383333335</v>
      </c>
      <c r="P46" s="1">
        <v>15116073.484999999</v>
      </c>
    </row>
    <row r="47" spans="2:16" x14ac:dyDescent="0.25">
      <c r="B47" s="5" t="s">
        <v>8</v>
      </c>
      <c r="C47" s="9">
        <f t="shared" si="5"/>
        <v>45814.810451815858</v>
      </c>
      <c r="D47" s="9">
        <f t="shared" si="1"/>
        <v>50367.930098712059</v>
      </c>
      <c r="E47" s="9">
        <f t="shared" si="2"/>
        <v>46225.37419622657</v>
      </c>
      <c r="F47" s="9">
        <f t="shared" si="3"/>
        <v>73411.822809370264</v>
      </c>
      <c r="G47" s="9">
        <f t="shared" si="4"/>
        <v>215819.93755612476</v>
      </c>
      <c r="I47" s="5" t="s">
        <v>8</v>
      </c>
      <c r="J47" s="1">
        <v>13859052.906666666</v>
      </c>
      <c r="K47" s="1">
        <v>13182052.969999999</v>
      </c>
      <c r="L47" s="1">
        <v>15164061.99</v>
      </c>
      <c r="M47" s="1">
        <v>18268797.07</v>
      </c>
      <c r="N47" s="1">
        <v>14380442.43</v>
      </c>
      <c r="O47" s="1">
        <v>13067832.663333334</v>
      </c>
      <c r="P47" s="1">
        <v>16571957.210000001</v>
      </c>
    </row>
    <row r="48" spans="2:16" x14ac:dyDescent="0.25">
      <c r="B48" s="5" t="s">
        <v>9</v>
      </c>
      <c r="C48" s="9">
        <f t="shared" si="5"/>
        <v>32345.967360281273</v>
      </c>
      <c r="D48" s="9">
        <f t="shared" si="1"/>
        <v>36786.499756955411</v>
      </c>
      <c r="E48" s="9">
        <f t="shared" si="2"/>
        <v>36762.092711961392</v>
      </c>
      <c r="F48" s="9">
        <f t="shared" si="3"/>
        <v>63890.421189204804</v>
      </c>
      <c r="G48" s="9">
        <f t="shared" si="4"/>
        <v>169784.98101840288</v>
      </c>
      <c r="I48" s="5" t="s">
        <v>36</v>
      </c>
      <c r="J48" s="1">
        <f>10533321.53-521676.17</f>
        <v>10011645.359999999</v>
      </c>
      <c r="K48" s="1">
        <f>9770928.52-498326.85</f>
        <v>9272601.6699999999</v>
      </c>
      <c r="L48" s="1">
        <f>11291954.9033333-597851.76</f>
        <v>10694103.143333301</v>
      </c>
      <c r="M48" s="1">
        <f>13264812.8166667-547605.01</f>
        <v>12717207.8066667</v>
      </c>
      <c r="N48" s="1">
        <f>11544237.1966667-387027.05</f>
        <v>11157210.1466667</v>
      </c>
      <c r="O48" s="1">
        <f>11180541.1466667-477899.75</f>
        <v>10702641.3966667</v>
      </c>
      <c r="P48" s="1">
        <v>14425557.32</v>
      </c>
    </row>
    <row r="49" spans="2:17" x14ac:dyDescent="0.25">
      <c r="B49" s="5" t="s">
        <v>10</v>
      </c>
      <c r="C49" s="9">
        <f t="shared" si="5"/>
        <v>58071.127383300205</v>
      </c>
      <c r="D49" s="9">
        <f t="shared" si="1"/>
        <v>63670.1173318683</v>
      </c>
      <c r="E49" s="9">
        <f t="shared" si="2"/>
        <v>59777.363675308457</v>
      </c>
      <c r="F49" s="9">
        <f t="shared" si="3"/>
        <v>91827.89665682234</v>
      </c>
      <c r="G49" s="9">
        <f t="shared" si="4"/>
        <v>273346.50504729932</v>
      </c>
      <c r="I49" s="5" t="s">
        <v>10</v>
      </c>
      <c r="J49" s="1">
        <v>18748897.063333336</v>
      </c>
      <c r="K49" s="1">
        <v>17129325.633333333</v>
      </c>
      <c r="L49" s="1">
        <v>19245637.573333334</v>
      </c>
      <c r="M49" s="1">
        <v>21528019.036666665</v>
      </c>
      <c r="N49" s="1">
        <v>19300581.840000004</v>
      </c>
      <c r="O49" s="1">
        <v>17527089.033333335</v>
      </c>
      <c r="P49" s="1">
        <v>20536411.879999995</v>
      </c>
    </row>
    <row r="50" spans="2:17" x14ac:dyDescent="0.25">
      <c r="B50" s="5" t="s">
        <v>11</v>
      </c>
      <c r="C50" s="9">
        <f t="shared" si="5"/>
        <v>41584.534918876874</v>
      </c>
      <c r="D50" s="9">
        <f t="shared" si="1"/>
        <v>43254.301822519235</v>
      </c>
      <c r="E50" s="9">
        <f t="shared" si="2"/>
        <v>41436.995508277119</v>
      </c>
      <c r="F50" s="9">
        <f t="shared" si="3"/>
        <v>66277.087008358998</v>
      </c>
      <c r="G50" s="9">
        <f t="shared" si="4"/>
        <v>192552.91925803223</v>
      </c>
      <c r="I50" s="5" t="s">
        <v>11</v>
      </c>
      <c r="J50" s="1">
        <v>14140521.033333333</v>
      </c>
      <c r="K50" s="1">
        <v>13353558.856666667</v>
      </c>
      <c r="L50" s="1">
        <v>12718080.836666666</v>
      </c>
      <c r="M50" s="1">
        <v>14677986.843333334</v>
      </c>
      <c r="N50" s="1">
        <v>13051865.18</v>
      </c>
      <c r="O50" s="1">
        <v>13536461.9</v>
      </c>
      <c r="P50" s="1">
        <v>14307487.920000002</v>
      </c>
    </row>
    <row r="51" spans="2:17" x14ac:dyDescent="0.25">
      <c r="B51" s="5" t="s">
        <v>12</v>
      </c>
      <c r="C51" s="9">
        <f t="shared" si="5"/>
        <v>0</v>
      </c>
      <c r="D51" s="9">
        <f t="shared" si="1"/>
        <v>0</v>
      </c>
      <c r="E51" s="9">
        <f t="shared" si="2"/>
        <v>0</v>
      </c>
      <c r="F51" s="9">
        <f t="shared" si="3"/>
        <v>0</v>
      </c>
      <c r="G51" s="9">
        <f t="shared" si="4"/>
        <v>0</v>
      </c>
      <c r="I51" s="5" t="s">
        <v>24</v>
      </c>
      <c r="J51" s="1">
        <v>0</v>
      </c>
      <c r="K51" s="1">
        <v>0</v>
      </c>
      <c r="L51" s="1"/>
      <c r="M51" s="1"/>
      <c r="N51" s="1"/>
      <c r="O51" s="1"/>
      <c r="P51" s="1"/>
    </row>
    <row r="52" spans="2:17" x14ac:dyDescent="0.25">
      <c r="B52" s="5" t="s">
        <v>13</v>
      </c>
      <c r="C52" s="9">
        <v>0</v>
      </c>
      <c r="D52" s="9">
        <v>0</v>
      </c>
      <c r="E52" s="9">
        <v>0</v>
      </c>
      <c r="F52" s="9">
        <v>0</v>
      </c>
      <c r="G52" s="9">
        <f t="shared" si="4"/>
        <v>0</v>
      </c>
      <c r="I52" s="5" t="s">
        <v>78</v>
      </c>
      <c r="J52" s="1">
        <f>9261.88-899483.206666667</f>
        <v>-890221.32666666701</v>
      </c>
      <c r="K52" s="1">
        <f>9261.88-774452.92</f>
        <v>-765191.04</v>
      </c>
      <c r="L52" s="1">
        <f>9261.88-816189.623333333</f>
        <v>-806927.74333333294</v>
      </c>
      <c r="M52" s="1">
        <f>9261.88-1476854.41</f>
        <v>-1467592.53</v>
      </c>
      <c r="N52" s="1">
        <f>9261.88-1912061.97333333</f>
        <v>-1902800.09333333</v>
      </c>
      <c r="O52" s="1">
        <f>9261.88-2282540.23</f>
        <v>-2273278.35</v>
      </c>
      <c r="P52" s="1">
        <f>9261.88-2169237.525</f>
        <v>-2159975.645</v>
      </c>
    </row>
    <row r="53" spans="2:17" x14ac:dyDescent="0.25">
      <c r="B53" s="5" t="s">
        <v>14</v>
      </c>
      <c r="C53" s="9">
        <f t="shared" si="5"/>
        <v>47608.373934849813</v>
      </c>
      <c r="D53" s="9">
        <f t="shared" si="1"/>
        <v>51290.318108169893</v>
      </c>
      <c r="E53" s="9">
        <f t="shared" si="2"/>
        <v>49602.915480737975</v>
      </c>
      <c r="F53" s="9">
        <f t="shared" si="3"/>
        <v>73892.39365554761</v>
      </c>
      <c r="G53" s="9">
        <f t="shared" si="4"/>
        <v>222394.00117930528</v>
      </c>
      <c r="I53" s="5" t="s">
        <v>14</v>
      </c>
      <c r="J53" s="1">
        <v>15519584.5</v>
      </c>
      <c r="K53" s="1">
        <v>14411211.843333334</v>
      </c>
      <c r="L53" s="1">
        <v>15533396.466666667</v>
      </c>
      <c r="M53" s="1">
        <v>17377213.879999999</v>
      </c>
      <c r="N53" s="1">
        <v>15395883.109999999</v>
      </c>
      <c r="O53" s="1">
        <v>15179680.106666667</v>
      </c>
      <c r="P53" s="1">
        <v>16233630.465</v>
      </c>
    </row>
    <row r="54" spans="2:17" x14ac:dyDescent="0.25">
      <c r="B54" s="5" t="s">
        <v>15</v>
      </c>
      <c r="C54" s="9">
        <f t="shared" si="5"/>
        <v>20462.30905855625</v>
      </c>
      <c r="D54" s="9">
        <f t="shared" si="1"/>
        <v>22195.524304160786</v>
      </c>
      <c r="E54" s="9">
        <f t="shared" si="2"/>
        <v>20497.514940307196</v>
      </c>
      <c r="F54" s="9">
        <f t="shared" si="3"/>
        <v>30916.170396133293</v>
      </c>
      <c r="G54" s="9">
        <f t="shared" si="4"/>
        <v>94071.518699157532</v>
      </c>
      <c r="I54" s="5" t="s">
        <v>15</v>
      </c>
      <c r="J54" s="1">
        <v>6674624.5599999996</v>
      </c>
      <c r="K54" s="1">
        <v>6457936.0666666664</v>
      </c>
      <c r="L54" s="1">
        <v>6520829.1099999994</v>
      </c>
      <c r="M54" s="1">
        <v>7356150.3733333321</v>
      </c>
      <c r="N54" s="1">
        <v>6717023.8266666671</v>
      </c>
      <c r="O54" s="1">
        <v>6405646.5300000012</v>
      </c>
      <c r="P54" s="1">
        <v>6671699.5499999998</v>
      </c>
    </row>
    <row r="55" spans="2:17" x14ac:dyDescent="0.25">
      <c r="B55" s="5" t="s">
        <v>16</v>
      </c>
      <c r="C55" s="9">
        <f t="shared" si="5"/>
        <v>83009.793163650538</v>
      </c>
      <c r="D55" s="9">
        <f t="shared" si="1"/>
        <v>90890.427196821445</v>
      </c>
      <c r="E55" s="9">
        <f t="shared" si="2"/>
        <v>85440.387485426749</v>
      </c>
      <c r="F55" s="9">
        <f t="shared" si="3"/>
        <v>130455.08976567107</v>
      </c>
      <c r="G55" s="9">
        <f t="shared" si="4"/>
        <v>389795.69761156978</v>
      </c>
      <c r="I55" s="5" t="s">
        <v>16</v>
      </c>
      <c r="J55" s="1">
        <v>26113233.220000003</v>
      </c>
      <c r="K55" s="1">
        <v>26139615.75333333</v>
      </c>
      <c r="L55" s="1">
        <v>28219183.929999996</v>
      </c>
      <c r="M55" s="1">
        <v>29098022.536666673</v>
      </c>
      <c r="N55" s="1">
        <v>26823936.27</v>
      </c>
      <c r="O55" s="1">
        <v>26729999.443333331</v>
      </c>
      <c r="P55" s="1">
        <v>29849212.555</v>
      </c>
    </row>
    <row r="56" spans="2:17" x14ac:dyDescent="0.25">
      <c r="B56" s="5" t="s">
        <v>17</v>
      </c>
      <c r="C56" s="9">
        <f t="shared" si="5"/>
        <v>143627.02228682209</v>
      </c>
      <c r="D56" s="9">
        <f>($D$60*M76)-C56</f>
        <v>157222.82154803164</v>
      </c>
      <c r="E56" s="9">
        <f t="shared" si="2"/>
        <v>157037.8528040729</v>
      </c>
      <c r="F56" s="9">
        <f t="shared" si="3"/>
        <v>240864.58215153753</v>
      </c>
      <c r="G56" s="9">
        <f t="shared" si="4"/>
        <v>698752.27879046416</v>
      </c>
      <c r="I56" s="5" t="s">
        <v>47</v>
      </c>
      <c r="J56" s="1">
        <f>44834145.8-272693.74</f>
        <v>44561452.059999995</v>
      </c>
      <c r="K56" s="1">
        <f>42973376.3066667-272693.74</f>
        <v>42700682.5666667</v>
      </c>
      <c r="L56" s="1">
        <f>47454932.6566667-386984.95</f>
        <v>47067947.706666701</v>
      </c>
      <c r="M56" s="1">
        <f>55639603.5833333-386984.95</f>
        <v>55252618.633333296</v>
      </c>
      <c r="N56" s="1">
        <f>46153009.9233333-386984.95</f>
        <v>45766024.973333299</v>
      </c>
      <c r="O56" s="1">
        <f>48052737.7766667-386984.95</f>
        <v>47665752.826666698</v>
      </c>
      <c r="P56" s="1">
        <f>53373489.32-386984.95</f>
        <v>52986504.369999997</v>
      </c>
    </row>
    <row r="57" spans="2:17" x14ac:dyDescent="0.25">
      <c r="B57" s="5" t="s">
        <v>18</v>
      </c>
      <c r="C57" s="9">
        <f t="shared" si="5"/>
        <v>14515.722829743985</v>
      </c>
      <c r="D57" s="9">
        <f t="shared" si="1"/>
        <v>19241.977191788632</v>
      </c>
      <c r="E57" s="9">
        <f>($E$60*O77)-D57-C57</f>
        <v>23697.018778876693</v>
      </c>
      <c r="F57" s="9">
        <f>($F$60*Q77)-E57-D57-C57</f>
        <v>35889.447345384448</v>
      </c>
      <c r="G57" s="9">
        <f t="shared" si="4"/>
        <v>93344.166145793759</v>
      </c>
      <c r="I57" s="5" t="s">
        <v>18</v>
      </c>
      <c r="J57" s="1">
        <v>5731373.3999999985</v>
      </c>
      <c r="K57" s="1">
        <v>5345121.1500000004</v>
      </c>
      <c r="L57" s="1">
        <v>4499067.9733333336</v>
      </c>
      <c r="M57" s="1">
        <v>3584689.4733333341</v>
      </c>
      <c r="N57" s="1">
        <v>7978942.2533333329</v>
      </c>
      <c r="O57" s="1">
        <v>8499864.3733333331</v>
      </c>
      <c r="P57" s="1">
        <v>6877098.79</v>
      </c>
    </row>
    <row r="58" spans="2:17" x14ac:dyDescent="0.25">
      <c r="B58" s="5" t="s">
        <v>19</v>
      </c>
      <c r="C58" s="9">
        <f t="shared" si="5"/>
        <v>116227.49005588474</v>
      </c>
      <c r="D58" s="9">
        <f t="shared" si="1"/>
        <v>108918.3082787819</v>
      </c>
      <c r="E58" s="9">
        <f t="shared" si="2"/>
        <v>89372.7258431542</v>
      </c>
      <c r="F58" s="9">
        <f t="shared" si="3"/>
        <v>147351.02053714381</v>
      </c>
      <c r="G58" s="9">
        <f t="shared" si="4"/>
        <v>461869.54471496464</v>
      </c>
      <c r="I58" s="5" t="s">
        <v>19</v>
      </c>
      <c r="J58" s="1">
        <v>42978313.279999994</v>
      </c>
      <c r="K58" s="1">
        <v>38960818.07</v>
      </c>
      <c r="L58" s="1">
        <v>35515997.233333327</v>
      </c>
      <c r="M58" s="1">
        <v>35961137.663333334</v>
      </c>
      <c r="N58" s="1">
        <v>32340758.640000001</v>
      </c>
      <c r="O58" s="1">
        <v>30642453.039999995</v>
      </c>
      <c r="P58" s="1">
        <v>34358467.640000001</v>
      </c>
    </row>
    <row r="59" spans="2:17" x14ac:dyDescent="0.25">
      <c r="B59" s="8" t="s">
        <v>23</v>
      </c>
      <c r="C59" s="9">
        <f>$C$21-(C18+C19+C20)</f>
        <v>671256.34712491301</v>
      </c>
      <c r="D59" s="9">
        <f>$D$21-(D18+D19+D20)</f>
        <v>720988.35570362885</v>
      </c>
      <c r="E59" s="9">
        <f>$E$21-(E18+E19+E20)</f>
        <v>696341.94000000006</v>
      </c>
      <c r="F59" s="9">
        <f>$F$21-(F18+F19+F20)</f>
        <v>1095343.6399999999</v>
      </c>
      <c r="G59" s="9">
        <f t="shared" si="4"/>
        <v>3183930.2828285415</v>
      </c>
      <c r="I59" s="8" t="s">
        <v>23</v>
      </c>
      <c r="J59" s="1">
        <f t="shared" ref="J59:P59" si="6">SUM(J45:J58)-J52</f>
        <v>219514224.37666667</v>
      </c>
      <c r="K59" s="1">
        <f t="shared" si="6"/>
        <v>205554541.91333333</v>
      </c>
      <c r="L59" s="1">
        <f t="shared" si="6"/>
        <v>215189127.61666664</v>
      </c>
      <c r="M59" s="1">
        <f t="shared" si="6"/>
        <v>245777263.70333332</v>
      </c>
      <c r="N59" s="1">
        <f t="shared" si="6"/>
        <v>216386526.65000001</v>
      </c>
      <c r="O59" s="1">
        <f t="shared" si="6"/>
        <v>215542292.52433342</v>
      </c>
      <c r="P59" s="1">
        <f t="shared" si="6"/>
        <v>241226288.03999999</v>
      </c>
    </row>
    <row r="60" spans="2:17" x14ac:dyDescent="0.25">
      <c r="B60" s="8" t="s">
        <v>133</v>
      </c>
      <c r="D60" s="9">
        <f>C59+D59</f>
        <v>1392244.7028285419</v>
      </c>
      <c r="E60" s="9">
        <f>E59+D60</f>
        <v>2088586.6428285418</v>
      </c>
      <c r="F60" s="9">
        <f>F59+E60</f>
        <v>3183930.2828285415</v>
      </c>
      <c r="G60" s="9"/>
      <c r="I60" s="8"/>
      <c r="J60" s="1"/>
      <c r="K60" s="1"/>
      <c r="L60" s="1"/>
      <c r="M60" s="1"/>
      <c r="N60" s="1"/>
      <c r="O60" s="1"/>
      <c r="P60" s="1"/>
    </row>
    <row r="63" spans="2:17" ht="15.75" x14ac:dyDescent="0.25">
      <c r="B63" s="39" t="s">
        <v>106</v>
      </c>
      <c r="C63" s="39"/>
      <c r="D63" s="39"/>
      <c r="E63" s="39"/>
      <c r="F63" s="39"/>
      <c r="G63" s="39"/>
      <c r="I63" s="38" t="s">
        <v>113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7">C45-C4</f>
        <v>-535.54693124289042</v>
      </c>
      <c r="D65" s="9">
        <f t="shared" si="7"/>
        <v>142.7317763710671</v>
      </c>
      <c r="E65" s="9">
        <f t="shared" si="7"/>
        <v>739.91208064162493</v>
      </c>
      <c r="F65" s="9">
        <f t="shared" si="7"/>
        <v>24.884401186456671</v>
      </c>
      <c r="G65" s="9">
        <f t="shared" ref="G65:G79" si="8">SUM(C65+D65+E65+F65)</f>
        <v>371.98132695625827</v>
      </c>
      <c r="I65" t="s">
        <v>6</v>
      </c>
      <c r="J65" s="17">
        <f t="shared" ref="J65:J78" si="9">AVERAGE(J45:M45)</f>
        <v>12353273.466666665</v>
      </c>
      <c r="K65" s="19">
        <f>J65/$J$79</f>
        <v>5.5768773329439913E-2</v>
      </c>
      <c r="L65" s="1">
        <f t="shared" ref="L65:L78" si="10">AVERAGE(K45:N45)</f>
        <v>12371454.345833331</v>
      </c>
      <c r="M65" s="19">
        <f>L65/$L$79</f>
        <v>5.6048702306663423E-2</v>
      </c>
      <c r="N65" s="1">
        <f t="shared" ref="N65:N70" si="11">AVERAGE(L45:O45)</f>
        <v>12853570.923583332</v>
      </c>
      <c r="O65" s="19">
        <f>N65/$N$79</f>
        <v>5.7581542705183564E-2</v>
      </c>
      <c r="P65" s="1">
        <f t="shared" ref="P65:P70" si="12">AVERAGE(M45:P45)</f>
        <v>13148465.149833333</v>
      </c>
      <c r="Q65" s="19">
        <f>P65/$P$79</f>
        <v>5.7233657518030306E-2</v>
      </c>
    </row>
    <row r="66" spans="2:17" x14ac:dyDescent="0.25">
      <c r="B66" s="5" t="s">
        <v>7</v>
      </c>
      <c r="C66" s="9">
        <f t="shared" si="7"/>
        <v>1899.549913191524</v>
      </c>
      <c r="D66" s="9">
        <f t="shared" si="7"/>
        <v>-5780.9356388127417</v>
      </c>
      <c r="E66" s="9">
        <f t="shared" si="7"/>
        <v>4228.4664950087317</v>
      </c>
      <c r="F66" s="9">
        <f t="shared" si="7"/>
        <v>188.56408363903756</v>
      </c>
      <c r="G66" s="9">
        <f t="shared" si="8"/>
        <v>535.64485302655157</v>
      </c>
      <c r="I66" t="s">
        <v>7</v>
      </c>
      <c r="J66" s="17">
        <f t="shared" si="9"/>
        <v>10082573.125</v>
      </c>
      <c r="K66" s="19">
        <f t="shared" ref="K66:K78" si="13">J66/$J$79</f>
        <v>4.5517711293519468E-2</v>
      </c>
      <c r="L66" s="1">
        <f t="shared" si="10"/>
        <v>10638974.9925</v>
      </c>
      <c r="M66" s="19">
        <f t="shared" ref="M66:M78" si="14">L66/$L$79</f>
        <v>4.8199728627984752E-2</v>
      </c>
      <c r="N66" s="1">
        <f t="shared" si="11"/>
        <v>11902671.884166667</v>
      </c>
      <c r="O66" s="19">
        <f t="shared" ref="O66:O78" si="15">N66/$N$79</f>
        <v>5.332169663034475E-2</v>
      </c>
      <c r="P66" s="1">
        <f t="shared" si="12"/>
        <v>13707137.329583332</v>
      </c>
      <c r="Q66" s="19">
        <f t="shared" ref="Q66:Q78" si="16">P66/$P$79</f>
        <v>5.9665489053977158E-2</v>
      </c>
    </row>
    <row r="67" spans="2:17" x14ac:dyDescent="0.25">
      <c r="B67" s="5" t="s">
        <v>8</v>
      </c>
      <c r="C67" s="9">
        <f t="shared" si="7"/>
        <v>-952.97553604051791</v>
      </c>
      <c r="D67" s="9">
        <f t="shared" si="7"/>
        <v>65.668367958052841</v>
      </c>
      <c r="E67" s="9">
        <f t="shared" si="7"/>
        <v>1257.2841962265738</v>
      </c>
      <c r="F67" s="9">
        <f t="shared" si="7"/>
        <v>321.01280937026604</v>
      </c>
      <c r="G67" s="9">
        <f t="shared" si="8"/>
        <v>690.98983751437481</v>
      </c>
      <c r="I67" t="s">
        <v>8</v>
      </c>
      <c r="J67" s="17">
        <f t="shared" si="9"/>
        <v>15118491.234166667</v>
      </c>
      <c r="K67" s="19">
        <f t="shared" si="13"/>
        <v>6.825233109235726E-2</v>
      </c>
      <c r="L67" s="1">
        <f t="shared" si="10"/>
        <v>15248838.615</v>
      </c>
      <c r="M67" s="19">
        <f t="shared" si="14"/>
        <v>6.9084651825299881E-2</v>
      </c>
      <c r="N67" s="1">
        <f t="shared" si="11"/>
        <v>15220283.538333334</v>
      </c>
      <c r="O67" s="19">
        <f t="shared" si="15"/>
        <v>6.8183963177076201E-2</v>
      </c>
      <c r="P67" s="1">
        <f t="shared" si="12"/>
        <v>15572257.343333334</v>
      </c>
      <c r="Q67" s="19">
        <f t="shared" si="16"/>
        <v>6.778412791262331E-2</v>
      </c>
    </row>
    <row r="68" spans="2:17" x14ac:dyDescent="0.25">
      <c r="B68" s="5" t="s">
        <v>9</v>
      </c>
      <c r="C68" s="9">
        <f t="shared" si="7"/>
        <v>-1105.5702218134211</v>
      </c>
      <c r="D68" s="9">
        <f t="shared" si="7"/>
        <v>-200.87592469452647</v>
      </c>
      <c r="E68" s="9">
        <f t="shared" si="7"/>
        <v>202.31271196139278</v>
      </c>
      <c r="F68" s="9">
        <f t="shared" si="7"/>
        <v>1454.3611892048066</v>
      </c>
      <c r="G68" s="9">
        <f t="shared" si="8"/>
        <v>350.2277546582518</v>
      </c>
      <c r="I68" s="5" t="s">
        <v>9</v>
      </c>
      <c r="J68" s="9">
        <f t="shared" si="9"/>
        <v>10673889.495000001</v>
      </c>
      <c r="K68" s="7">
        <f t="shared" si="13"/>
        <v>4.8187205229155268E-2</v>
      </c>
      <c r="L68" s="1">
        <f t="shared" si="10"/>
        <v>10960280.691666676</v>
      </c>
      <c r="M68" s="19">
        <f t="shared" si="14"/>
        <v>4.9655399641158129E-2</v>
      </c>
      <c r="N68" s="1">
        <f t="shared" si="11"/>
        <v>11317790.62333335</v>
      </c>
      <c r="O68" s="19">
        <f t="shared" si="15"/>
        <v>5.0701540294151574E-2</v>
      </c>
      <c r="P68" s="1">
        <f t="shared" si="12"/>
        <v>12250654.167500025</v>
      </c>
      <c r="Q68" s="19">
        <f t="shared" si="16"/>
        <v>5.3325596334216595E-2</v>
      </c>
    </row>
    <row r="69" spans="2:17" x14ac:dyDescent="0.25">
      <c r="B69" s="5" t="s">
        <v>10</v>
      </c>
      <c r="C69" s="9">
        <f t="shared" si="7"/>
        <v>-129.2752329215873</v>
      </c>
      <c r="D69" s="9">
        <f t="shared" si="7"/>
        <v>-568.64363013152615</v>
      </c>
      <c r="E69" s="9">
        <f t="shared" si="7"/>
        <v>1133.8636753084575</v>
      </c>
      <c r="F69" s="9">
        <f t="shared" si="7"/>
        <v>4.7466568223462673</v>
      </c>
      <c r="G69" s="9">
        <f t="shared" si="8"/>
        <v>440.69146907769027</v>
      </c>
      <c r="I69" s="5" t="s">
        <v>10</v>
      </c>
      <c r="J69" s="9">
        <f t="shared" si="9"/>
        <v>19162969.826666668</v>
      </c>
      <c r="K69" s="7">
        <f t="shared" si="13"/>
        <v>8.6511103592580019E-2</v>
      </c>
      <c r="L69" s="1">
        <f t="shared" si="10"/>
        <v>19300891.020833332</v>
      </c>
      <c r="M69" s="19">
        <f t="shared" si="14"/>
        <v>8.7442419043027395E-2</v>
      </c>
      <c r="N69" s="1">
        <f t="shared" si="11"/>
        <v>19400331.870833334</v>
      </c>
      <c r="O69" s="19">
        <f t="shared" si="15"/>
        <v>8.6909781317307006E-2</v>
      </c>
      <c r="P69" s="1">
        <f t="shared" si="12"/>
        <v>19723025.447499998</v>
      </c>
      <c r="Q69" s="19">
        <f t="shared" si="16"/>
        <v>8.5851912814015399E-2</v>
      </c>
    </row>
    <row r="70" spans="2:17" x14ac:dyDescent="0.25">
      <c r="B70" s="5" t="s">
        <v>11</v>
      </c>
      <c r="C70" s="9">
        <f t="shared" si="7"/>
        <v>2226.6055277319465</v>
      </c>
      <c r="D70" s="9">
        <f t="shared" si="7"/>
        <v>-91.222258233137836</v>
      </c>
      <c r="E70" s="9">
        <f t="shared" si="7"/>
        <v>-1770.9344917228809</v>
      </c>
      <c r="F70" s="9">
        <f t="shared" si="7"/>
        <v>28.617008358996827</v>
      </c>
      <c r="G70" s="9">
        <f t="shared" si="8"/>
        <v>393.06578613492456</v>
      </c>
      <c r="I70" s="5" t="s">
        <v>11</v>
      </c>
      <c r="J70" s="9">
        <f t="shared" si="9"/>
        <v>13722536.8925</v>
      </c>
      <c r="K70" s="7">
        <f t="shared" si="13"/>
        <v>6.1950304227273809E-2</v>
      </c>
      <c r="L70" s="1">
        <f t="shared" si="10"/>
        <v>13450372.929166667</v>
      </c>
      <c r="M70" s="19">
        <f t="shared" si="14"/>
        <v>6.0936727982540725E-2</v>
      </c>
      <c r="N70" s="1">
        <f t="shared" si="11"/>
        <v>13496098.689999999</v>
      </c>
      <c r="O70" s="19">
        <f t="shared" si="15"/>
        <v>6.0459944375905683E-2</v>
      </c>
      <c r="P70" s="1">
        <f t="shared" si="12"/>
        <v>13893450.460833333</v>
      </c>
      <c r="Q70" s="19">
        <f t="shared" si="16"/>
        <v>6.0476487282558201E-2</v>
      </c>
    </row>
    <row r="71" spans="2:17" x14ac:dyDescent="0.25">
      <c r="B71" s="5" t="s">
        <v>12</v>
      </c>
      <c r="C71" s="9">
        <f t="shared" si="7"/>
        <v>0</v>
      </c>
      <c r="D71" s="9">
        <f t="shared" si="7"/>
        <v>0</v>
      </c>
      <c r="E71" s="9">
        <f t="shared" si="7"/>
        <v>0</v>
      </c>
      <c r="F71" s="9">
        <f t="shared" si="7"/>
        <v>0</v>
      </c>
      <c r="G71" s="9">
        <f t="shared" si="8"/>
        <v>0</v>
      </c>
      <c r="I71" s="5" t="s">
        <v>12</v>
      </c>
      <c r="J71" s="9">
        <f t="shared" si="9"/>
        <v>0</v>
      </c>
      <c r="K71" s="7">
        <f t="shared" si="13"/>
        <v>0</v>
      </c>
      <c r="L71" s="1">
        <f t="shared" si="10"/>
        <v>0</v>
      </c>
      <c r="M71" s="19">
        <f t="shared" si="14"/>
        <v>0</v>
      </c>
      <c r="N71" s="1">
        <v>0</v>
      </c>
      <c r="O71" s="19">
        <f t="shared" si="15"/>
        <v>0</v>
      </c>
      <c r="P71" s="1">
        <v>0</v>
      </c>
      <c r="Q71" s="19">
        <f t="shared" si="16"/>
        <v>0</v>
      </c>
    </row>
    <row r="72" spans="2:17" x14ac:dyDescent="0.25">
      <c r="B72" s="5" t="s">
        <v>13</v>
      </c>
      <c r="C72" s="9">
        <f t="shared" si="7"/>
        <v>0</v>
      </c>
      <c r="D72" s="9">
        <f t="shared" si="7"/>
        <v>0</v>
      </c>
      <c r="E72" s="9">
        <f t="shared" si="7"/>
        <v>0</v>
      </c>
      <c r="F72" s="9">
        <f t="shared" si="7"/>
        <v>0</v>
      </c>
      <c r="G72" s="9">
        <f t="shared" si="8"/>
        <v>0</v>
      </c>
      <c r="I72" s="5" t="s">
        <v>13</v>
      </c>
      <c r="J72" s="9">
        <f t="shared" si="9"/>
        <v>-982483.16000000015</v>
      </c>
      <c r="K72" s="7">
        <f t="shared" si="13"/>
        <v>-4.4354138842533511E-3</v>
      </c>
      <c r="L72" s="1">
        <f t="shared" si="10"/>
        <v>-1235627.8516666656</v>
      </c>
      <c r="M72" s="19">
        <f t="shared" si="14"/>
        <v>-5.5979948423131023E-3</v>
      </c>
      <c r="N72" s="1">
        <f t="shared" ref="N72:N78" si="17">AVERAGE(L52:O52)</f>
        <v>-1612649.6791666658</v>
      </c>
      <c r="O72" s="19">
        <f t="shared" si="15"/>
        <v>-7.2243625465248252E-3</v>
      </c>
      <c r="P72" s="1">
        <f t="shared" ref="P72:P78" si="18">AVERAGE(M52:P52)</f>
        <v>-1950911.6545833326</v>
      </c>
      <c r="Q72" s="19">
        <f t="shared" si="16"/>
        <v>-8.4920793578535398E-3</v>
      </c>
    </row>
    <row r="73" spans="2:17" x14ac:dyDescent="0.25">
      <c r="B73" s="5" t="s">
        <v>14</v>
      </c>
      <c r="C73" s="9">
        <f t="shared" si="7"/>
        <v>-775.43850327171094</v>
      </c>
      <c r="D73" s="9">
        <f t="shared" si="7"/>
        <v>-0.4428347045177361</v>
      </c>
      <c r="E73" s="9">
        <f t="shared" si="7"/>
        <v>629.74548073797632</v>
      </c>
      <c r="F73" s="9">
        <f t="shared" si="7"/>
        <v>-507.87634445239382</v>
      </c>
      <c r="G73" s="9">
        <f t="shared" si="8"/>
        <v>-654.01220169064618</v>
      </c>
      <c r="I73" s="5" t="s">
        <v>14</v>
      </c>
      <c r="J73" s="9">
        <f t="shared" si="9"/>
        <v>15710351.672499999</v>
      </c>
      <c r="K73" s="7">
        <f t="shared" si="13"/>
        <v>7.0924281220972121E-2</v>
      </c>
      <c r="L73" s="1">
        <f t="shared" si="10"/>
        <v>15679426.324999999</v>
      </c>
      <c r="M73" s="19">
        <f t="shared" si="14"/>
        <v>7.1035423472679077E-2</v>
      </c>
      <c r="N73" s="1">
        <f t="shared" si="17"/>
        <v>15871543.390833333</v>
      </c>
      <c r="O73" s="19">
        <f t="shared" si="15"/>
        <v>7.1101482925622919E-2</v>
      </c>
      <c r="P73" s="1">
        <f t="shared" si="18"/>
        <v>16046601.890416667</v>
      </c>
      <c r="Q73" s="19">
        <f t="shared" si="16"/>
        <v>6.9848891597505333E-2</v>
      </c>
    </row>
    <row r="74" spans="2:17" x14ac:dyDescent="0.25">
      <c r="B74" s="5" t="s">
        <v>15</v>
      </c>
      <c r="C74" s="9">
        <f t="shared" si="7"/>
        <v>-292.73195036156903</v>
      </c>
      <c r="D74" s="9">
        <f t="shared" si="7"/>
        <v>77.997159564638423</v>
      </c>
      <c r="E74" s="9">
        <f t="shared" si="7"/>
        <v>397.0049403071971</v>
      </c>
      <c r="F74" s="9">
        <f t="shared" si="7"/>
        <v>174.96039613329413</v>
      </c>
      <c r="G74" s="9">
        <f t="shared" si="8"/>
        <v>357.23054564356062</v>
      </c>
      <c r="I74" s="5" t="s">
        <v>15</v>
      </c>
      <c r="J74" s="9">
        <f t="shared" si="9"/>
        <v>6752385.0274999989</v>
      </c>
      <c r="K74" s="7">
        <f t="shared" si="13"/>
        <v>3.0483598622492357E-2</v>
      </c>
      <c r="L74" s="1">
        <f t="shared" si="10"/>
        <v>6762984.8441666663</v>
      </c>
      <c r="M74" s="19">
        <f t="shared" si="14"/>
        <v>3.0639609025663105E-2</v>
      </c>
      <c r="N74" s="1">
        <f t="shared" si="17"/>
        <v>6749912.46</v>
      </c>
      <c r="O74" s="19">
        <f t="shared" si="15"/>
        <v>3.0238318587297815E-2</v>
      </c>
      <c r="P74" s="1">
        <f t="shared" si="18"/>
        <v>6787630.0700000003</v>
      </c>
      <c r="Q74" s="19">
        <f t="shared" si="16"/>
        <v>2.9545721904308229E-2</v>
      </c>
    </row>
    <row r="75" spans="2:17" x14ac:dyDescent="0.25">
      <c r="B75" s="5" t="s">
        <v>16</v>
      </c>
      <c r="C75" s="9">
        <f t="shared" si="7"/>
        <v>-1235.5109051954059</v>
      </c>
      <c r="D75" s="9">
        <f t="shared" si="7"/>
        <v>360.11652871302795</v>
      </c>
      <c r="E75" s="9">
        <f t="shared" si="7"/>
        <v>1623.8874854267488</v>
      </c>
      <c r="F75" s="9">
        <f t="shared" si="7"/>
        <v>47.199765671073692</v>
      </c>
      <c r="G75" s="9">
        <f t="shared" si="8"/>
        <v>795.69287461544445</v>
      </c>
      <c r="I75" s="5" t="s">
        <v>16</v>
      </c>
      <c r="J75" s="9">
        <f t="shared" si="9"/>
        <v>27392513.859999999</v>
      </c>
      <c r="K75" s="7">
        <f t="shared" si="13"/>
        <v>0.12366332701239006</v>
      </c>
      <c r="L75" s="1">
        <f t="shared" si="10"/>
        <v>27570189.622499999</v>
      </c>
      <c r="M75" s="19">
        <f t="shared" si="14"/>
        <v>0.12490636165263844</v>
      </c>
      <c r="N75" s="1">
        <f t="shared" si="17"/>
        <v>27717785.544999998</v>
      </c>
      <c r="O75" s="19">
        <f t="shared" si="15"/>
        <v>0.12417038514364795</v>
      </c>
      <c r="P75" s="1">
        <f t="shared" si="18"/>
        <v>28125292.701250002</v>
      </c>
      <c r="Q75" s="19">
        <f t="shared" si="16"/>
        <v>0.12242595251340833</v>
      </c>
    </row>
    <row r="76" spans="2:17" x14ac:dyDescent="0.25">
      <c r="B76" s="5" t="s">
        <v>17</v>
      </c>
      <c r="C76" s="9">
        <f t="shared" si="7"/>
        <v>1916.9687943578465</v>
      </c>
      <c r="D76" s="9">
        <f t="shared" si="7"/>
        <v>4543.003043336852</v>
      </c>
      <c r="E76" s="9">
        <f t="shared" si="7"/>
        <v>-9078.5771959270933</v>
      </c>
      <c r="F76" s="9">
        <f t="shared" si="7"/>
        <v>-1796.2778484624578</v>
      </c>
      <c r="G76" s="9">
        <f t="shared" si="8"/>
        <v>-4414.8832066948526</v>
      </c>
      <c r="I76" s="5" t="s">
        <v>17</v>
      </c>
      <c r="J76" s="9">
        <f t="shared" si="9"/>
        <v>47395675.241666675</v>
      </c>
      <c r="K76" s="7">
        <f t="shared" si="13"/>
        <v>0.21396746995689081</v>
      </c>
      <c r="L76" s="1">
        <f t="shared" si="10"/>
        <v>47696818.469999999</v>
      </c>
      <c r="M76" s="19">
        <f t="shared" si="14"/>
        <v>0.21608977446539016</v>
      </c>
      <c r="N76" s="1">
        <f t="shared" si="17"/>
        <v>48938086.034999996</v>
      </c>
      <c r="O76" s="19">
        <f t="shared" si="15"/>
        <v>0.21923327826075539</v>
      </c>
      <c r="P76" s="1">
        <f t="shared" si="18"/>
        <v>50417725.200833321</v>
      </c>
      <c r="Q76" s="19">
        <f t="shared" si="16"/>
        <v>0.2194621793570512</v>
      </c>
    </row>
    <row r="77" spans="2:17" x14ac:dyDescent="0.25">
      <c r="B77" s="5" t="s">
        <v>18</v>
      </c>
      <c r="C77" s="9">
        <f t="shared" si="7"/>
        <v>635.92584035177788</v>
      </c>
      <c r="D77" s="9">
        <f t="shared" si="7"/>
        <v>933.96153478475026</v>
      </c>
      <c r="E77" s="9">
        <f t="shared" si="7"/>
        <v>-1404.0612211233092</v>
      </c>
      <c r="F77" s="9">
        <f t="shared" si="7"/>
        <v>24.72734538444638</v>
      </c>
      <c r="G77" s="9">
        <f t="shared" si="8"/>
        <v>190.55349939766529</v>
      </c>
      <c r="I77" s="5" t="s">
        <v>18</v>
      </c>
      <c r="J77" s="9">
        <f t="shared" si="9"/>
        <v>4790062.9991666665</v>
      </c>
      <c r="K77" s="7">
        <f t="shared" si="13"/>
        <v>2.16247084916469E-2</v>
      </c>
      <c r="L77" s="1">
        <f t="shared" si="10"/>
        <v>5351955.2125000004</v>
      </c>
      <c r="M77" s="19">
        <f t="shared" si="14"/>
        <v>2.4246958852096247E-2</v>
      </c>
      <c r="N77" s="1">
        <f t="shared" si="17"/>
        <v>6140641.0183333326</v>
      </c>
      <c r="O77" s="19">
        <f t="shared" si="15"/>
        <v>2.7508898899496571E-2</v>
      </c>
      <c r="P77" s="1">
        <f t="shared" si="18"/>
        <v>6735148.7225000001</v>
      </c>
      <c r="Q77" s="19">
        <f t="shared" si="16"/>
        <v>2.9317277029969582E-2</v>
      </c>
    </row>
    <row r="78" spans="2:17" x14ac:dyDescent="0.25">
      <c r="B78" s="5" t="s">
        <v>19</v>
      </c>
      <c r="C78" s="9">
        <f t="shared" si="7"/>
        <v>-1652.000794786014</v>
      </c>
      <c r="D78" s="9">
        <f t="shared" si="7"/>
        <v>518.64187584815954</v>
      </c>
      <c r="E78" s="9">
        <f t="shared" si="7"/>
        <v>2041.0958431541949</v>
      </c>
      <c r="F78" s="9">
        <f t="shared" si="7"/>
        <v>35.080537143803667</v>
      </c>
      <c r="G78" s="9">
        <f t="shared" si="8"/>
        <v>942.81746136014408</v>
      </c>
      <c r="I78" s="5" t="s">
        <v>19</v>
      </c>
      <c r="J78" s="17">
        <f t="shared" si="9"/>
        <v>38354066.56166666</v>
      </c>
      <c r="K78" s="19">
        <f t="shared" si="13"/>
        <v>0.17314918593128201</v>
      </c>
      <c r="L78" s="1">
        <f t="shared" si="10"/>
        <v>35694677.901666671</v>
      </c>
      <c r="M78" s="19">
        <f t="shared" si="14"/>
        <v>0.16171424310485874</v>
      </c>
      <c r="N78" s="1">
        <f t="shared" si="17"/>
        <v>33615086.644166663</v>
      </c>
      <c r="O78" s="19">
        <f t="shared" si="15"/>
        <v>0.15058916768321043</v>
      </c>
      <c r="P78" s="1">
        <f t="shared" si="18"/>
        <v>33325704.245833334</v>
      </c>
      <c r="Q78" s="19">
        <f t="shared" si="16"/>
        <v>0.14506270668233626</v>
      </c>
    </row>
    <row r="79" spans="2:17" x14ac:dyDescent="0.25">
      <c r="B79" s="8" t="s">
        <v>23</v>
      </c>
      <c r="C79" s="9">
        <f>SUM(C65:C78)</f>
        <v>-2.1827872842550278E-11</v>
      </c>
      <c r="D79" s="9">
        <f>SUM(D65:D78)</f>
        <v>9.822542779147625E-11</v>
      </c>
      <c r="E79" s="9">
        <f>SUM(E65:E78)</f>
        <v>-3.8562575355172157E-10</v>
      </c>
      <c r="F79" s="9">
        <f>SUM(F65:F78)</f>
        <v>-3.2378011383116245E-10</v>
      </c>
      <c r="G79" s="9">
        <f t="shared" si="8"/>
        <v>-6.3300831243395805E-10</v>
      </c>
      <c r="I79" s="18" t="s">
        <v>23</v>
      </c>
      <c r="J79" s="1">
        <f>SUM(J65:J78)-J72</f>
        <v>221508789.4025</v>
      </c>
      <c r="K79" s="10">
        <f t="shared" ref="K79:P79" si="19">SUM(K65:K78)-K72</f>
        <v>1</v>
      </c>
      <c r="L79" s="1">
        <f t="shared" si="19"/>
        <v>220726864.97083333</v>
      </c>
      <c r="M79" s="10">
        <f t="shared" si="19"/>
        <v>1</v>
      </c>
      <c r="N79" s="1">
        <f t="shared" si="19"/>
        <v>223223802.62358338</v>
      </c>
      <c r="O79" s="10">
        <f t="shared" si="19"/>
        <v>0.99999999999999989</v>
      </c>
      <c r="P79" s="1">
        <f t="shared" si="19"/>
        <v>229733092.7294167</v>
      </c>
      <c r="Q79" s="10">
        <f>SUM(Q65:Q78)-Q72</f>
        <v>0.99999999999999989</v>
      </c>
    </row>
    <row r="82" spans="9:17" ht="15.75" x14ac:dyDescent="0.25">
      <c r="I82" s="38" t="s">
        <v>180</v>
      </c>
      <c r="J82" s="38"/>
      <c r="K82" s="38"/>
      <c r="L82" s="38"/>
      <c r="M82" s="38"/>
      <c r="N82" s="38"/>
      <c r="O82" s="38"/>
      <c r="P82" s="38"/>
      <c r="Q82" s="38"/>
    </row>
    <row r="83" spans="9:17" x14ac:dyDescent="0.25">
      <c r="I83"/>
      <c r="J83"/>
      <c r="K83"/>
      <c r="L83"/>
      <c r="M83"/>
      <c r="N83"/>
      <c r="O83"/>
      <c r="P83"/>
      <c r="Q83"/>
    </row>
    <row r="84" spans="9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9:17" x14ac:dyDescent="0.25">
      <c r="I85" s="18" t="s">
        <v>159</v>
      </c>
      <c r="J85" t="s">
        <v>177</v>
      </c>
      <c r="K85"/>
      <c r="L85"/>
      <c r="M85"/>
      <c r="N85"/>
      <c r="O85"/>
      <c r="P85"/>
      <c r="Q85"/>
    </row>
    <row r="86" spans="9:17" x14ac:dyDescent="0.25">
      <c r="I86" s="18" t="s">
        <v>160</v>
      </c>
      <c r="J86" t="s">
        <v>161</v>
      </c>
      <c r="K86"/>
      <c r="L86"/>
      <c r="M86"/>
      <c r="N86"/>
      <c r="O86"/>
      <c r="P86"/>
      <c r="Q86"/>
    </row>
    <row r="87" spans="9:17" x14ac:dyDescent="0.25">
      <c r="I87" s="18" t="s">
        <v>162</v>
      </c>
      <c r="J87" s="5" t="s">
        <v>171</v>
      </c>
      <c r="K87"/>
      <c r="L87"/>
      <c r="M87"/>
      <c r="N87"/>
      <c r="O87"/>
      <c r="P87"/>
      <c r="Q87"/>
    </row>
  </sheetData>
  <sheetProtection algorithmName="SHA-512" hashValue="iXVvaO2qVYzEI52hbJsHtmMBlPUtIWdm3MYbFNSlbcF1H48Eq+CPak7Nmb1CjjyGDiyHlNJrRwWXTRklkQLLLA==" saltValue="HqMoL1gCr3kmzQ04hSiAaQ==" spinCount="100000" sheet="1" objects="1" scenarios="1"/>
  <mergeCells count="8">
    <mergeCell ref="I2:N2"/>
    <mergeCell ref="B2:G2"/>
    <mergeCell ref="B43:G43"/>
    <mergeCell ref="I82:Q82"/>
    <mergeCell ref="B63:G63"/>
    <mergeCell ref="I43:P43"/>
    <mergeCell ref="I63:Q63"/>
    <mergeCell ref="I24:N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F014-49C7-4306-B75F-4B767072BE31}">
  <dimension ref="B2:Q88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1.140625" style="5" bestFit="1" customWidth="1"/>
    <col min="3" max="3" width="13.42578125" style="5" bestFit="1" customWidth="1"/>
    <col min="4" max="7" width="14.28515625" style="5" bestFit="1" customWidth="1"/>
    <col min="8" max="8" width="9.140625" style="5"/>
    <col min="9" max="9" width="12.42578125" style="5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7" width="14.5703125" style="5" customWidth="1"/>
    <col min="18" max="16384" width="9.140625" style="5"/>
  </cols>
  <sheetData>
    <row r="2" spans="2:14" ht="15.75" x14ac:dyDescent="0.25">
      <c r="B2" s="39" t="s">
        <v>44</v>
      </c>
      <c r="C2" s="39"/>
      <c r="D2" s="39"/>
      <c r="E2" s="39"/>
      <c r="F2" s="39"/>
      <c r="G2" s="39"/>
      <c r="H2" s="4"/>
      <c r="I2" s="39" t="s">
        <v>45</v>
      </c>
      <c r="J2" s="39"/>
      <c r="K2" s="39"/>
      <c r="L2" s="39"/>
      <c r="M2" s="39"/>
      <c r="N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33989</v>
      </c>
      <c r="D4" s="2">
        <v>33989.46</v>
      </c>
      <c r="E4" s="2">
        <v>40968.49</v>
      </c>
      <c r="F4" s="2">
        <v>42824.27</v>
      </c>
      <c r="G4" s="2">
        <f t="shared" ref="G4:G20" si="0">C4+D4+E4+F4</f>
        <v>151771.21999999997</v>
      </c>
      <c r="I4" s="5" t="s">
        <v>6</v>
      </c>
      <c r="J4" s="1">
        <v>14192539.803333333</v>
      </c>
      <c r="K4" s="1">
        <v>11618801.806666667</v>
      </c>
      <c r="L4" s="1">
        <v>11209332.516666666</v>
      </c>
      <c r="M4" s="1">
        <v>13173127.719999999</v>
      </c>
      <c r="N4" s="1">
        <v>12112609.949999997</v>
      </c>
    </row>
    <row r="5" spans="2:14" x14ac:dyDescent="0.25">
      <c r="B5" s="5" t="s">
        <v>7</v>
      </c>
      <c r="C5" s="1">
        <v>31905.99</v>
      </c>
      <c r="D5" s="1">
        <v>31906.36</v>
      </c>
      <c r="E5" s="1">
        <v>20737.189999999999</v>
      </c>
      <c r="F5" s="1">
        <v>30687.01</v>
      </c>
      <c r="G5" s="2">
        <f t="shared" si="0"/>
        <v>115236.55</v>
      </c>
      <c r="I5" s="5" t="s">
        <v>7</v>
      </c>
      <c r="J5" s="1">
        <v>13807141.880000001</v>
      </c>
      <c r="K5" s="1">
        <v>9556725.1866666675</v>
      </c>
      <c r="L5" s="1">
        <v>7392284.8166666664</v>
      </c>
      <c r="M5" s="1">
        <v>10339991.585000001</v>
      </c>
      <c r="N5" s="1">
        <v>7898211.7033333341</v>
      </c>
    </row>
    <row r="6" spans="2:14" x14ac:dyDescent="0.25">
      <c r="B6" s="5" t="s">
        <v>8</v>
      </c>
      <c r="C6" s="1">
        <v>40059</v>
      </c>
      <c r="D6" s="1">
        <v>40058.769999999997</v>
      </c>
      <c r="E6" s="1">
        <v>47955.47</v>
      </c>
      <c r="F6" s="1">
        <v>53798.9</v>
      </c>
      <c r="G6" s="2">
        <f t="shared" si="0"/>
        <v>181872.13999999998</v>
      </c>
      <c r="I6" s="5" t="s">
        <v>8</v>
      </c>
      <c r="J6" s="1">
        <v>16095908.01</v>
      </c>
      <c r="K6" s="1">
        <v>13859052.906666666</v>
      </c>
      <c r="L6" s="1">
        <v>13182052.969999999</v>
      </c>
      <c r="M6" s="1">
        <v>15979064.239999998</v>
      </c>
      <c r="N6" s="1">
        <v>15164061.99</v>
      </c>
    </row>
    <row r="7" spans="2:14" x14ac:dyDescent="0.25">
      <c r="B7" s="5" t="s">
        <v>9</v>
      </c>
      <c r="C7" s="1">
        <v>25542.98</v>
      </c>
      <c r="D7" s="1">
        <v>25543.360000000001</v>
      </c>
      <c r="E7" s="1">
        <v>38597.49</v>
      </c>
      <c r="F7" s="1">
        <v>41176.949999999997</v>
      </c>
      <c r="G7" s="2">
        <f t="shared" si="0"/>
        <v>130860.77999999998</v>
      </c>
      <c r="I7" s="5" t="s">
        <v>9</v>
      </c>
      <c r="J7" s="1">
        <v>11410276.843333334</v>
      </c>
      <c r="K7" s="1">
        <v>10533321.529999999</v>
      </c>
      <c r="L7" s="1">
        <v>9770928.5200000014</v>
      </c>
      <c r="M7" s="1">
        <v>12603357.309999999</v>
      </c>
      <c r="N7" s="1">
        <v>11291954.903333331</v>
      </c>
    </row>
    <row r="8" spans="2:14" x14ac:dyDescent="0.25">
      <c r="B8" s="5" t="s">
        <v>10</v>
      </c>
      <c r="C8" s="1">
        <v>51431</v>
      </c>
      <c r="D8" s="1">
        <v>51431.14</v>
      </c>
      <c r="E8" s="1">
        <v>61935.6</v>
      </c>
      <c r="F8" s="1">
        <v>65440.42</v>
      </c>
      <c r="G8" s="2">
        <f t="shared" si="0"/>
        <v>230238.15999999997</v>
      </c>
      <c r="I8" s="5" t="s">
        <v>10</v>
      </c>
      <c r="J8" s="1">
        <v>20708370.643333334</v>
      </c>
      <c r="K8" s="1">
        <v>18748897.063333336</v>
      </c>
      <c r="L8" s="1">
        <v>17129325.633333333</v>
      </c>
      <c r="M8" s="1">
        <v>20570365.350000001</v>
      </c>
      <c r="N8" s="1">
        <v>19245637.573333334</v>
      </c>
    </row>
    <row r="9" spans="2:14" x14ac:dyDescent="0.25">
      <c r="B9" s="5" t="s">
        <v>11</v>
      </c>
      <c r="C9" s="1">
        <v>34102</v>
      </c>
      <c r="D9" s="1">
        <v>34102.300000000003</v>
      </c>
      <c r="E9" s="1">
        <v>39055.46</v>
      </c>
      <c r="F9" s="1">
        <v>44480.5</v>
      </c>
      <c r="G9" s="2">
        <f t="shared" si="0"/>
        <v>151740.26</v>
      </c>
      <c r="I9" s="5" t="s">
        <v>11</v>
      </c>
      <c r="J9" s="1">
        <v>15208649.26333333</v>
      </c>
      <c r="K9" s="1">
        <v>14140521.033333333</v>
      </c>
      <c r="L9" s="1">
        <v>13353558.856666667</v>
      </c>
      <c r="M9" s="1">
        <v>13356894.41</v>
      </c>
      <c r="N9" s="1">
        <v>12718080.836666666</v>
      </c>
    </row>
    <row r="10" spans="2:14" x14ac:dyDescent="0.25">
      <c r="B10" s="5" t="s">
        <v>12</v>
      </c>
      <c r="C10" s="1">
        <v>0</v>
      </c>
      <c r="D10" s="1">
        <v>0</v>
      </c>
      <c r="E10" s="1">
        <v>0</v>
      </c>
      <c r="F10" s="1">
        <v>0</v>
      </c>
      <c r="G10" s="2">
        <f t="shared" si="0"/>
        <v>0</v>
      </c>
      <c r="I10" s="5" t="s">
        <v>12</v>
      </c>
      <c r="J10" s="1">
        <v>-606624.22</v>
      </c>
      <c r="K10" s="1">
        <v>-899483.20666666667</v>
      </c>
      <c r="L10" s="1">
        <v>-774452.91999999993</v>
      </c>
      <c r="M10" s="1">
        <v>-677867.26500000001</v>
      </c>
      <c r="N10" s="1">
        <v>-816189.62333333341</v>
      </c>
    </row>
    <row r="11" spans="2:14" x14ac:dyDescent="0.25">
      <c r="B11" s="5" t="s">
        <v>13</v>
      </c>
      <c r="C11" s="1">
        <v>0</v>
      </c>
      <c r="D11" s="1">
        <v>0</v>
      </c>
      <c r="E11" s="1">
        <v>0</v>
      </c>
      <c r="F11" s="1">
        <v>0</v>
      </c>
      <c r="G11" s="2">
        <f t="shared" si="0"/>
        <v>0</v>
      </c>
      <c r="I11" s="5" t="s">
        <v>13</v>
      </c>
      <c r="J11" s="1">
        <v>9261.8799999999992</v>
      </c>
      <c r="K11" s="1">
        <v>9261.8799999999992</v>
      </c>
      <c r="L11" s="1">
        <v>9261.8799999999992</v>
      </c>
      <c r="M11" s="1">
        <v>9261.8799999999992</v>
      </c>
      <c r="N11" s="1">
        <v>9261.8799999999992</v>
      </c>
    </row>
    <row r="12" spans="2:14" x14ac:dyDescent="0.25">
      <c r="B12" s="5" t="s">
        <v>14</v>
      </c>
      <c r="C12" s="1">
        <v>42042</v>
      </c>
      <c r="D12" s="1">
        <v>42060.07</v>
      </c>
      <c r="E12" s="1">
        <v>53798.58</v>
      </c>
      <c r="F12" s="1">
        <v>55399.81</v>
      </c>
      <c r="G12" s="2">
        <f t="shared" si="0"/>
        <v>193300.46000000002</v>
      </c>
      <c r="I12" s="5" t="s">
        <v>14</v>
      </c>
      <c r="J12" s="1">
        <v>17631940.083333332</v>
      </c>
      <c r="K12" s="1">
        <v>15519584.5</v>
      </c>
      <c r="L12" s="1">
        <v>14411211.843333334</v>
      </c>
      <c r="M12" s="1">
        <v>16312352.26</v>
      </c>
      <c r="N12" s="1">
        <v>15533396.466666667</v>
      </c>
    </row>
    <row r="13" spans="2:14" x14ac:dyDescent="0.25">
      <c r="B13" s="5" t="s">
        <v>15</v>
      </c>
      <c r="C13" s="1">
        <v>18370</v>
      </c>
      <c r="D13" s="1">
        <v>18370.16</v>
      </c>
      <c r="E13" s="1">
        <v>23085.61</v>
      </c>
      <c r="F13" s="1">
        <v>22363.59</v>
      </c>
      <c r="G13" s="2">
        <f t="shared" si="0"/>
        <v>82189.36</v>
      </c>
      <c r="I13" s="5" t="s">
        <v>15</v>
      </c>
      <c r="J13" s="1">
        <v>7348247.9966666671</v>
      </c>
      <c r="K13" s="1">
        <v>6674624.5599999996</v>
      </c>
      <c r="L13" s="1">
        <v>6457936.0666666664</v>
      </c>
      <c r="M13" s="1">
        <v>6701536.2599999998</v>
      </c>
      <c r="N13" s="1">
        <v>6520829.1099999994</v>
      </c>
    </row>
    <row r="14" spans="2:14" x14ac:dyDescent="0.25">
      <c r="B14" s="5" t="s">
        <v>16</v>
      </c>
      <c r="C14" s="1">
        <v>80955</v>
      </c>
      <c r="D14" s="1">
        <v>82284.739999999991</v>
      </c>
      <c r="E14" s="1">
        <v>82118.45</v>
      </c>
      <c r="F14" s="1">
        <v>86080.25</v>
      </c>
      <c r="G14" s="2">
        <f t="shared" si="0"/>
        <v>331438.44</v>
      </c>
      <c r="I14" s="5" t="s">
        <v>16</v>
      </c>
      <c r="J14" s="1">
        <v>30215658.653333336</v>
      </c>
      <c r="K14" s="1">
        <v>26113233.220000003</v>
      </c>
      <c r="L14" s="1">
        <v>26139615.75333333</v>
      </c>
      <c r="M14" s="1">
        <v>28750614.189999998</v>
      </c>
      <c r="N14" s="1">
        <v>28219183.929999996</v>
      </c>
    </row>
    <row r="15" spans="2:14" x14ac:dyDescent="0.25">
      <c r="B15" s="5" t="s">
        <v>17</v>
      </c>
      <c r="C15" s="1">
        <v>135478.99580274086</v>
      </c>
      <c r="D15" s="1">
        <v>135477.99</v>
      </c>
      <c r="E15" s="1">
        <v>136875.9</v>
      </c>
      <c r="F15" s="1">
        <v>162676.65</v>
      </c>
      <c r="G15" s="2">
        <f t="shared" si="0"/>
        <v>570509.53580274084</v>
      </c>
      <c r="I15" s="5" t="s">
        <v>17</v>
      </c>
      <c r="J15" s="1">
        <v>55713610.010000013</v>
      </c>
      <c r="K15" s="1">
        <v>44834145.800000004</v>
      </c>
      <c r="L15" s="1">
        <v>42973376.306666665</v>
      </c>
      <c r="M15" s="1">
        <v>51765756.215000004</v>
      </c>
      <c r="N15" s="1">
        <v>47454932.656666666</v>
      </c>
    </row>
    <row r="16" spans="2:14" x14ac:dyDescent="0.25">
      <c r="B16" s="5" t="s">
        <v>18</v>
      </c>
      <c r="C16" s="1">
        <v>12120</v>
      </c>
      <c r="D16" s="1">
        <v>12120.49</v>
      </c>
      <c r="E16" s="1">
        <v>17627.46</v>
      </c>
      <c r="F16" s="1">
        <v>17094.5</v>
      </c>
      <c r="G16" s="2">
        <f t="shared" si="0"/>
        <v>58962.45</v>
      </c>
      <c r="I16" s="5" t="s">
        <v>18</v>
      </c>
      <c r="J16" s="1">
        <v>3881042.4733333332</v>
      </c>
      <c r="K16" s="1">
        <v>5731373.3999999985</v>
      </c>
      <c r="L16" s="1">
        <v>5345121.1500000004</v>
      </c>
      <c r="M16" s="1">
        <v>5640937.4450000003</v>
      </c>
      <c r="N16" s="1">
        <v>4499067.9733333336</v>
      </c>
    </row>
    <row r="17" spans="2:15" x14ac:dyDescent="0.25">
      <c r="B17" s="5" t="s">
        <v>19</v>
      </c>
      <c r="C17" s="1">
        <v>114981</v>
      </c>
      <c r="D17" s="1">
        <v>114980.98</v>
      </c>
      <c r="E17" s="1">
        <v>143171.85999999999</v>
      </c>
      <c r="F17" s="1">
        <v>135259.96</v>
      </c>
      <c r="G17" s="2">
        <f t="shared" si="0"/>
        <v>508393.79999999993</v>
      </c>
      <c r="I17" s="5" t="s">
        <v>19</v>
      </c>
      <c r="J17" s="1">
        <v>49690522.866666667</v>
      </c>
      <c r="K17" s="1">
        <v>42978313.279999994</v>
      </c>
      <c r="L17" s="1">
        <v>38960818.07</v>
      </c>
      <c r="M17" s="1">
        <v>38649955.644999996</v>
      </c>
      <c r="N17" s="1">
        <v>35515997.233333327</v>
      </c>
    </row>
    <row r="18" spans="2:15" x14ac:dyDescent="0.25">
      <c r="B18" s="14" t="s">
        <v>20</v>
      </c>
      <c r="C18" s="15">
        <v>537</v>
      </c>
      <c r="D18" s="15">
        <v>537.21</v>
      </c>
      <c r="E18" s="15">
        <v>763</v>
      </c>
      <c r="F18" s="15">
        <v>701.66</v>
      </c>
      <c r="G18" s="20">
        <f t="shared" si="0"/>
        <v>2538.87</v>
      </c>
      <c r="I18" s="14" t="s">
        <v>20</v>
      </c>
      <c r="J18" s="15">
        <v>201797.39333333331</v>
      </c>
      <c r="K18" s="15">
        <v>208270.55333333334</v>
      </c>
      <c r="L18" s="15">
        <v>214135.07333333333</v>
      </c>
      <c r="M18" s="15">
        <v>215540.53</v>
      </c>
      <c r="N18" s="15">
        <v>220196.51333333334</v>
      </c>
    </row>
    <row r="19" spans="2:15" x14ac:dyDescent="0.25">
      <c r="B19" s="14" t="s">
        <v>21</v>
      </c>
      <c r="C19" s="15">
        <v>3483</v>
      </c>
      <c r="D19" s="15">
        <v>3483.24</v>
      </c>
      <c r="E19" s="15">
        <v>1962.19</v>
      </c>
      <c r="F19" s="15">
        <v>2015.53</v>
      </c>
      <c r="G19" s="20">
        <f t="shared" si="0"/>
        <v>10943.960000000001</v>
      </c>
      <c r="I19" s="14" t="s">
        <v>21</v>
      </c>
      <c r="J19" s="15">
        <v>720820.64</v>
      </c>
      <c r="K19" s="15">
        <v>887507.2300000001</v>
      </c>
      <c r="L19" s="15">
        <v>960135.62666666659</v>
      </c>
      <c r="M19" s="15">
        <v>1051087.9099999999</v>
      </c>
      <c r="N19" s="15">
        <v>1081685.48</v>
      </c>
    </row>
    <row r="20" spans="2:15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5" x14ac:dyDescent="0.25">
      <c r="B21" s="8" t="s">
        <v>23</v>
      </c>
      <c r="C21" s="9">
        <f>SUM(C4:C20)</f>
        <v>624996.96580274077</v>
      </c>
      <c r="D21" s="1">
        <f>SUM(D4:D20)</f>
        <v>626346.2699999999</v>
      </c>
      <c r="E21" s="1">
        <f>SUM(E4:E20)</f>
        <v>708652.74999999988</v>
      </c>
      <c r="F21" s="1">
        <f>SUM(F4:F20)</f>
        <v>760000</v>
      </c>
      <c r="G21" s="1">
        <f>SUM(G4:G20)</f>
        <v>2719995.9858027408</v>
      </c>
      <c r="I21" s="8" t="s">
        <v>23</v>
      </c>
      <c r="J21" s="1">
        <f>SUM(J4:J20)</f>
        <v>256229164.22000003</v>
      </c>
      <c r="K21" s="1">
        <f>SUM(K4:K20)</f>
        <v>220514150.74333334</v>
      </c>
      <c r="L21" s="1">
        <f>SUM(L4:L20)</f>
        <v>206734642.1633333</v>
      </c>
      <c r="M21" s="1">
        <f>SUM(M4:M20)</f>
        <v>234441975.685</v>
      </c>
      <c r="N21" s="1">
        <f>SUM(N4:N20)</f>
        <v>216668918.57666659</v>
      </c>
    </row>
    <row r="24" spans="2:15" ht="15.75" x14ac:dyDescent="0.25">
      <c r="I24" s="39" t="s">
        <v>46</v>
      </c>
      <c r="J24" s="39"/>
      <c r="K24" s="39"/>
      <c r="L24" s="39"/>
      <c r="M24" s="39"/>
      <c r="N24" s="39"/>
    </row>
    <row r="25" spans="2:15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5" x14ac:dyDescent="0.25">
      <c r="I26" s="5" t="s">
        <v>6</v>
      </c>
      <c r="J26" s="1">
        <v>14192539.803333333</v>
      </c>
      <c r="K26" s="1">
        <v>11618801.806666667</v>
      </c>
      <c r="L26" s="1">
        <v>11209332.516666666</v>
      </c>
      <c r="M26" s="1">
        <v>13173127.719999999</v>
      </c>
      <c r="N26" s="1">
        <v>12112609.949999997</v>
      </c>
      <c r="O26" s="7"/>
    </row>
    <row r="27" spans="2:15" x14ac:dyDescent="0.25">
      <c r="I27" s="5" t="s">
        <v>7</v>
      </c>
      <c r="J27" s="1">
        <v>13807141.880000001</v>
      </c>
      <c r="K27" s="1">
        <v>9556725.1866666675</v>
      </c>
      <c r="L27" s="1">
        <v>7392284.8166666664</v>
      </c>
      <c r="M27" s="1">
        <v>10339991.585000001</v>
      </c>
      <c r="N27" s="1">
        <v>7898211.7033333341</v>
      </c>
      <c r="O27" s="7"/>
    </row>
    <row r="28" spans="2:15" x14ac:dyDescent="0.25">
      <c r="I28" s="5" t="s">
        <v>8</v>
      </c>
      <c r="J28" s="1">
        <v>16095908.01</v>
      </c>
      <c r="K28" s="1">
        <v>13859052.906666666</v>
      </c>
      <c r="L28" s="1">
        <v>13182052.969999999</v>
      </c>
      <c r="M28" s="1">
        <v>15979064.239999998</v>
      </c>
      <c r="N28" s="1">
        <v>15164061.99</v>
      </c>
      <c r="O28" s="7"/>
    </row>
    <row r="29" spans="2:15" x14ac:dyDescent="0.25">
      <c r="I29" s="5" t="s">
        <v>36</v>
      </c>
      <c r="J29" s="1">
        <f>11410276.8433333-157898.21</f>
        <v>11252378.633333299</v>
      </c>
      <c r="K29" s="1">
        <f>10533321.53-521676.17</f>
        <v>10011645.359999999</v>
      </c>
      <c r="L29" s="1">
        <f>9770928.52-498326.85</f>
        <v>9272601.6699999999</v>
      </c>
      <c r="M29" s="1">
        <f>12603357.31-783209.41</f>
        <v>11820147.9</v>
      </c>
      <c r="N29" s="1">
        <f>11291954.9033333-597851.76</f>
        <v>10694103.143333301</v>
      </c>
      <c r="O29" s="7"/>
    </row>
    <row r="30" spans="2:15" x14ac:dyDescent="0.25">
      <c r="I30" s="5" t="s">
        <v>10</v>
      </c>
      <c r="J30" s="1">
        <v>20708370.643333334</v>
      </c>
      <c r="K30" s="1">
        <v>18748897.063333336</v>
      </c>
      <c r="L30" s="1">
        <v>17129325.633333333</v>
      </c>
      <c r="M30" s="1">
        <v>20570365.350000001</v>
      </c>
      <c r="N30" s="1">
        <v>19245637.573333334</v>
      </c>
      <c r="O30" s="7"/>
    </row>
    <row r="31" spans="2:15" x14ac:dyDescent="0.25">
      <c r="I31" s="5" t="s">
        <v>134</v>
      </c>
      <c r="J31" s="1">
        <f>15208649.2633333-2203060.68</f>
        <v>13005588.5833333</v>
      </c>
      <c r="K31" s="1">
        <f>14140521.0333333-2203060.68</f>
        <v>11937460.3533333</v>
      </c>
      <c r="L31" s="1">
        <f>13353558.8566667-1468707.12</f>
        <v>11884851.736666702</v>
      </c>
      <c r="M31" s="1">
        <v>13356894.41</v>
      </c>
      <c r="N31" s="1">
        <v>12718080.836666666</v>
      </c>
      <c r="O31" s="7"/>
    </row>
    <row r="32" spans="2:15" x14ac:dyDescent="0.25">
      <c r="I32" s="5" t="s">
        <v>135</v>
      </c>
      <c r="J32" s="1"/>
      <c r="K32" s="1"/>
      <c r="L32" s="1"/>
      <c r="M32" s="1"/>
      <c r="N32" s="1"/>
      <c r="O32" s="7"/>
    </row>
    <row r="33" spans="2:16" x14ac:dyDescent="0.25">
      <c r="I33" s="5" t="s">
        <v>136</v>
      </c>
      <c r="J33" s="1">
        <f>9261.88-606624.22</f>
        <v>-597362.34</v>
      </c>
      <c r="K33" s="1">
        <f>9261.88-899483.206666667</f>
        <v>-890221.32666666701</v>
      </c>
      <c r="L33" s="1">
        <f>9261.88-774452.92</f>
        <v>-765191.04</v>
      </c>
      <c r="M33" s="1">
        <f>9261.88-677867.265</f>
        <v>-668605.38500000001</v>
      </c>
      <c r="N33" s="1">
        <f>9261.88-816189.623333333</f>
        <v>-806927.74333333294</v>
      </c>
      <c r="O33" s="7"/>
    </row>
    <row r="34" spans="2:16" x14ac:dyDescent="0.25">
      <c r="I34" s="5" t="s">
        <v>14</v>
      </c>
      <c r="J34" s="1">
        <v>17631940.083333332</v>
      </c>
      <c r="K34" s="1">
        <v>15519584.5</v>
      </c>
      <c r="L34" s="1">
        <v>14411211.843333334</v>
      </c>
      <c r="M34" s="1">
        <v>16312352.26</v>
      </c>
      <c r="N34" s="1">
        <v>15533396.466666667</v>
      </c>
      <c r="O34" s="7"/>
    </row>
    <row r="35" spans="2:16" x14ac:dyDescent="0.25">
      <c r="I35" s="5" t="s">
        <v>15</v>
      </c>
      <c r="J35" s="1">
        <v>7348247.9966666671</v>
      </c>
      <c r="K35" s="1">
        <v>6674624.5599999996</v>
      </c>
      <c r="L35" s="1">
        <v>6457936.0666666664</v>
      </c>
      <c r="M35" s="1">
        <v>6701536.2599999998</v>
      </c>
      <c r="N35" s="1">
        <v>6520829.1099999994</v>
      </c>
      <c r="O35" s="7"/>
    </row>
    <row r="36" spans="2:16" x14ac:dyDescent="0.25">
      <c r="I36" s="5" t="s">
        <v>16</v>
      </c>
      <c r="J36" s="1">
        <v>30215658.653333336</v>
      </c>
      <c r="K36" s="1">
        <v>26113233.220000003</v>
      </c>
      <c r="L36" s="1">
        <v>26139615.75333333</v>
      </c>
      <c r="M36" s="1">
        <v>28750614.189999998</v>
      </c>
      <c r="N36" s="1">
        <v>28219183.929999996</v>
      </c>
      <c r="O36" s="7"/>
    </row>
    <row r="37" spans="2:16" x14ac:dyDescent="0.25">
      <c r="I37" s="5" t="s">
        <v>83</v>
      </c>
      <c r="J37" s="1">
        <f>55713610.01-272693.74</f>
        <v>55440916.269999996</v>
      </c>
      <c r="K37" s="1">
        <f>44834145.8-272693.74</f>
        <v>44561452.059999995</v>
      </c>
      <c r="L37" s="1">
        <f>42973376.3066667-272693.74</f>
        <v>42700682.5666667</v>
      </c>
      <c r="M37" s="1">
        <f>51765756.215-272693.74</f>
        <v>51493062.475000001</v>
      </c>
      <c r="N37" s="1">
        <f>47454932.6566667-386984.95</f>
        <v>47067947.706666701</v>
      </c>
      <c r="O37" s="7"/>
    </row>
    <row r="38" spans="2:16" x14ac:dyDescent="0.25">
      <c r="I38" s="5" t="s">
        <v>18</v>
      </c>
      <c r="J38" s="1">
        <v>3881042.4733333332</v>
      </c>
      <c r="K38" s="1">
        <v>5731373.3999999985</v>
      </c>
      <c r="L38" s="1">
        <v>5345121.1500000004</v>
      </c>
      <c r="M38" s="1">
        <v>5640937.4450000003</v>
      </c>
      <c r="N38" s="1">
        <v>4499067.9733333336</v>
      </c>
      <c r="O38" s="7"/>
    </row>
    <row r="39" spans="2:16" x14ac:dyDescent="0.25">
      <c r="I39" s="5" t="s">
        <v>19</v>
      </c>
      <c r="J39" s="1">
        <v>49690522.866666667</v>
      </c>
      <c r="K39" s="1">
        <v>42978313.279999994</v>
      </c>
      <c r="L39" s="1">
        <v>38960818.07</v>
      </c>
      <c r="M39" s="1">
        <v>38649955.644999996</v>
      </c>
      <c r="N39" s="1">
        <v>35515997.233333327</v>
      </c>
      <c r="O39" s="7"/>
    </row>
    <row r="40" spans="2:16" x14ac:dyDescent="0.25">
      <c r="I40" s="8" t="s">
        <v>23</v>
      </c>
      <c r="J40" s="1">
        <f>SUM(J26:J39)-J33</f>
        <v>253270255.89666659</v>
      </c>
      <c r="K40" s="1">
        <f>SUM(K26:K39)-K33</f>
        <v>217311163.69666663</v>
      </c>
      <c r="L40" s="1">
        <f>SUM(L26:L39)-L33</f>
        <v>204085834.79333338</v>
      </c>
      <c r="M40" s="1">
        <f>SUM(M26:M39)-M33</f>
        <v>232788049.47999996</v>
      </c>
      <c r="N40" s="1">
        <f>SUM(N26:N39)-N33</f>
        <v>215189127.61666664</v>
      </c>
      <c r="O40" s="10"/>
    </row>
    <row r="43" spans="2:16" ht="15.75" x14ac:dyDescent="0.25">
      <c r="B43" s="39" t="s">
        <v>94</v>
      </c>
      <c r="C43" s="39"/>
      <c r="D43" s="39"/>
      <c r="E43" s="39"/>
      <c r="F43" s="39"/>
      <c r="G43" s="39"/>
      <c r="I43" s="38" t="s">
        <v>105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86</v>
      </c>
      <c r="K44" s="16" t="s">
        <v>87</v>
      </c>
      <c r="L44" s="16" t="s">
        <v>99</v>
      </c>
      <c r="M44" s="16" t="s">
        <v>100</v>
      </c>
      <c r="N44" s="16" t="s">
        <v>101</v>
      </c>
      <c r="O44" s="16" t="s">
        <v>102</v>
      </c>
      <c r="P44" s="16" t="s">
        <v>103</v>
      </c>
    </row>
    <row r="45" spans="2:16" x14ac:dyDescent="0.25">
      <c r="B45" s="5" t="s">
        <v>6</v>
      </c>
      <c r="C45" s="9">
        <f>$C$59*K65</f>
        <v>33972.011838979983</v>
      </c>
      <c r="D45" s="9">
        <f t="shared" ref="D45:D58" si="1">($D$60*M65)-C45</f>
        <v>34431.422319790312</v>
      </c>
      <c r="E45" s="9">
        <f t="shared" ref="E45:E58" si="2">($E$60*O65)-D45-C45</f>
        <v>39664.533306901496</v>
      </c>
      <c r="F45" s="9">
        <f t="shared" ref="F45:F58" si="3">($F$60*Q65)-E45-D45-C45</f>
        <v>41636.579368647923</v>
      </c>
      <c r="G45" s="9">
        <f t="shared" ref="G45:G59" si="4">SUM(C45+D45+E45+F45)</f>
        <v>149704.54683431971</v>
      </c>
      <c r="I45" s="5" t="s">
        <v>6</v>
      </c>
      <c r="J45" s="1">
        <v>12118061.880000001</v>
      </c>
      <c r="K45" s="1">
        <v>11730359.789999999</v>
      </c>
      <c r="L45" s="1">
        <v>12441163.32</v>
      </c>
      <c r="M45" s="1">
        <v>14192539.803333333</v>
      </c>
      <c r="N45" s="1">
        <v>11618801.806666667</v>
      </c>
      <c r="O45" s="1">
        <v>11209332.516666666</v>
      </c>
      <c r="P45" s="1">
        <v>13173127.719999999</v>
      </c>
    </row>
    <row r="46" spans="2:16" x14ac:dyDescent="0.25">
      <c r="B46" s="5" t="s">
        <v>7</v>
      </c>
      <c r="C46" s="9">
        <f t="shared" ref="C46:C58" si="5">$C$59*K66</f>
        <v>31930.378436735748</v>
      </c>
      <c r="D46" s="9">
        <f t="shared" si="1"/>
        <v>29045.902530314434</v>
      </c>
      <c r="E46" s="9">
        <f t="shared" si="2"/>
        <v>29413.35856396431</v>
      </c>
      <c r="F46" s="9">
        <f t="shared" si="3"/>
        <v>32180.863364127301</v>
      </c>
      <c r="G46" s="9">
        <f t="shared" si="4"/>
        <v>122570.50289514179</v>
      </c>
      <c r="I46" s="5" t="s">
        <v>7</v>
      </c>
      <c r="J46" s="1">
        <v>12449207.593333334</v>
      </c>
      <c r="K46" s="1">
        <v>10577467.806666667</v>
      </c>
      <c r="L46" s="1">
        <v>10614457.393333333</v>
      </c>
      <c r="M46" s="1">
        <v>13807141.880000001</v>
      </c>
      <c r="N46" s="1">
        <v>9556725.1866666675</v>
      </c>
      <c r="O46" s="1">
        <v>7392284.8166666664</v>
      </c>
      <c r="P46" s="1">
        <v>10339991.585000001</v>
      </c>
    </row>
    <row r="47" spans="2:16" x14ac:dyDescent="0.25">
      <c r="B47" s="5" t="s">
        <v>8</v>
      </c>
      <c r="C47" s="9">
        <f t="shared" si="5"/>
        <v>39230.404153669951</v>
      </c>
      <c r="D47" s="9">
        <f t="shared" si="1"/>
        <v>40008.218731695044</v>
      </c>
      <c r="E47" s="9">
        <f t="shared" si="2"/>
        <v>46504.719436947489</v>
      </c>
      <c r="F47" s="9">
        <f t="shared" si="3"/>
        <v>50572.165987058412</v>
      </c>
      <c r="G47" s="9">
        <f t="shared" si="4"/>
        <v>176315.5083093709</v>
      </c>
      <c r="I47" s="5" t="s">
        <v>8</v>
      </c>
      <c r="J47" s="1">
        <v>14254892.173333332</v>
      </c>
      <c r="K47" s="1">
        <v>13530551.376666665</v>
      </c>
      <c r="L47" s="1">
        <v>14414700.130000001</v>
      </c>
      <c r="M47" s="1">
        <v>16095908.01</v>
      </c>
      <c r="N47" s="1">
        <v>13859052.906666666</v>
      </c>
      <c r="O47" s="1">
        <v>13182052.969999999</v>
      </c>
      <c r="P47" s="1">
        <v>15979064.239999998</v>
      </c>
    </row>
    <row r="48" spans="2:16" x14ac:dyDescent="0.25">
      <c r="B48" s="5" t="s">
        <v>9</v>
      </c>
      <c r="C48" s="9">
        <f t="shared" si="5"/>
        <v>25524.728153537886</v>
      </c>
      <c r="D48" s="9">
        <f t="shared" si="1"/>
        <v>28176.201476218892</v>
      </c>
      <c r="E48" s="9">
        <f t="shared" si="2"/>
        <v>34178.369091129862</v>
      </c>
      <c r="F48" s="9">
        <f t="shared" si="3"/>
        <v>38451.07192992323</v>
      </c>
      <c r="G48" s="9">
        <f t="shared" si="4"/>
        <v>126330.37065080987</v>
      </c>
      <c r="I48" s="5" t="s">
        <v>36</v>
      </c>
      <c r="J48" s="1">
        <f>9172573.47-471038.54</f>
        <v>8701534.9300000016</v>
      </c>
      <c r="K48" s="1">
        <f>8733368.74666667-442771.12</f>
        <v>8290597.6266666697</v>
      </c>
      <c r="L48" s="1">
        <f>10210760.4233333-525739.56</f>
        <v>9685020.8633332998</v>
      </c>
      <c r="M48" s="1">
        <f>11410276.8433333-157898.21</f>
        <v>11252378.633333299</v>
      </c>
      <c r="N48" s="1">
        <f>10533321.53-521676.17</f>
        <v>10011645.359999999</v>
      </c>
      <c r="O48" s="1">
        <f>9770928.52-498326.85</f>
        <v>9272601.6699999999</v>
      </c>
      <c r="P48" s="1">
        <f>12603357.31-783209.41</f>
        <v>11820147.9</v>
      </c>
    </row>
    <row r="49" spans="2:17" x14ac:dyDescent="0.25">
      <c r="B49" s="5" t="s">
        <v>10</v>
      </c>
      <c r="C49" s="9">
        <f t="shared" si="5"/>
        <v>51334.69956052702</v>
      </c>
      <c r="D49" s="9">
        <f t="shared" si="1"/>
        <v>52599.929311756467</v>
      </c>
      <c r="E49" s="9">
        <f t="shared" si="2"/>
        <v>61526.354023302396</v>
      </c>
      <c r="F49" s="9">
        <f t="shared" si="3"/>
        <v>64662.002629326147</v>
      </c>
      <c r="G49" s="9">
        <f t="shared" si="4"/>
        <v>230122.98552491202</v>
      </c>
      <c r="I49" s="5" t="s">
        <v>10</v>
      </c>
      <c r="J49" s="1">
        <v>19086074.626666665</v>
      </c>
      <c r="K49" s="1">
        <v>17344923.363333333</v>
      </c>
      <c r="L49" s="1">
        <v>19143564.556666669</v>
      </c>
      <c r="M49" s="1">
        <v>20708370.643333334</v>
      </c>
      <c r="N49" s="1">
        <v>18748897.063333336</v>
      </c>
      <c r="O49" s="1">
        <v>17129325.633333333</v>
      </c>
      <c r="P49" s="1">
        <v>20570365.350000001</v>
      </c>
    </row>
    <row r="50" spans="2:17" x14ac:dyDescent="0.25">
      <c r="B50" s="5" t="s">
        <v>11</v>
      </c>
      <c r="C50" s="9">
        <f t="shared" si="5"/>
        <v>32603.109934994653</v>
      </c>
      <c r="D50" s="9">
        <f t="shared" si="1"/>
        <v>33764.330053055201</v>
      </c>
      <c r="E50" s="9">
        <f t="shared" si="2"/>
        <v>40029.567973812351</v>
      </c>
      <c r="F50" s="9">
        <f t="shared" si="3"/>
        <v>43280.675925765718</v>
      </c>
      <c r="G50" s="9">
        <f t="shared" si="4"/>
        <v>149677.68388762791</v>
      </c>
      <c r="I50" s="5" t="s">
        <v>134</v>
      </c>
      <c r="J50" s="1">
        <v>11890258.763333334</v>
      </c>
      <c r="K50" s="1">
        <v>11682948.613333335</v>
      </c>
      <c r="L50" s="1">
        <v>11869152.08</v>
      </c>
      <c r="M50" s="1">
        <f>15208649.2633333-2203060.68</f>
        <v>13005588.5833333</v>
      </c>
      <c r="N50" s="1">
        <f>14140521.0333333-2203060.68</f>
        <v>11937460.3533333</v>
      </c>
      <c r="O50" s="1">
        <f>13353558.8566667-1468707.12</f>
        <v>11884851.736666702</v>
      </c>
      <c r="P50" s="1">
        <v>13356894.41</v>
      </c>
    </row>
    <row r="51" spans="2:17" x14ac:dyDescent="0.25">
      <c r="B51" s="5" t="s">
        <v>12</v>
      </c>
      <c r="C51" s="9">
        <f t="shared" si="5"/>
        <v>0</v>
      </c>
      <c r="D51" s="9">
        <f t="shared" si="1"/>
        <v>0</v>
      </c>
      <c r="E51" s="9">
        <f t="shared" si="2"/>
        <v>0</v>
      </c>
      <c r="F51" s="9">
        <f t="shared" si="3"/>
        <v>0</v>
      </c>
      <c r="G51" s="9">
        <f t="shared" si="4"/>
        <v>0</v>
      </c>
      <c r="I51" s="5" t="s">
        <v>135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2:17" x14ac:dyDescent="0.25">
      <c r="B52" s="5" t="s">
        <v>13</v>
      </c>
      <c r="C52" s="9">
        <v>0</v>
      </c>
      <c r="D52" s="9">
        <v>0</v>
      </c>
      <c r="E52" s="9">
        <v>0</v>
      </c>
      <c r="F52" s="9">
        <v>0</v>
      </c>
      <c r="G52" s="9">
        <f t="shared" si="4"/>
        <v>0</v>
      </c>
      <c r="I52" s="5" t="s">
        <v>136</v>
      </c>
      <c r="J52" s="1">
        <f>195612.49-294375.93</f>
        <v>-98763.44</v>
      </c>
      <c r="K52" s="1">
        <f>195612.49-294513.826666667</f>
        <v>-98901.336666667019</v>
      </c>
      <c r="L52" s="1">
        <f>133492.54-317201.273333333</f>
        <v>-183708.73333333302</v>
      </c>
      <c r="M52" s="1">
        <f>9261.88-606624.22</f>
        <v>-597362.34</v>
      </c>
      <c r="N52" s="1">
        <f>9261.88-899483.206666667</f>
        <v>-890221.32666666701</v>
      </c>
      <c r="O52" s="1">
        <f>9261.88-774452.92</f>
        <v>-765191.04</v>
      </c>
      <c r="P52" s="1">
        <f>9261.88-677867.265</f>
        <v>-668605.38500000001</v>
      </c>
    </row>
    <row r="53" spans="2:17" x14ac:dyDescent="0.25">
      <c r="B53" s="5" t="s">
        <v>14</v>
      </c>
      <c r="C53" s="9">
        <f t="shared" si="5"/>
        <v>42015.77127169443</v>
      </c>
      <c r="D53" s="9">
        <f t="shared" si="1"/>
        <v>43545.054956869535</v>
      </c>
      <c r="E53" s="9">
        <f t="shared" si="2"/>
        <v>51130.746462619914</v>
      </c>
      <c r="F53" s="9">
        <f t="shared" si="3"/>
        <v>53817.829944839898</v>
      </c>
      <c r="G53" s="9">
        <f t="shared" si="4"/>
        <v>190509.40263602379</v>
      </c>
      <c r="I53" s="5" t="s">
        <v>14</v>
      </c>
      <c r="J53" s="1">
        <v>15434778.033333333</v>
      </c>
      <c r="K53" s="1">
        <v>14368471.396666666</v>
      </c>
      <c r="L53" s="1">
        <v>14999894.363333335</v>
      </c>
      <c r="M53" s="1">
        <v>17631940.083333332</v>
      </c>
      <c r="N53" s="1">
        <v>15519584.5</v>
      </c>
      <c r="O53" s="1">
        <v>14411211.843333334</v>
      </c>
      <c r="P53" s="1">
        <v>16312352.26</v>
      </c>
    </row>
    <row r="54" spans="2:17" x14ac:dyDescent="0.25">
      <c r="B54" s="5" t="s">
        <v>15</v>
      </c>
      <c r="C54" s="9">
        <f t="shared" si="5"/>
        <v>18361.203087792543</v>
      </c>
      <c r="D54" s="9">
        <f t="shared" si="1"/>
        <v>18944.285730830212</v>
      </c>
      <c r="E54" s="9">
        <f t="shared" si="2"/>
        <v>22039.072850527438</v>
      </c>
      <c r="F54" s="9">
        <f t="shared" si="3"/>
        <v>21727.612044342808</v>
      </c>
      <c r="G54" s="9">
        <f t="shared" si="4"/>
        <v>81072.173713493001</v>
      </c>
      <c r="I54" s="5" t="s">
        <v>15</v>
      </c>
      <c r="J54" s="1">
        <v>6699838.4799999995</v>
      </c>
      <c r="K54" s="1">
        <v>6555788.5766666671</v>
      </c>
      <c r="L54" s="1">
        <v>6680718.8066666676</v>
      </c>
      <c r="M54" s="1">
        <v>7348247.9966666671</v>
      </c>
      <c r="N54" s="1">
        <v>6674624.5599999996</v>
      </c>
      <c r="O54" s="1">
        <v>6457936.0666666664</v>
      </c>
      <c r="P54" s="1">
        <v>6701536.2599999998</v>
      </c>
    </row>
    <row r="55" spans="2:17" x14ac:dyDescent="0.25">
      <c r="B55" s="5" t="s">
        <v>16</v>
      </c>
      <c r="C55" s="9">
        <f t="shared" si="5"/>
        <v>82036.544240488671</v>
      </c>
      <c r="D55" s="9">
        <f t="shared" si="1"/>
        <v>78755.065112159646</v>
      </c>
      <c r="E55" s="9">
        <f t="shared" si="2"/>
        <v>86095.324420280318</v>
      </c>
      <c r="F55" s="9">
        <f t="shared" si="3"/>
        <v>84827.493473247363</v>
      </c>
      <c r="G55" s="9">
        <f t="shared" si="4"/>
        <v>331714.427246176</v>
      </c>
      <c r="I55" s="5" t="s">
        <v>16</v>
      </c>
      <c r="J55" s="1">
        <f>25527303.82+5000000</f>
        <v>30527303.82</v>
      </c>
      <c r="K55" s="1">
        <f>25633003.01+5000000</f>
        <v>30633003.010000002</v>
      </c>
      <c r="L55" s="1">
        <f>25529651.5166667+5000000</f>
        <v>30529651.516666699</v>
      </c>
      <c r="M55" s="1">
        <v>30215658.653333336</v>
      </c>
      <c r="N55" s="1">
        <v>26113233.220000003</v>
      </c>
      <c r="O55" s="1">
        <v>26139615.75333333</v>
      </c>
      <c r="P55" s="1">
        <v>28750614.189999998</v>
      </c>
    </row>
    <row r="56" spans="2:17" x14ac:dyDescent="0.25">
      <c r="B56" s="5" t="s">
        <v>17</v>
      </c>
      <c r="C56" s="9">
        <f t="shared" si="5"/>
        <v>139491.10487658312</v>
      </c>
      <c r="D56" s="9">
        <f t="shared" si="1"/>
        <v>129702.14909003969</v>
      </c>
      <c r="E56" s="9">
        <f t="shared" si="2"/>
        <v>147403.21326457171</v>
      </c>
      <c r="F56" s="9">
        <f t="shared" si="3"/>
        <v>162599.37129288397</v>
      </c>
      <c r="G56" s="9">
        <f t="shared" si="4"/>
        <v>579195.83852407848</v>
      </c>
      <c r="I56" s="5" t="s">
        <v>83</v>
      </c>
      <c r="J56" s="1">
        <f>55247031.65-104348.62</f>
        <v>55142683.030000001</v>
      </c>
      <c r="K56" s="1">
        <f>48833568.28-104348.62</f>
        <v>48729219.660000004</v>
      </c>
      <c r="L56" s="1">
        <f>48242487.2233333-272693.74</f>
        <v>47969793.483333297</v>
      </c>
      <c r="M56" s="1">
        <f>55713610.01-272693.74</f>
        <v>55440916.269999996</v>
      </c>
      <c r="N56" s="1">
        <f>44834145.8-272693.74</f>
        <v>44561452.059999995</v>
      </c>
      <c r="O56" s="1">
        <f>42973376.3066667-272693.74</f>
        <v>42700682.5666667</v>
      </c>
      <c r="P56" s="1">
        <f>51765756.215-272693.74</f>
        <v>51493062.475000001</v>
      </c>
    </row>
    <row r="57" spans="2:17" x14ac:dyDescent="0.25">
      <c r="B57" s="5" t="s">
        <v>18</v>
      </c>
      <c r="C57" s="9">
        <f t="shared" si="5"/>
        <v>12114.575186699394</v>
      </c>
      <c r="D57" s="9">
        <f t="shared" si="1"/>
        <v>16178.248440877707</v>
      </c>
      <c r="E57" s="9">
        <f t="shared" si="2"/>
        <v>15637.286106669892</v>
      </c>
      <c r="F57" s="9">
        <f t="shared" si="3"/>
        <v>17505.469407183031</v>
      </c>
      <c r="G57" s="9">
        <f t="shared" si="4"/>
        <v>61435.579141430026</v>
      </c>
      <c r="I57" s="5" t="s">
        <v>18</v>
      </c>
      <c r="J57" s="1">
        <v>3059767.7166666668</v>
      </c>
      <c r="K57" s="1">
        <v>5912426.9466666663</v>
      </c>
      <c r="L57" s="1">
        <v>5148920.03</v>
      </c>
      <c r="M57" s="1">
        <v>3881042.4733333332</v>
      </c>
      <c r="N57" s="1">
        <v>5731373.3999999985</v>
      </c>
      <c r="O57" s="1">
        <v>5345121.1500000004</v>
      </c>
      <c r="P57" s="1">
        <v>5640937.4450000003</v>
      </c>
    </row>
    <row r="58" spans="2:17" x14ac:dyDescent="0.25">
      <c r="B58" s="5" t="s">
        <v>19</v>
      </c>
      <c r="C58" s="9">
        <f t="shared" si="5"/>
        <v>112362.43506103741</v>
      </c>
      <c r="D58" s="9">
        <f t="shared" si="1"/>
        <v>117175.01224639248</v>
      </c>
      <c r="E58" s="9">
        <f t="shared" si="2"/>
        <v>132305.0144992728</v>
      </c>
      <c r="F58" s="9">
        <f t="shared" si="3"/>
        <v>146021.67463265423</v>
      </c>
      <c r="G58" s="9">
        <f t="shared" si="4"/>
        <v>507864.13643935689</v>
      </c>
      <c r="I58" s="5" t="s">
        <v>19</v>
      </c>
      <c r="J58" s="1">
        <v>42223341.853333332</v>
      </c>
      <c r="K58" s="1">
        <v>41073048.490000002</v>
      </c>
      <c r="L58" s="1">
        <v>33982723.316666663</v>
      </c>
      <c r="M58" s="1">
        <v>49690522.866666667</v>
      </c>
      <c r="N58" s="1">
        <v>42978313.279999994</v>
      </c>
      <c r="O58" s="1">
        <v>38960818.07</v>
      </c>
      <c r="P58" s="1">
        <v>38649955.644999996</v>
      </c>
    </row>
    <row r="59" spans="2:17" x14ac:dyDescent="0.25">
      <c r="B59" s="8" t="s">
        <v>23</v>
      </c>
      <c r="C59" s="9">
        <f>$C$21-(C18+C19+C20)</f>
        <v>620976.96580274077</v>
      </c>
      <c r="D59" s="9">
        <f>$D$21-(D18+D19+D20)</f>
        <v>622325.81999999995</v>
      </c>
      <c r="E59" s="9">
        <f>$E$21-(E18+E19+E20)</f>
        <v>705927.55999999994</v>
      </c>
      <c r="F59" s="9">
        <f>$F$21-(F18+F19+F20)</f>
        <v>757282.81</v>
      </c>
      <c r="G59" s="9">
        <f t="shared" si="4"/>
        <v>2706513.1558027407</v>
      </c>
      <c r="I59" s="8" t="s">
        <v>23</v>
      </c>
      <c r="J59" s="1">
        <f t="shared" ref="J59:P59" si="6">SUM(J45:J58)-J52</f>
        <v>231587742.90000001</v>
      </c>
      <c r="K59" s="1">
        <f t="shared" si="6"/>
        <v>220428806.65666667</v>
      </c>
      <c r="L59" s="1">
        <f t="shared" si="6"/>
        <v>217479759.85999995</v>
      </c>
      <c r="M59" s="1">
        <f t="shared" si="6"/>
        <v>253270255.89666659</v>
      </c>
      <c r="N59" s="1">
        <f t="shared" si="6"/>
        <v>217311163.69666663</v>
      </c>
      <c r="O59" s="1">
        <f t="shared" si="6"/>
        <v>204085834.79333338</v>
      </c>
      <c r="P59" s="1">
        <f t="shared" si="6"/>
        <v>232788049.47999996</v>
      </c>
    </row>
    <row r="60" spans="2:17" x14ac:dyDescent="0.25">
      <c r="B60" s="8" t="s">
        <v>133</v>
      </c>
      <c r="D60" s="9">
        <f>C59+D59</f>
        <v>1243302.7858027406</v>
      </c>
      <c r="E60" s="9">
        <f>E59+D60</f>
        <v>1949230.3458027407</v>
      </c>
      <c r="F60" s="9">
        <f>F59+E60</f>
        <v>2706513.1558027407</v>
      </c>
      <c r="G60" s="9"/>
      <c r="I60" s="8"/>
      <c r="J60" s="1"/>
      <c r="K60" s="1"/>
      <c r="L60" s="1"/>
      <c r="M60" s="1"/>
      <c r="N60" s="1"/>
      <c r="O60" s="1"/>
      <c r="P60" s="1"/>
    </row>
    <row r="63" spans="2:17" ht="15.75" x14ac:dyDescent="0.25">
      <c r="B63" s="39" t="s">
        <v>98</v>
      </c>
      <c r="C63" s="39"/>
      <c r="D63" s="39"/>
      <c r="E63" s="39"/>
      <c r="F63" s="39"/>
      <c r="G63" s="39"/>
      <c r="I63" s="38" t="s">
        <v>104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7">C45-C4</f>
        <v>-16.988161020017287</v>
      </c>
      <c r="D65" s="9">
        <f t="shared" si="7"/>
        <v>441.9623197903129</v>
      </c>
      <c r="E65" s="9">
        <f t="shared" si="7"/>
        <v>-1303.956693098502</v>
      </c>
      <c r="F65" s="9">
        <f t="shared" si="7"/>
        <v>-1187.690631352074</v>
      </c>
      <c r="G65" s="9">
        <f t="shared" ref="G65:G79" si="8">SUM(C65+D65+E65+F65)</f>
        <v>-2066.6731656802804</v>
      </c>
      <c r="I65" t="s">
        <v>6</v>
      </c>
      <c r="J65" s="17">
        <f t="shared" ref="J65:J78" si="9">AVERAGE(J45:M45)</f>
        <v>12620531.198333334</v>
      </c>
      <c r="K65" s="19">
        <f>J65/$J$79</f>
        <v>5.4707362285272773E-2</v>
      </c>
      <c r="L65" s="1">
        <f t="shared" ref="L65:L78" si="10">AVERAGE(K45:N45)</f>
        <v>12495716.18</v>
      </c>
      <c r="M65" s="19">
        <f>L65/$L$79</f>
        <v>5.5017518612415474E-2</v>
      </c>
      <c r="N65" s="1">
        <f t="shared" ref="N65:N78" si="11">AVERAGE(L45:O45)</f>
        <v>12365459.361666666</v>
      </c>
      <c r="O65" s="19">
        <f>N65/$N$79</f>
        <v>5.5441352890064292E-2</v>
      </c>
      <c r="P65" s="1">
        <f t="shared" ref="P65:P70" si="12">AVERAGE(M45:P45)</f>
        <v>12548450.461666666</v>
      </c>
      <c r="Q65" s="19">
        <f>P65/$P$79</f>
        <v>5.5312698744269709E-2</v>
      </c>
    </row>
    <row r="66" spans="2:17" x14ac:dyDescent="0.25">
      <c r="B66" s="5" t="s">
        <v>7</v>
      </c>
      <c r="C66" s="9">
        <f t="shared" si="7"/>
        <v>24.388436735745927</v>
      </c>
      <c r="D66" s="9">
        <f t="shared" si="7"/>
        <v>-2860.457469685567</v>
      </c>
      <c r="E66" s="9">
        <f t="shared" si="7"/>
        <v>8676.168563964311</v>
      </c>
      <c r="F66" s="9">
        <f t="shared" si="7"/>
        <v>1493.8533641273025</v>
      </c>
      <c r="G66" s="9">
        <f t="shared" si="8"/>
        <v>7333.9528951417924</v>
      </c>
      <c r="I66" t="s">
        <v>7</v>
      </c>
      <c r="J66" s="17">
        <f t="shared" si="9"/>
        <v>11862068.668333333</v>
      </c>
      <c r="K66" s="19">
        <f t="shared" ref="K66:K78" si="13">J66/$J$79</f>
        <v>5.1419585902770404E-2</v>
      </c>
      <c r="L66" s="1">
        <f t="shared" si="10"/>
        <v>11138948.066666666</v>
      </c>
      <c r="M66" s="19">
        <f t="shared" ref="M66:M78" si="14">L66/$L$79</f>
        <v>4.9043790187987664E-2</v>
      </c>
      <c r="N66" s="1">
        <f t="shared" si="11"/>
        <v>10342652.319166668</v>
      </c>
      <c r="O66" s="19">
        <f t="shared" ref="O66:O78" si="15">N66/$N$79</f>
        <v>4.6371964055274252E-2</v>
      </c>
      <c r="P66" s="1">
        <f t="shared" si="12"/>
        <v>10274035.867083333</v>
      </c>
      <c r="Q66" s="19">
        <f t="shared" ref="Q66:Q78" si="16">P66/$P$79</f>
        <v>4.5287237060847717E-2</v>
      </c>
    </row>
    <row r="67" spans="2:17" x14ac:dyDescent="0.25">
      <c r="B67" s="5" t="s">
        <v>8</v>
      </c>
      <c r="C67" s="9">
        <f t="shared" si="7"/>
        <v>-828.59584633004852</v>
      </c>
      <c r="D67" s="9">
        <f t="shared" si="7"/>
        <v>-50.551268304952828</v>
      </c>
      <c r="E67" s="9">
        <f t="shared" si="7"/>
        <v>-1450.750563052512</v>
      </c>
      <c r="F67" s="9">
        <f t="shared" si="7"/>
        <v>-3226.7340129415898</v>
      </c>
      <c r="G67" s="9">
        <f t="shared" si="8"/>
        <v>-5556.6316906291031</v>
      </c>
      <c r="I67" t="s">
        <v>8</v>
      </c>
      <c r="J67" s="17">
        <f t="shared" si="9"/>
        <v>14574012.922499999</v>
      </c>
      <c r="K67" s="19">
        <f t="shared" si="13"/>
        <v>6.317529685333266E-2</v>
      </c>
      <c r="L67" s="1">
        <f t="shared" si="10"/>
        <v>14475053.105833333</v>
      </c>
      <c r="M67" s="19">
        <f t="shared" si="14"/>
        <v>6.3732361730537299E-2</v>
      </c>
      <c r="N67" s="1">
        <f t="shared" si="11"/>
        <v>14387928.504166666</v>
      </c>
      <c r="O67" s="19">
        <f t="shared" si="15"/>
        <v>6.4509226727910554E-2</v>
      </c>
      <c r="P67" s="1">
        <f t="shared" si="12"/>
        <v>14779019.531666666</v>
      </c>
      <c r="Q67" s="19">
        <f t="shared" si="16"/>
        <v>6.5144892398306647E-2</v>
      </c>
    </row>
    <row r="68" spans="2:17" x14ac:dyDescent="0.25">
      <c r="B68" s="5" t="s">
        <v>9</v>
      </c>
      <c r="C68" s="9">
        <f t="shared" si="7"/>
        <v>-18.251846462113463</v>
      </c>
      <c r="D68" s="9">
        <f t="shared" si="7"/>
        <v>2632.8414762188913</v>
      </c>
      <c r="E68" s="9">
        <f t="shared" si="7"/>
        <v>-4419.1209088701362</v>
      </c>
      <c r="F68" s="9">
        <f t="shared" si="7"/>
        <v>-2725.8780700767675</v>
      </c>
      <c r="G68" s="9">
        <f t="shared" si="8"/>
        <v>-4530.4093491901258</v>
      </c>
      <c r="I68" s="5" t="s">
        <v>9</v>
      </c>
      <c r="J68" s="17">
        <f t="shared" si="9"/>
        <v>9482383.0133333169</v>
      </c>
      <c r="K68" s="19">
        <f t="shared" si="13"/>
        <v>4.1104146464663004E-2</v>
      </c>
      <c r="L68" s="1">
        <f t="shared" si="10"/>
        <v>9809910.6208333168</v>
      </c>
      <c r="M68" s="19">
        <f t="shared" si="14"/>
        <v>4.3192157407646023E-2</v>
      </c>
      <c r="N68" s="1">
        <f t="shared" si="11"/>
        <v>10055411.631666649</v>
      </c>
      <c r="O68" s="19">
        <f t="shared" si="15"/>
        <v>4.5084101481446925E-2</v>
      </c>
      <c r="P68" s="1">
        <f t="shared" si="12"/>
        <v>10589193.390833324</v>
      </c>
      <c r="Q68" s="19">
        <f t="shared" si="16"/>
        <v>4.6676429552894895E-2</v>
      </c>
    </row>
    <row r="69" spans="2:17" x14ac:dyDescent="0.25">
      <c r="B69" s="5" t="s">
        <v>10</v>
      </c>
      <c r="C69" s="9">
        <f t="shared" si="7"/>
        <v>-96.300439472979633</v>
      </c>
      <c r="D69" s="9">
        <f t="shared" si="7"/>
        <v>1168.7893117564672</v>
      </c>
      <c r="E69" s="9">
        <f t="shared" si="7"/>
        <v>-409.2459766976026</v>
      </c>
      <c r="F69" s="9">
        <f t="shared" si="7"/>
        <v>-778.41737067385111</v>
      </c>
      <c r="G69" s="9">
        <f t="shared" si="8"/>
        <v>-115.17447508796613</v>
      </c>
      <c r="I69" s="5" t="s">
        <v>10</v>
      </c>
      <c r="J69" s="17">
        <f t="shared" si="9"/>
        <v>19070733.297499999</v>
      </c>
      <c r="K69" s="19">
        <f t="shared" si="13"/>
        <v>8.2667638877983715E-2</v>
      </c>
      <c r="L69" s="1">
        <f t="shared" si="10"/>
        <v>18986438.906666666</v>
      </c>
      <c r="M69" s="19">
        <f t="shared" si="14"/>
        <v>8.3595589151019167E-2</v>
      </c>
      <c r="N69" s="1">
        <f t="shared" si="11"/>
        <v>18932539.474166669</v>
      </c>
      <c r="O69" s="19">
        <f t="shared" si="15"/>
        <v>8.4885289853952592E-2</v>
      </c>
      <c r="P69" s="1">
        <f t="shared" si="12"/>
        <v>19289239.672499999</v>
      </c>
      <c r="Q69" s="19">
        <f t="shared" si="16"/>
        <v>8.5025629759652319E-2</v>
      </c>
    </row>
    <row r="70" spans="2:17" x14ac:dyDescent="0.25">
      <c r="B70" s="5" t="s">
        <v>11</v>
      </c>
      <c r="C70" s="9">
        <f t="shared" si="7"/>
        <v>-1498.8900650053474</v>
      </c>
      <c r="D70" s="9">
        <f t="shared" si="7"/>
        <v>-337.96994694480236</v>
      </c>
      <c r="E70" s="9">
        <f t="shared" si="7"/>
        <v>974.1079738123517</v>
      </c>
      <c r="F70" s="9">
        <f t="shared" si="7"/>
        <v>-1199.8240742342823</v>
      </c>
      <c r="G70" s="9">
        <f t="shared" si="8"/>
        <v>-2062.5761123720804</v>
      </c>
      <c r="I70" s="5" t="s">
        <v>11</v>
      </c>
      <c r="J70" s="17">
        <f t="shared" si="9"/>
        <v>12111987.009999992</v>
      </c>
      <c r="K70" s="19">
        <f t="shared" si="13"/>
        <v>5.2502929626139047E-2</v>
      </c>
      <c r="L70" s="1">
        <f t="shared" si="10"/>
        <v>12123787.407499984</v>
      </c>
      <c r="M70" s="19">
        <f t="shared" si="14"/>
        <v>5.3379949555248198E-2</v>
      </c>
      <c r="N70" s="1">
        <f t="shared" si="11"/>
        <v>12174263.188333325</v>
      </c>
      <c r="O70" s="19">
        <f t="shared" si="15"/>
        <v>5.4584112232279713E-2</v>
      </c>
      <c r="P70" s="1">
        <f t="shared" si="12"/>
        <v>12546198.770833325</v>
      </c>
      <c r="Q70" s="19">
        <f t="shared" si="16"/>
        <v>5.5302773447348762E-2</v>
      </c>
    </row>
    <row r="71" spans="2:17" x14ac:dyDescent="0.25">
      <c r="B71" s="5" t="s">
        <v>12</v>
      </c>
      <c r="C71" s="9">
        <f t="shared" si="7"/>
        <v>0</v>
      </c>
      <c r="D71" s="9">
        <f t="shared" si="7"/>
        <v>0</v>
      </c>
      <c r="E71" s="9">
        <f t="shared" si="7"/>
        <v>0</v>
      </c>
      <c r="F71" s="9">
        <f t="shared" si="7"/>
        <v>0</v>
      </c>
      <c r="G71" s="9">
        <f t="shared" si="8"/>
        <v>0</v>
      </c>
      <c r="I71" s="5" t="s">
        <v>12</v>
      </c>
      <c r="J71" s="17">
        <f t="shared" si="9"/>
        <v>0</v>
      </c>
      <c r="K71" s="19">
        <f t="shared" si="13"/>
        <v>0</v>
      </c>
      <c r="L71" s="1">
        <f t="shared" si="10"/>
        <v>0</v>
      </c>
      <c r="M71" s="19">
        <f t="shared" si="14"/>
        <v>0</v>
      </c>
      <c r="N71" s="1">
        <f t="shared" si="11"/>
        <v>0</v>
      </c>
      <c r="O71" s="19">
        <f t="shared" si="15"/>
        <v>0</v>
      </c>
      <c r="P71" s="1">
        <v>0</v>
      </c>
      <c r="Q71" s="19">
        <f t="shared" si="16"/>
        <v>0</v>
      </c>
    </row>
    <row r="72" spans="2:17" x14ac:dyDescent="0.25">
      <c r="B72" s="5" t="s">
        <v>13</v>
      </c>
      <c r="C72" s="9">
        <f t="shared" si="7"/>
        <v>0</v>
      </c>
      <c r="D72" s="9">
        <f t="shared" si="7"/>
        <v>0</v>
      </c>
      <c r="E72" s="9">
        <f t="shared" si="7"/>
        <v>0</v>
      </c>
      <c r="F72" s="9">
        <f t="shared" si="7"/>
        <v>0</v>
      </c>
      <c r="G72" s="9">
        <f t="shared" si="8"/>
        <v>0</v>
      </c>
      <c r="I72" s="5" t="s">
        <v>13</v>
      </c>
      <c r="J72" s="17">
        <f t="shared" si="9"/>
        <v>-244683.96249999999</v>
      </c>
      <c r="K72" s="19">
        <f t="shared" si="13"/>
        <v>-1.0606537848146481E-3</v>
      </c>
      <c r="L72" s="1">
        <f t="shared" si="10"/>
        <v>-442548.43416666676</v>
      </c>
      <c r="M72" s="19">
        <f t="shared" si="14"/>
        <v>-1.9485010993311399E-3</v>
      </c>
      <c r="N72" s="1">
        <f t="shared" si="11"/>
        <v>-609120.86</v>
      </c>
      <c r="O72" s="19">
        <f t="shared" si="15"/>
        <v>-2.7310335640784254E-3</v>
      </c>
      <c r="P72" s="1">
        <f t="shared" ref="P72:P78" si="17">AVERAGE(M52:P52)</f>
        <v>-730345.0229166667</v>
      </c>
      <c r="Q72" s="19">
        <f t="shared" si="16"/>
        <v>-3.2193101734252559E-3</v>
      </c>
    </row>
    <row r="73" spans="2:17" x14ac:dyDescent="0.25">
      <c r="B73" s="5" t="s">
        <v>14</v>
      </c>
      <c r="C73" s="9">
        <f t="shared" si="7"/>
        <v>-26.228728305570257</v>
      </c>
      <c r="D73" s="9">
        <f t="shared" si="7"/>
        <v>1484.9849568695354</v>
      </c>
      <c r="E73" s="9">
        <f t="shared" si="7"/>
        <v>-2667.8335373800874</v>
      </c>
      <c r="F73" s="9">
        <f t="shared" si="7"/>
        <v>-1581.9800551601002</v>
      </c>
      <c r="G73" s="9">
        <f t="shared" si="8"/>
        <v>-2791.0573639762224</v>
      </c>
      <c r="I73" s="5" t="s">
        <v>14</v>
      </c>
      <c r="J73" s="17">
        <f t="shared" si="9"/>
        <v>15608770.969166666</v>
      </c>
      <c r="K73" s="19">
        <f t="shared" si="13"/>
        <v>6.7660756494212923E-2</v>
      </c>
      <c r="L73" s="1">
        <f t="shared" si="10"/>
        <v>15629972.585833333</v>
      </c>
      <c r="M73" s="19">
        <f t="shared" si="14"/>
        <v>6.8817368709844451E-2</v>
      </c>
      <c r="N73" s="1">
        <f t="shared" si="11"/>
        <v>15640657.6975</v>
      </c>
      <c r="O73" s="19">
        <f t="shared" si="15"/>
        <v>7.0125920718154502E-2</v>
      </c>
      <c r="P73" s="1">
        <f t="shared" si="17"/>
        <v>15968772.171666665</v>
      </c>
      <c r="Q73" s="19">
        <f t="shared" si="16"/>
        <v>7.0389239463910708E-2</v>
      </c>
    </row>
    <row r="74" spans="2:17" x14ac:dyDescent="0.25">
      <c r="B74" s="5" t="s">
        <v>15</v>
      </c>
      <c r="C74" s="9">
        <f t="shared" si="7"/>
        <v>-8.7969122074573534</v>
      </c>
      <c r="D74" s="9">
        <f t="shared" si="7"/>
        <v>574.12573083021198</v>
      </c>
      <c r="E74" s="9">
        <f t="shared" si="7"/>
        <v>-1046.5371494725623</v>
      </c>
      <c r="F74" s="9">
        <f t="shared" si="7"/>
        <v>-635.97795565719207</v>
      </c>
      <c r="G74" s="9">
        <f t="shared" si="8"/>
        <v>-1117.1862865069997</v>
      </c>
      <c r="I74" s="5" t="s">
        <v>15</v>
      </c>
      <c r="J74" s="17">
        <f t="shared" si="9"/>
        <v>6821148.4649999999</v>
      </c>
      <c r="K74" s="19">
        <f t="shared" si="13"/>
        <v>2.9568251479435956E-2</v>
      </c>
      <c r="L74" s="1">
        <f t="shared" si="10"/>
        <v>6814844.9850000003</v>
      </c>
      <c r="M74" s="19">
        <f t="shared" si="14"/>
        <v>3.0005151797787052E-2</v>
      </c>
      <c r="N74" s="1">
        <f t="shared" si="11"/>
        <v>6790381.8574999999</v>
      </c>
      <c r="O74" s="19">
        <f t="shared" si="15"/>
        <v>3.0445125070485527E-2</v>
      </c>
      <c r="P74" s="1">
        <f t="shared" si="17"/>
        <v>6795586.2208333332</v>
      </c>
      <c r="Q74" s="19">
        <f t="shared" si="16"/>
        <v>2.9954472432426559E-2</v>
      </c>
    </row>
    <row r="75" spans="2:17" x14ac:dyDescent="0.25">
      <c r="B75" s="5" t="s">
        <v>16</v>
      </c>
      <c r="C75" s="9">
        <f t="shared" si="7"/>
        <v>1081.5442404886708</v>
      </c>
      <c r="D75" s="9">
        <f t="shared" si="7"/>
        <v>-3529.674887840345</v>
      </c>
      <c r="E75" s="9">
        <f t="shared" si="7"/>
        <v>3976.8744202803209</v>
      </c>
      <c r="F75" s="9">
        <f t="shared" si="7"/>
        <v>-1252.756526752637</v>
      </c>
      <c r="G75" s="9">
        <f t="shared" si="8"/>
        <v>275.98724617600965</v>
      </c>
      <c r="I75" s="5" t="s">
        <v>16</v>
      </c>
      <c r="J75" s="17">
        <f t="shared" si="9"/>
        <v>30476404.250000007</v>
      </c>
      <c r="K75" s="19">
        <f t="shared" si="13"/>
        <v>0.13210883616985619</v>
      </c>
      <c r="L75" s="1">
        <f t="shared" si="10"/>
        <v>29372886.600000009</v>
      </c>
      <c r="M75" s="19">
        <f t="shared" si="14"/>
        <v>0.12932618762599565</v>
      </c>
      <c r="N75" s="1">
        <f t="shared" si="11"/>
        <v>28249539.78583334</v>
      </c>
      <c r="O75" s="19">
        <f t="shared" si="15"/>
        <v>0.12665867546365053</v>
      </c>
      <c r="P75" s="1">
        <f t="shared" si="17"/>
        <v>27804780.454166666</v>
      </c>
      <c r="Q75" s="19">
        <f t="shared" si="16"/>
        <v>0.12256154252750745</v>
      </c>
    </row>
    <row r="76" spans="2:17" x14ac:dyDescent="0.25">
      <c r="B76" s="5" t="s">
        <v>17</v>
      </c>
      <c r="C76" s="9">
        <f t="shared" si="7"/>
        <v>4012.1090738422645</v>
      </c>
      <c r="D76" s="9">
        <f t="shared" si="7"/>
        <v>-5775.8409099603014</v>
      </c>
      <c r="E76" s="9">
        <f t="shared" si="7"/>
        <v>10527.313264571712</v>
      </c>
      <c r="F76" s="9">
        <f t="shared" si="7"/>
        <v>-77.278707116027363</v>
      </c>
      <c r="G76" s="9">
        <f t="shared" si="8"/>
        <v>8686.3027213376481</v>
      </c>
      <c r="I76" s="5" t="s">
        <v>17</v>
      </c>
      <c r="J76" s="17">
        <f t="shared" si="9"/>
        <v>51820653.110833317</v>
      </c>
      <c r="K76" s="19">
        <f t="shared" si="13"/>
        <v>0.22463168935141112</v>
      </c>
      <c r="L76" s="1">
        <f t="shared" si="10"/>
        <v>49175345.368333325</v>
      </c>
      <c r="M76" s="19">
        <f t="shared" si="14"/>
        <v>0.21651463910524235</v>
      </c>
      <c r="N76" s="1">
        <f t="shared" si="11"/>
        <v>47668211.094999999</v>
      </c>
      <c r="O76" s="19">
        <f t="shared" si="15"/>
        <v>0.21372356947358623</v>
      </c>
      <c r="P76" s="1">
        <f t="shared" si="17"/>
        <v>48549028.342916667</v>
      </c>
      <c r="Q76" s="19">
        <f t="shared" si="16"/>
        <v>0.21400074752353876</v>
      </c>
    </row>
    <row r="77" spans="2:17" x14ac:dyDescent="0.25">
      <c r="B77" s="5" t="s">
        <v>18</v>
      </c>
      <c r="C77" s="9">
        <f t="shared" si="7"/>
        <v>-5.4248133006058197</v>
      </c>
      <c r="D77" s="9">
        <f t="shared" si="7"/>
        <v>4057.7584408777075</v>
      </c>
      <c r="E77" s="9">
        <f t="shared" si="7"/>
        <v>-1990.1738933301076</v>
      </c>
      <c r="F77" s="9">
        <f t="shared" si="7"/>
        <v>410.96940718303085</v>
      </c>
      <c r="G77" s="9">
        <f t="shared" si="8"/>
        <v>2473.1291414300249</v>
      </c>
      <c r="I77" s="5" t="s">
        <v>18</v>
      </c>
      <c r="J77" s="17">
        <f t="shared" si="9"/>
        <v>4500539.291666667</v>
      </c>
      <c r="K77" s="19">
        <f t="shared" si="13"/>
        <v>1.9508896229409746E-2</v>
      </c>
      <c r="L77" s="1">
        <f t="shared" si="10"/>
        <v>5168440.7124999994</v>
      </c>
      <c r="M77" s="19">
        <f t="shared" si="14"/>
        <v>2.2756181318543248E-2</v>
      </c>
      <c r="N77" s="1">
        <f t="shared" si="11"/>
        <v>5026614.2633333337</v>
      </c>
      <c r="O77" s="19">
        <f t="shared" si="15"/>
        <v>2.2537156693071853E-2</v>
      </c>
      <c r="P77" s="1">
        <f t="shared" si="17"/>
        <v>5149618.6170833334</v>
      </c>
      <c r="Q77" s="19">
        <f t="shared" si="16"/>
        <v>2.2699161468959676E-2</v>
      </c>
    </row>
    <row r="78" spans="2:17" x14ac:dyDescent="0.25">
      <c r="B78" s="5" t="s">
        <v>19</v>
      </c>
      <c r="C78" s="9">
        <f t="shared" si="7"/>
        <v>-2618.5649389625905</v>
      </c>
      <c r="D78" s="9">
        <f t="shared" si="7"/>
        <v>2194.0322463924822</v>
      </c>
      <c r="E78" s="9">
        <f t="shared" si="7"/>
        <v>-10866.845500727184</v>
      </c>
      <c r="F78" s="9">
        <f t="shared" si="7"/>
        <v>10761.714632654242</v>
      </c>
      <c r="G78" s="9">
        <f t="shared" si="8"/>
        <v>-529.66356064305</v>
      </c>
      <c r="I78" s="5" t="s">
        <v>19</v>
      </c>
      <c r="J78" s="17">
        <f t="shared" si="9"/>
        <v>41742409.131666668</v>
      </c>
      <c r="K78" s="19">
        <f t="shared" si="13"/>
        <v>0.18094461026551251</v>
      </c>
      <c r="L78" s="1">
        <f t="shared" si="10"/>
        <v>41931151.988333337</v>
      </c>
      <c r="M78" s="19">
        <f t="shared" si="14"/>
        <v>0.18461910479773327</v>
      </c>
      <c r="N78" s="1">
        <f t="shared" si="11"/>
        <v>41403094.383333333</v>
      </c>
      <c r="O78" s="19">
        <f t="shared" si="15"/>
        <v>0.18563350534012293</v>
      </c>
      <c r="P78" s="1">
        <f t="shared" si="17"/>
        <v>42569902.46541667</v>
      </c>
      <c r="Q78" s="19">
        <f t="shared" si="16"/>
        <v>0.1876451756203367</v>
      </c>
    </row>
    <row r="79" spans="2:17" x14ac:dyDescent="0.25">
      <c r="B79" s="8" t="s">
        <v>23</v>
      </c>
      <c r="C79" s="9">
        <f>SUM(C65:C78)</f>
        <v>-4.9112713895738125E-11</v>
      </c>
      <c r="D79" s="9">
        <f>SUM(D65:D78)</f>
        <v>-3.6015990190207958E-10</v>
      </c>
      <c r="E79" s="9">
        <f>SUM(E65:E78)</f>
        <v>0</v>
      </c>
      <c r="F79" s="9">
        <f>SUM(F65:F78)</f>
        <v>5.4569682106375694E-11</v>
      </c>
      <c r="G79" s="9">
        <f t="shared" si="8"/>
        <v>-3.5470293369144201E-10</v>
      </c>
      <c r="I79" s="18" t="s">
        <v>23</v>
      </c>
      <c r="J79" s="1">
        <f>SUM(J65:J78)-J72</f>
        <v>230691641.32833329</v>
      </c>
      <c r="K79" s="10">
        <f t="shared" ref="K79:P79" si="18">SUM(K65:K78)-K72</f>
        <v>1</v>
      </c>
      <c r="L79" s="1">
        <f t="shared" si="18"/>
        <v>227122496.5275</v>
      </c>
      <c r="M79" s="10">
        <f t="shared" si="18"/>
        <v>0.99999999999999989</v>
      </c>
      <c r="N79" s="1">
        <f t="shared" si="18"/>
        <v>223036753.56166667</v>
      </c>
      <c r="O79" s="10">
        <f t="shared" si="18"/>
        <v>0.99999999999999989</v>
      </c>
      <c r="P79" s="1">
        <f t="shared" si="18"/>
        <v>226863825.96666667</v>
      </c>
      <c r="Q79" s="10">
        <f>SUM(Q65:Q78)-Q72</f>
        <v>0.99999999999999978</v>
      </c>
    </row>
    <row r="82" spans="9:17" ht="15.75" x14ac:dyDescent="0.25">
      <c r="I82" s="38" t="s">
        <v>176</v>
      </c>
      <c r="J82" s="38"/>
      <c r="K82" s="38"/>
      <c r="L82" s="38"/>
      <c r="M82" s="38"/>
      <c r="N82" s="38"/>
      <c r="O82" s="38"/>
      <c r="P82" s="38"/>
      <c r="Q82" s="38"/>
    </row>
    <row r="83" spans="9:17" x14ac:dyDescent="0.25">
      <c r="I83"/>
      <c r="J83"/>
      <c r="K83"/>
      <c r="L83"/>
      <c r="M83"/>
      <c r="N83"/>
      <c r="O83"/>
      <c r="P83"/>
      <c r="Q83"/>
    </row>
    <row r="84" spans="9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9:17" x14ac:dyDescent="0.25">
      <c r="I85" s="18" t="s">
        <v>159</v>
      </c>
      <c r="J85" t="s">
        <v>177</v>
      </c>
      <c r="K85"/>
      <c r="L85"/>
      <c r="M85"/>
      <c r="N85"/>
      <c r="O85"/>
      <c r="P85"/>
      <c r="Q85"/>
    </row>
    <row r="86" spans="9:17" x14ac:dyDescent="0.25">
      <c r="I86" s="8" t="s">
        <v>160</v>
      </c>
      <c r="J86" s="5" t="s">
        <v>179</v>
      </c>
      <c r="K86"/>
      <c r="L86"/>
      <c r="M86"/>
      <c r="N86"/>
      <c r="O86"/>
      <c r="P86"/>
      <c r="Q86"/>
    </row>
    <row r="87" spans="9:17" x14ac:dyDescent="0.25">
      <c r="I87" s="18" t="s">
        <v>162</v>
      </c>
      <c r="J87" t="s">
        <v>161</v>
      </c>
      <c r="K87"/>
      <c r="L87"/>
      <c r="M87"/>
      <c r="N87"/>
      <c r="O87"/>
      <c r="P87"/>
      <c r="Q87"/>
    </row>
    <row r="88" spans="9:17" x14ac:dyDescent="0.25">
      <c r="I88" s="8" t="s">
        <v>170</v>
      </c>
      <c r="J88" s="5" t="s">
        <v>171</v>
      </c>
    </row>
  </sheetData>
  <sheetProtection algorithmName="SHA-512" hashValue="0/VEUkb+x8tLAMXjohe8PkLtf0xbysGSh6MBOf2DfbjnyUbUjxlkMvs/2zN3uGN+6CzwaOdiJs5+Be0JeAZT0A==" saltValue="OoNg8JH81T6IsCP604nb4g==" spinCount="100000" sheet="1" objects="1" scenarios="1"/>
  <mergeCells count="8">
    <mergeCell ref="I82:Q82"/>
    <mergeCell ref="B63:G63"/>
    <mergeCell ref="I43:P43"/>
    <mergeCell ref="I63:Q63"/>
    <mergeCell ref="B2:G2"/>
    <mergeCell ref="B43:G43"/>
    <mergeCell ref="I24:N24"/>
    <mergeCell ref="I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F00A-696C-49D6-A29D-1BE0525E496C}">
  <dimension ref="B2:Q89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1.140625" style="5" bestFit="1" customWidth="1"/>
    <col min="3" max="3" width="13.42578125" style="5" bestFit="1" customWidth="1"/>
    <col min="4" max="7" width="14.28515625" style="5" bestFit="1" customWidth="1"/>
    <col min="8" max="8" width="9.140625" style="5"/>
    <col min="9" max="9" width="14" style="5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6384" width="9.140625" style="5"/>
  </cols>
  <sheetData>
    <row r="2" spans="2:14" ht="15.75" x14ac:dyDescent="0.25">
      <c r="B2" s="39" t="s">
        <v>41</v>
      </c>
      <c r="C2" s="39"/>
      <c r="D2" s="39"/>
      <c r="E2" s="39"/>
      <c r="F2" s="39"/>
      <c r="G2" s="39"/>
      <c r="H2" s="4"/>
      <c r="I2" s="39" t="s">
        <v>42</v>
      </c>
      <c r="J2" s="39"/>
      <c r="K2" s="39"/>
      <c r="L2" s="39"/>
      <c r="M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25663.75</v>
      </c>
      <c r="D4" s="2">
        <v>38696</v>
      </c>
      <c r="E4" s="2">
        <v>35971</v>
      </c>
      <c r="F4" s="2">
        <v>37619</v>
      </c>
      <c r="G4" s="2">
        <f t="shared" ref="G4:G20" si="0">C4+D4+E4+F4</f>
        <v>137949.75</v>
      </c>
      <c r="I4" s="5" t="s">
        <v>6</v>
      </c>
      <c r="J4" s="1">
        <v>14404436.173333332</v>
      </c>
      <c r="K4" s="1">
        <v>12118061.880000001</v>
      </c>
      <c r="L4" s="1">
        <v>11730359.789999999</v>
      </c>
      <c r="M4" s="1">
        <v>13434217.335000001</v>
      </c>
      <c r="N4" s="1">
        <v>12441163.32</v>
      </c>
    </row>
    <row r="5" spans="2:14" x14ac:dyDescent="0.25">
      <c r="B5" s="5" t="s">
        <v>7</v>
      </c>
      <c r="C5" s="1">
        <v>28951.99</v>
      </c>
      <c r="D5" s="1">
        <v>44688.21</v>
      </c>
      <c r="E5" s="1">
        <v>0</v>
      </c>
      <c r="F5" s="1">
        <v>39471.01</v>
      </c>
      <c r="G5" s="2">
        <f t="shared" si="0"/>
        <v>113111.20999999999</v>
      </c>
      <c r="I5" s="5" t="s">
        <v>7</v>
      </c>
      <c r="J5" s="1">
        <v>16893730.953333333</v>
      </c>
      <c r="K5" s="1">
        <v>12449207.593333334</v>
      </c>
      <c r="L5" s="1">
        <v>10577467.806666667</v>
      </c>
      <c r="M5" s="1">
        <v>13368358.970000001</v>
      </c>
      <c r="N5" s="1">
        <v>10614457.393333333</v>
      </c>
    </row>
    <row r="6" spans="2:14" x14ac:dyDescent="0.25">
      <c r="B6" s="5" t="s">
        <v>8</v>
      </c>
      <c r="C6" s="1">
        <v>28318.919379251751</v>
      </c>
      <c r="D6" s="1">
        <v>43952</v>
      </c>
      <c r="E6" s="1">
        <v>42034.01</v>
      </c>
      <c r="F6" s="1">
        <v>45370.01</v>
      </c>
      <c r="G6" s="2">
        <f t="shared" si="0"/>
        <v>159674.93937925177</v>
      </c>
      <c r="I6" s="5" t="s">
        <v>8</v>
      </c>
      <c r="J6" s="1">
        <v>16608979.496666664</v>
      </c>
      <c r="K6" s="1">
        <v>14254892.173333332</v>
      </c>
      <c r="L6" s="1">
        <v>13530551.376666665</v>
      </c>
      <c r="M6" s="1">
        <v>15962246.449999999</v>
      </c>
      <c r="N6" s="1">
        <v>14414700.130000001</v>
      </c>
    </row>
    <row r="7" spans="2:14" x14ac:dyDescent="0.25">
      <c r="B7" s="5" t="s">
        <v>9</v>
      </c>
      <c r="C7" s="1">
        <v>16993.259999999998</v>
      </c>
      <c r="D7" s="1">
        <v>26023</v>
      </c>
      <c r="E7" s="1">
        <v>24648</v>
      </c>
      <c r="F7" s="1">
        <v>32016</v>
      </c>
      <c r="G7" s="2">
        <f t="shared" si="0"/>
        <v>99680.26</v>
      </c>
      <c r="I7" s="5" t="s">
        <v>9</v>
      </c>
      <c r="J7" s="1">
        <v>10786116.366666667</v>
      </c>
      <c r="K7" s="1">
        <v>9172573.4699999988</v>
      </c>
      <c r="L7" s="1">
        <v>8733368.746666668</v>
      </c>
      <c r="M7" s="1">
        <v>11559738.164999999</v>
      </c>
      <c r="N7" s="1">
        <v>10210760.423333334</v>
      </c>
    </row>
    <row r="8" spans="2:14" x14ac:dyDescent="0.25">
      <c r="B8" s="5" t="s">
        <v>10</v>
      </c>
      <c r="C8" s="1">
        <v>36459.269999999997</v>
      </c>
      <c r="D8" s="1">
        <v>57249.99</v>
      </c>
      <c r="E8" s="1">
        <v>53539</v>
      </c>
      <c r="F8" s="1">
        <v>58698</v>
      </c>
      <c r="G8" s="2">
        <f t="shared" si="0"/>
        <v>205946.26</v>
      </c>
      <c r="I8" s="5" t="s">
        <v>10</v>
      </c>
      <c r="J8" s="1">
        <v>20763756.72666667</v>
      </c>
      <c r="K8" s="1">
        <v>19086074.626666665</v>
      </c>
      <c r="L8" s="1">
        <v>17344923.363333333</v>
      </c>
      <c r="M8" s="1">
        <v>20405184.094999999</v>
      </c>
      <c r="N8" s="1">
        <v>19143564.556666669</v>
      </c>
    </row>
    <row r="9" spans="2:14" x14ac:dyDescent="0.25">
      <c r="B9" s="5" t="s">
        <v>11</v>
      </c>
      <c r="C9" s="1">
        <v>22984.92</v>
      </c>
      <c r="D9" s="1">
        <v>36141</v>
      </c>
      <c r="E9" s="1">
        <v>34253</v>
      </c>
      <c r="F9" s="1">
        <v>35850</v>
      </c>
      <c r="G9" s="2">
        <f t="shared" si="0"/>
        <v>129228.92</v>
      </c>
      <c r="I9" s="5" t="s">
        <v>11</v>
      </c>
      <c r="J9" s="1">
        <v>13323694.336666666</v>
      </c>
      <c r="K9" s="1">
        <v>11890258.763333334</v>
      </c>
      <c r="L9" s="1">
        <v>11682948.613333335</v>
      </c>
      <c r="M9" s="1">
        <v>12331295.460000001</v>
      </c>
      <c r="N9" s="1">
        <v>11869152.08</v>
      </c>
    </row>
    <row r="10" spans="2:14" x14ac:dyDescent="0.25">
      <c r="B10" s="5" t="s">
        <v>12</v>
      </c>
      <c r="C10" s="1">
        <v>0</v>
      </c>
      <c r="D10" s="1">
        <v>0</v>
      </c>
      <c r="E10" s="1">
        <v>0</v>
      </c>
      <c r="F10" s="1">
        <v>0</v>
      </c>
      <c r="G10" s="2">
        <f t="shared" si="0"/>
        <v>0</v>
      </c>
      <c r="I10" s="5" t="s">
        <v>12</v>
      </c>
      <c r="J10" s="3">
        <v>-492410.60666666669</v>
      </c>
      <c r="K10" s="3">
        <v>-294375.93</v>
      </c>
      <c r="L10" s="3">
        <v>-294513.82666666666</v>
      </c>
      <c r="M10" s="3">
        <v>-133736.79999999999</v>
      </c>
      <c r="N10" s="1">
        <v>-317201.27333333332</v>
      </c>
    </row>
    <row r="11" spans="2:14" x14ac:dyDescent="0.25">
      <c r="B11" s="5" t="s">
        <v>13</v>
      </c>
      <c r="C11" s="1">
        <v>0</v>
      </c>
      <c r="D11" s="1">
        <v>0</v>
      </c>
      <c r="E11" s="1">
        <v>0</v>
      </c>
      <c r="F11" s="1">
        <v>0</v>
      </c>
      <c r="G11" s="2">
        <f t="shared" si="0"/>
        <v>0</v>
      </c>
      <c r="I11" s="5" t="s">
        <v>13</v>
      </c>
      <c r="J11" s="3">
        <v>195612.49</v>
      </c>
      <c r="K11" s="3">
        <v>195612.49</v>
      </c>
      <c r="L11" s="3">
        <v>195612.49</v>
      </c>
      <c r="M11" s="3">
        <v>195607.87</v>
      </c>
      <c r="N11" s="1">
        <v>133492.54</v>
      </c>
    </row>
    <row r="12" spans="2:14" x14ac:dyDescent="0.25">
      <c r="B12" s="5" t="s">
        <v>14</v>
      </c>
      <c r="C12" s="1">
        <v>30756</v>
      </c>
      <c r="D12" s="1">
        <v>47430</v>
      </c>
      <c r="E12" s="1">
        <v>43974</v>
      </c>
      <c r="F12" s="1">
        <v>44737</v>
      </c>
      <c r="G12" s="2">
        <f t="shared" si="0"/>
        <v>166897</v>
      </c>
      <c r="I12" s="5" t="s">
        <v>14</v>
      </c>
      <c r="J12" s="1">
        <v>17144145.566666666</v>
      </c>
      <c r="K12" s="1">
        <v>15434778.033333333</v>
      </c>
      <c r="L12" s="1">
        <v>14368471.396666666</v>
      </c>
      <c r="M12" s="1">
        <v>15773652.17</v>
      </c>
      <c r="N12" s="1">
        <v>14999894.363333335</v>
      </c>
    </row>
    <row r="13" spans="2:14" x14ac:dyDescent="0.25">
      <c r="B13" s="5" t="s">
        <v>15</v>
      </c>
      <c r="C13" s="1">
        <v>13647.77</v>
      </c>
      <c r="D13" s="1">
        <v>20934</v>
      </c>
      <c r="E13" s="1">
        <v>19323</v>
      </c>
      <c r="F13" s="1">
        <v>19298</v>
      </c>
      <c r="G13" s="2">
        <f t="shared" si="0"/>
        <v>73202.77</v>
      </c>
      <c r="I13" s="5" t="s">
        <v>15</v>
      </c>
      <c r="J13" s="1">
        <v>7285924.7966666669</v>
      </c>
      <c r="K13" s="1">
        <v>6699838.4799999995</v>
      </c>
      <c r="L13" s="1">
        <v>6555788.5766666671</v>
      </c>
      <c r="M13" s="1">
        <v>6878803.9450000003</v>
      </c>
      <c r="N13" s="1">
        <v>6680718.8066666676</v>
      </c>
    </row>
    <row r="14" spans="2:14" x14ac:dyDescent="0.25">
      <c r="B14" s="5" t="s">
        <v>16</v>
      </c>
      <c r="C14" s="1">
        <v>59333.87</v>
      </c>
      <c r="D14" s="1">
        <v>95677</v>
      </c>
      <c r="E14" s="1">
        <v>90037</v>
      </c>
      <c r="F14" s="1">
        <v>86596</v>
      </c>
      <c r="G14" s="2">
        <f t="shared" si="0"/>
        <v>331643.87</v>
      </c>
      <c r="I14" s="5" t="s">
        <v>16</v>
      </c>
      <c r="J14" s="1">
        <v>28921975.72666667</v>
      </c>
      <c r="K14" s="1">
        <v>25527303.819999997</v>
      </c>
      <c r="L14" s="1">
        <v>25633003.010000002</v>
      </c>
      <c r="M14" s="1">
        <v>26424897.064999998</v>
      </c>
      <c r="N14" s="1">
        <v>25529651.516666666</v>
      </c>
    </row>
    <row r="15" spans="2:14" x14ac:dyDescent="0.25">
      <c r="B15" s="5" t="s">
        <v>17</v>
      </c>
      <c r="C15" s="1">
        <v>104563.77657329506</v>
      </c>
      <c r="D15" s="1">
        <v>157106.01</v>
      </c>
      <c r="E15" s="1">
        <v>145352.01</v>
      </c>
      <c r="F15" s="1">
        <v>145223</v>
      </c>
      <c r="G15" s="2">
        <f t="shared" si="0"/>
        <v>552244.79657329503</v>
      </c>
      <c r="I15" s="5" t="s">
        <v>17</v>
      </c>
      <c r="J15" s="1">
        <v>57454432.270000003</v>
      </c>
      <c r="K15" s="1">
        <v>49592371.336666666</v>
      </c>
      <c r="L15" s="1">
        <v>47673976.096666671</v>
      </c>
      <c r="M15" s="1">
        <v>51563429.450000003</v>
      </c>
      <c r="N15" s="1">
        <v>48242487.223333336</v>
      </c>
    </row>
    <row r="16" spans="2:14" x14ac:dyDescent="0.25">
      <c r="B16" s="5" t="s">
        <v>18</v>
      </c>
      <c r="C16" s="1">
        <v>11854.37</v>
      </c>
      <c r="D16" s="1">
        <v>17075</v>
      </c>
      <c r="E16" s="1">
        <v>14252</v>
      </c>
      <c r="F16" s="1">
        <v>13269</v>
      </c>
      <c r="G16" s="2">
        <f t="shared" si="0"/>
        <v>56450.37</v>
      </c>
      <c r="I16" s="5" t="s">
        <v>18</v>
      </c>
      <c r="J16" s="1">
        <v>4472150.4666666659</v>
      </c>
      <c r="K16" s="1">
        <v>3059767.7166666668</v>
      </c>
      <c r="L16" s="1">
        <v>5912426.9466666663</v>
      </c>
      <c r="M16" s="1">
        <v>6413906.4900000002</v>
      </c>
      <c r="N16" s="1">
        <v>5148920.03</v>
      </c>
    </row>
    <row r="17" spans="2:14" x14ac:dyDescent="0.25">
      <c r="B17" s="5" t="s">
        <v>19</v>
      </c>
      <c r="C17" s="1">
        <v>66723.05</v>
      </c>
      <c r="D17" s="1">
        <v>109339</v>
      </c>
      <c r="E17" s="1">
        <v>107647</v>
      </c>
      <c r="F17" s="1">
        <v>121808</v>
      </c>
      <c r="G17" s="2">
        <f t="shared" si="0"/>
        <v>405517.05</v>
      </c>
      <c r="I17" s="5" t="s">
        <v>19</v>
      </c>
      <c r="J17" s="1">
        <v>36337998.546666667</v>
      </c>
      <c r="K17" s="1">
        <v>42223341.853333332</v>
      </c>
      <c r="L17" s="1">
        <v>41073048.490000002</v>
      </c>
      <c r="M17" s="1">
        <v>29639317.219999999</v>
      </c>
      <c r="N17" s="1">
        <v>33982723.316666663</v>
      </c>
    </row>
    <row r="18" spans="2:14" x14ac:dyDescent="0.25">
      <c r="B18" s="14" t="s">
        <v>20</v>
      </c>
      <c r="C18" s="15">
        <v>333.31</v>
      </c>
      <c r="D18" s="15">
        <v>543</v>
      </c>
      <c r="E18" s="15">
        <v>526</v>
      </c>
      <c r="F18" s="15">
        <v>591</v>
      </c>
      <c r="G18" s="20">
        <f t="shared" si="0"/>
        <v>1993.31</v>
      </c>
      <c r="I18" s="14" t="s">
        <v>20</v>
      </c>
      <c r="J18" s="15">
        <v>175041.84</v>
      </c>
      <c r="K18" s="15">
        <v>188434.45333333334</v>
      </c>
      <c r="L18" s="15">
        <v>197668.28333333333</v>
      </c>
      <c r="M18" s="15">
        <v>210003.48499999999</v>
      </c>
      <c r="N18" s="15">
        <v>217625.29666666666</v>
      </c>
    </row>
    <row r="19" spans="2:14" x14ac:dyDescent="0.25">
      <c r="B19" s="14" t="s">
        <v>21</v>
      </c>
      <c r="C19" s="15">
        <v>3416.16</v>
      </c>
      <c r="D19" s="15">
        <v>5146</v>
      </c>
      <c r="E19" s="15">
        <v>4403</v>
      </c>
      <c r="F19" s="15">
        <v>3495</v>
      </c>
      <c r="G19" s="20">
        <f t="shared" si="0"/>
        <v>16460.16</v>
      </c>
      <c r="I19" s="14" t="s">
        <v>21</v>
      </c>
      <c r="J19" s="15">
        <v>1452846.89</v>
      </c>
      <c r="K19" s="15">
        <v>1647923.6900000002</v>
      </c>
      <c r="L19" s="15">
        <v>1319562.6900000002</v>
      </c>
      <c r="M19" s="15">
        <v>1485235.905</v>
      </c>
      <c r="N19" s="15">
        <v>1435352.1433333333</v>
      </c>
    </row>
    <row r="20" spans="2:14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4" x14ac:dyDescent="0.25">
      <c r="B21" s="8" t="s">
        <v>23</v>
      </c>
      <c r="C21" s="9">
        <f>SUM(C4:C20)</f>
        <v>450000.41595254675</v>
      </c>
      <c r="D21" s="1">
        <f>SUM(D4:D20)</f>
        <v>700000.21</v>
      </c>
      <c r="E21" s="1">
        <f>SUM(E4:E20)</f>
        <v>615959.02</v>
      </c>
      <c r="F21" s="1">
        <f>SUM(F4:F20)</f>
        <v>684041.02</v>
      </c>
      <c r="G21" s="1">
        <f>SUM(G4:G20)</f>
        <v>2450000.665952547</v>
      </c>
      <c r="I21" s="8" t="s">
        <v>23</v>
      </c>
      <c r="J21" s="1">
        <f>SUM(J4:J20)</f>
        <v>245728432.03999999</v>
      </c>
      <c r="K21" s="1">
        <f>SUM(K4:K20)</f>
        <v>223246064.44999999</v>
      </c>
      <c r="L21" s="1">
        <f>SUM(L4:L20)</f>
        <v>216234663.84999999</v>
      </c>
      <c r="M21" s="1">
        <f>SUM(M4:M20)</f>
        <v>225512157.27500004</v>
      </c>
      <c r="N21" s="1">
        <f>SUM(N4:N20)</f>
        <v>214747461.86666667</v>
      </c>
    </row>
    <row r="24" spans="2:14" ht="15.75" x14ac:dyDescent="0.25">
      <c r="I24" s="39" t="s">
        <v>43</v>
      </c>
      <c r="J24" s="39"/>
      <c r="K24" s="39"/>
      <c r="L24" s="39"/>
      <c r="M24" s="39"/>
    </row>
    <row r="25" spans="2:14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4" x14ac:dyDescent="0.25">
      <c r="I26" s="5" t="s">
        <v>6</v>
      </c>
      <c r="J26" s="1">
        <v>14404436.173333332</v>
      </c>
      <c r="K26" s="1">
        <v>12118061.880000001</v>
      </c>
      <c r="L26" s="1">
        <v>11730359.789999999</v>
      </c>
      <c r="M26" s="1">
        <v>13434217.335000001</v>
      </c>
      <c r="N26" s="1">
        <v>12441163.32</v>
      </c>
    </row>
    <row r="27" spans="2:14" x14ac:dyDescent="0.25">
      <c r="I27" s="5" t="s">
        <v>7</v>
      </c>
      <c r="J27" s="1">
        <v>16893730.953333333</v>
      </c>
      <c r="K27" s="1">
        <v>12449207.593333334</v>
      </c>
      <c r="L27" s="1">
        <v>10577467.806666667</v>
      </c>
      <c r="M27" s="1">
        <v>13368358.970000001</v>
      </c>
      <c r="N27" s="1">
        <v>10614457.393333333</v>
      </c>
    </row>
    <row r="28" spans="2:14" x14ac:dyDescent="0.25">
      <c r="I28" s="5" t="s">
        <v>8</v>
      </c>
      <c r="J28" s="1">
        <v>16608979.496666664</v>
      </c>
      <c r="K28" s="1">
        <v>14254892.173333332</v>
      </c>
      <c r="L28" s="1">
        <v>13530551.376666665</v>
      </c>
      <c r="M28" s="1">
        <v>15962246.449999999</v>
      </c>
      <c r="N28" s="1">
        <v>14414700.130000001</v>
      </c>
    </row>
    <row r="29" spans="2:14" x14ac:dyDescent="0.25">
      <c r="I29" s="5" t="s">
        <v>36</v>
      </c>
      <c r="J29" s="1">
        <f>10786116.3666667-483139.2</f>
        <v>10302977.166666701</v>
      </c>
      <c r="K29" s="1">
        <f>9172573.47-471038.54</f>
        <v>8701534.9300000016</v>
      </c>
      <c r="L29" s="1">
        <f>8733368.74666667-442771.12</f>
        <v>8290597.6266666697</v>
      </c>
      <c r="M29" s="1">
        <f>11559738.165-709660.23</f>
        <v>10850077.934999999</v>
      </c>
      <c r="N29" s="1">
        <f>10210760.4233333-525739.56</f>
        <v>9685020.8633332998</v>
      </c>
    </row>
    <row r="30" spans="2:14" x14ac:dyDescent="0.25">
      <c r="I30" s="5" t="s">
        <v>10</v>
      </c>
      <c r="J30" s="1">
        <v>20763756.72666667</v>
      </c>
      <c r="K30" s="1">
        <v>19086074.626666665</v>
      </c>
      <c r="L30" s="1">
        <v>17344923.363333333</v>
      </c>
      <c r="M30" s="1">
        <v>20405184.094999999</v>
      </c>
      <c r="N30" s="1">
        <v>19143564.556666669</v>
      </c>
    </row>
    <row r="31" spans="2:14" x14ac:dyDescent="0.25">
      <c r="I31" s="5" t="s">
        <v>11</v>
      </c>
      <c r="J31" s="1">
        <v>13323694.336666666</v>
      </c>
      <c r="K31" s="1">
        <v>11890258.763333334</v>
      </c>
      <c r="L31" s="1">
        <v>11682948.613333335</v>
      </c>
      <c r="M31" s="1">
        <v>12331295.460000001</v>
      </c>
      <c r="N31" s="1">
        <v>11869152.08</v>
      </c>
    </row>
    <row r="32" spans="2:14" x14ac:dyDescent="0.25">
      <c r="I32" s="5" t="s">
        <v>24</v>
      </c>
      <c r="J32" s="1"/>
      <c r="K32" s="1"/>
      <c r="L32" s="1"/>
      <c r="M32" s="1"/>
      <c r="N32" s="1"/>
    </row>
    <row r="33" spans="2:16" x14ac:dyDescent="0.25">
      <c r="I33" s="5" t="s">
        <v>78</v>
      </c>
      <c r="J33" s="1">
        <f>195612.49-492410.606666667</f>
        <v>-296798.11666666699</v>
      </c>
      <c r="K33" s="1">
        <f>195612.49-294375.93</f>
        <v>-98763.44</v>
      </c>
      <c r="L33" s="1">
        <f>195612.49-294513.826666667</f>
        <v>-98901.336666667019</v>
      </c>
      <c r="M33" s="1">
        <f>195607.87-133736.8</f>
        <v>61871.070000000007</v>
      </c>
      <c r="N33" s="1">
        <f>133492.54-317201.273333333</f>
        <v>-183708.73333333302</v>
      </c>
    </row>
    <row r="34" spans="2:16" x14ac:dyDescent="0.25">
      <c r="I34" s="5" t="s">
        <v>14</v>
      </c>
      <c r="J34" s="1">
        <v>17144145.566666666</v>
      </c>
      <c r="K34" s="1">
        <v>15434778.033333333</v>
      </c>
      <c r="L34" s="1">
        <v>14368471.396666666</v>
      </c>
      <c r="M34" s="1">
        <v>15773652.17</v>
      </c>
      <c r="N34" s="1">
        <v>14999894.363333335</v>
      </c>
    </row>
    <row r="35" spans="2:16" x14ac:dyDescent="0.25">
      <c r="I35" s="5" t="s">
        <v>15</v>
      </c>
      <c r="J35" s="1">
        <v>7285924.7966666669</v>
      </c>
      <c r="K35" s="1">
        <v>6699838.4799999995</v>
      </c>
      <c r="L35" s="1">
        <v>6555788.5766666671</v>
      </c>
      <c r="M35" s="1">
        <v>6878803.9450000003</v>
      </c>
      <c r="N35" s="1">
        <v>6680718.8066666676</v>
      </c>
    </row>
    <row r="36" spans="2:16" x14ac:dyDescent="0.25">
      <c r="I36" s="5" t="s">
        <v>37</v>
      </c>
      <c r="J36" s="1">
        <f>28921975.7266667+5000000</f>
        <v>33921975.726666704</v>
      </c>
      <c r="K36" s="1">
        <f>25527303.82+5000000</f>
        <v>30527303.82</v>
      </c>
      <c r="L36" s="1">
        <f>25633003.01+5000000</f>
        <v>30633003.010000002</v>
      </c>
      <c r="M36" s="1">
        <f>26424897.065+5000000</f>
        <v>31424897.065000001</v>
      </c>
      <c r="N36" s="1">
        <f>25529651.5166667+5000000</f>
        <v>30529651.516666699</v>
      </c>
    </row>
    <row r="37" spans="2:16" x14ac:dyDescent="0.25">
      <c r="I37" s="5" t="s">
        <v>83</v>
      </c>
      <c r="J37" s="1">
        <f>57454432.27-114081.05</f>
        <v>57340351.220000006</v>
      </c>
      <c r="K37" s="1">
        <f>49592371.34-114081.05</f>
        <v>49478290.290000007</v>
      </c>
      <c r="L37" s="1">
        <f>47673976.0966667-114081.05</f>
        <v>47559895.046666704</v>
      </c>
      <c r="M37" s="1">
        <f>51563429.45-114081.05</f>
        <v>51449348.400000006</v>
      </c>
      <c r="N37" s="1">
        <f>48242487.2233333-272693.74</f>
        <v>47969793.483333297</v>
      </c>
    </row>
    <row r="38" spans="2:16" x14ac:dyDescent="0.25">
      <c r="I38" s="5" t="s">
        <v>18</v>
      </c>
      <c r="J38" s="1">
        <v>4472150.4666666659</v>
      </c>
      <c r="K38" s="1">
        <v>3059767.7166666668</v>
      </c>
      <c r="L38" s="1">
        <v>5912426.9466666663</v>
      </c>
      <c r="M38" s="1">
        <v>6413906.4900000002</v>
      </c>
      <c r="N38" s="1">
        <v>5148920.03</v>
      </c>
    </row>
    <row r="39" spans="2:16" x14ac:dyDescent="0.25">
      <c r="I39" s="5" t="s">
        <v>132</v>
      </c>
      <c r="J39" s="1">
        <v>36337998.546666667</v>
      </c>
      <c r="K39" s="1">
        <v>42223341.853333332</v>
      </c>
      <c r="L39" s="1">
        <v>41073048.490000002</v>
      </c>
      <c r="M39" s="1">
        <f>29639317.22+17768834.06</f>
        <v>47408151.280000001</v>
      </c>
      <c r="N39" s="1">
        <v>33982723.316666663</v>
      </c>
    </row>
    <row r="40" spans="2:16" x14ac:dyDescent="0.25">
      <c r="I40" s="8" t="s">
        <v>23</v>
      </c>
      <c r="J40" s="1">
        <f>SUM(J26:J39)-J33</f>
        <v>248800121.17666674</v>
      </c>
      <c r="K40" s="1">
        <f>SUM(K26:K39)-K33</f>
        <v>225923350.16000003</v>
      </c>
      <c r="L40" s="1">
        <f>SUM(L26:L39)-L33</f>
        <v>219259482.04333338</v>
      </c>
      <c r="M40" s="1">
        <f>SUM(M26:M39)-M33</f>
        <v>245700139.59500003</v>
      </c>
      <c r="N40" s="1">
        <f>SUM(N26:N39)-N33</f>
        <v>217479759.85999995</v>
      </c>
    </row>
    <row r="43" spans="2:16" ht="15.75" x14ac:dyDescent="0.25">
      <c r="B43" s="39" t="s">
        <v>93</v>
      </c>
      <c r="C43" s="39"/>
      <c r="D43" s="39"/>
      <c r="E43" s="39"/>
      <c r="F43" s="39"/>
      <c r="G43" s="39"/>
      <c r="I43" s="38" t="s">
        <v>89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66</v>
      </c>
      <c r="K44" s="16" t="s">
        <v>67</v>
      </c>
      <c r="L44" s="16" t="s">
        <v>65</v>
      </c>
      <c r="M44" s="16" t="s">
        <v>85</v>
      </c>
      <c r="N44" s="16" t="s">
        <v>86</v>
      </c>
      <c r="O44" s="16" t="s">
        <v>87</v>
      </c>
      <c r="P44" s="16" t="s">
        <v>88</v>
      </c>
    </row>
    <row r="45" spans="2:16" x14ac:dyDescent="0.25">
      <c r="B45" s="5" t="s">
        <v>6</v>
      </c>
      <c r="C45" s="9">
        <f>$C$59*K65</f>
        <v>25650.812500174074</v>
      </c>
      <c r="D45" s="9">
        <f t="shared" ref="D45:D58" si="1">($D$60*M65)-C45</f>
        <v>38122.723826102869</v>
      </c>
      <c r="E45" s="9">
        <f t="shared" ref="E45:E58" si="2">($E$60*O65)-D45-C45</f>
        <v>33440.140747198035</v>
      </c>
      <c r="F45" s="9">
        <f t="shared" ref="F45:F58" si="3">($F$60*Q65)-E45-D45-C45</f>
        <v>36533.076120698475</v>
      </c>
      <c r="G45" s="9">
        <f t="shared" ref="G45:G59" si="4">SUM(C45+D45+E45+F45)</f>
        <v>133746.75319417345</v>
      </c>
      <c r="I45" s="5" t="s">
        <v>6</v>
      </c>
      <c r="J45" s="1">
        <v>13326025.113333331</v>
      </c>
      <c r="K45" s="1">
        <v>11774796.663333334</v>
      </c>
      <c r="L45" s="1">
        <v>12671894.729999999</v>
      </c>
      <c r="M45" s="1">
        <v>14404436.173333332</v>
      </c>
      <c r="N45" s="1">
        <v>12118061.880000001</v>
      </c>
      <c r="O45" s="1">
        <v>11730359.789999999</v>
      </c>
      <c r="P45" s="1">
        <v>13434217.335000001</v>
      </c>
    </row>
    <row r="46" spans="2:16" x14ac:dyDescent="0.25">
      <c r="B46" s="5" t="s">
        <v>7</v>
      </c>
      <c r="C46" s="9">
        <f t="shared" ref="C46:C58" si="5">$C$59*K66</f>
        <v>29425.269963231323</v>
      </c>
      <c r="D46" s="9">
        <f t="shared" si="1"/>
        <v>40830.100066287698</v>
      </c>
      <c r="E46" s="9">
        <f t="shared" si="2"/>
        <v>31698.44937647281</v>
      </c>
      <c r="F46" s="9">
        <f t="shared" si="3"/>
        <v>35937.506793671651</v>
      </c>
      <c r="G46" s="9">
        <f t="shared" si="4"/>
        <v>137891.32619966348</v>
      </c>
      <c r="I46" s="5" t="s">
        <v>7</v>
      </c>
      <c r="J46" s="1">
        <v>16154495.940000003</v>
      </c>
      <c r="K46" s="1">
        <v>13319233.619999999</v>
      </c>
      <c r="L46" s="1">
        <v>13487438.956666665</v>
      </c>
      <c r="M46" s="1">
        <v>16893730.953333333</v>
      </c>
      <c r="N46" s="1">
        <v>12449207.593333334</v>
      </c>
      <c r="O46" s="1">
        <v>10577467.806666667</v>
      </c>
      <c r="P46" s="1">
        <v>13368358.970000001</v>
      </c>
    </row>
    <row r="47" spans="2:16" x14ac:dyDescent="0.25">
      <c r="B47" s="5" t="s">
        <v>8</v>
      </c>
      <c r="C47" s="9">
        <f t="shared" si="5"/>
        <v>28320.044504038124</v>
      </c>
      <c r="D47" s="9">
        <f t="shared" si="1"/>
        <v>44215.437314660223</v>
      </c>
      <c r="E47" s="9">
        <f t="shared" si="2"/>
        <v>39817.016841378405</v>
      </c>
      <c r="F47" s="9">
        <f t="shared" si="3"/>
        <v>43827.911064033156</v>
      </c>
      <c r="G47" s="9">
        <f t="shared" si="4"/>
        <v>156180.40972410992</v>
      </c>
      <c r="I47" s="5" t="s">
        <v>8</v>
      </c>
      <c r="J47" s="1">
        <v>13889690.783333333</v>
      </c>
      <c r="K47" s="1">
        <v>12647351.336666666</v>
      </c>
      <c r="L47" s="1">
        <v>14460702.770000001</v>
      </c>
      <c r="M47" s="1">
        <v>16608979.496666664</v>
      </c>
      <c r="N47" s="1">
        <v>14254892.173333332</v>
      </c>
      <c r="O47" s="1">
        <v>13530551.376666665</v>
      </c>
      <c r="P47" s="1">
        <v>15962246.449999999</v>
      </c>
    </row>
    <row r="48" spans="2:16" x14ac:dyDescent="0.25">
      <c r="B48" s="5" t="s">
        <v>9</v>
      </c>
      <c r="C48" s="9">
        <f t="shared" si="5"/>
        <v>16923.596436216911</v>
      </c>
      <c r="D48" s="9">
        <f t="shared" si="1"/>
        <v>26118.031394804886</v>
      </c>
      <c r="E48" s="9">
        <f t="shared" si="2"/>
        <v>24009.993180650177</v>
      </c>
      <c r="F48" s="9">
        <f t="shared" si="3"/>
        <v>31653.809343635912</v>
      </c>
      <c r="G48" s="9">
        <f t="shared" si="4"/>
        <v>98705.430355307879</v>
      </c>
      <c r="I48" s="5" t="s">
        <v>36</v>
      </c>
      <c r="J48" s="1">
        <f>9240382.18666667-513808.67</f>
        <v>8726573.5166666694</v>
      </c>
      <c r="K48" s="1">
        <f>7920859.96666667-355018.17</f>
        <v>7565841.7966666697</v>
      </c>
      <c r="L48" s="1">
        <f>8190026.31-360580.39</f>
        <v>7829445.9199999999</v>
      </c>
      <c r="M48" s="1">
        <f>10786116.3666667-483139.2</f>
        <v>10302977.166666701</v>
      </c>
      <c r="N48" s="1">
        <f>9172573.47-471038.54</f>
        <v>8701534.9300000016</v>
      </c>
      <c r="O48" s="1">
        <f>8733368.74666667-442771.12</f>
        <v>8290597.6266666697</v>
      </c>
      <c r="P48" s="1">
        <f>11559738.165-709660.23</f>
        <v>10850077.934999999</v>
      </c>
    </row>
    <row r="49" spans="2:17" x14ac:dyDescent="0.25">
      <c r="B49" s="5" t="s">
        <v>10</v>
      </c>
      <c r="C49" s="9">
        <f t="shared" si="5"/>
        <v>36435.521035226979</v>
      </c>
      <c r="D49" s="9">
        <f t="shared" si="1"/>
        <v>57902.800755069169</v>
      </c>
      <c r="E49" s="9">
        <f t="shared" si="2"/>
        <v>50330.242228970805</v>
      </c>
      <c r="F49" s="9">
        <f t="shared" si="3"/>
        <v>56130.955557294394</v>
      </c>
      <c r="G49" s="9">
        <f t="shared" si="4"/>
        <v>200799.51957656135</v>
      </c>
      <c r="I49" s="5" t="s">
        <v>10</v>
      </c>
      <c r="J49" s="1">
        <v>17803526.989999998</v>
      </c>
      <c r="K49" s="1">
        <v>16958463.859999999</v>
      </c>
      <c r="L49" s="1">
        <v>18588931.793333333</v>
      </c>
      <c r="M49" s="1">
        <v>20763756.72666667</v>
      </c>
      <c r="N49" s="1">
        <v>19086074.626666665</v>
      </c>
      <c r="O49" s="1">
        <v>17344923.363333333</v>
      </c>
      <c r="P49" s="1">
        <v>20405184.094999999</v>
      </c>
    </row>
    <row r="50" spans="2:17" x14ac:dyDescent="0.25">
      <c r="B50" s="5" t="s">
        <v>11</v>
      </c>
      <c r="C50" s="9">
        <f t="shared" si="5"/>
        <v>22973.362459263211</v>
      </c>
      <c r="D50" s="9">
        <f t="shared" si="1"/>
        <v>36589.359356158428</v>
      </c>
      <c r="E50" s="9">
        <f t="shared" si="2"/>
        <v>33006.499373114348</v>
      </c>
      <c r="F50" s="9">
        <f t="shared" si="3"/>
        <v>34814.878507937261</v>
      </c>
      <c r="G50" s="9">
        <f t="shared" si="4"/>
        <v>127384.09969647325</v>
      </c>
      <c r="I50" s="5" t="s">
        <v>11</v>
      </c>
      <c r="J50" s="1">
        <v>11017307.736666666</v>
      </c>
      <c r="K50" s="1">
        <v>10794979.476666667</v>
      </c>
      <c r="L50" s="1">
        <v>11594882.846666666</v>
      </c>
      <c r="M50" s="1">
        <v>13323694.336666666</v>
      </c>
      <c r="N50" s="1">
        <v>11890258.763333334</v>
      </c>
      <c r="O50" s="1">
        <v>11682948.613333335</v>
      </c>
      <c r="P50" s="1">
        <v>12331295.460000001</v>
      </c>
    </row>
    <row r="51" spans="2:17" x14ac:dyDescent="0.25">
      <c r="B51" s="5" t="s">
        <v>12</v>
      </c>
      <c r="C51" s="9">
        <f t="shared" si="5"/>
        <v>0</v>
      </c>
      <c r="D51" s="9">
        <f t="shared" si="1"/>
        <v>0</v>
      </c>
      <c r="E51" s="9">
        <f t="shared" si="2"/>
        <v>0</v>
      </c>
      <c r="F51" s="9">
        <f t="shared" si="3"/>
        <v>0</v>
      </c>
      <c r="G51" s="9">
        <f t="shared" si="4"/>
        <v>0</v>
      </c>
      <c r="I51" s="5" t="s">
        <v>24</v>
      </c>
      <c r="J51" s="1"/>
      <c r="K51" s="1"/>
      <c r="L51" s="1">
        <v>0</v>
      </c>
      <c r="M51" s="1"/>
      <c r="N51" s="1"/>
      <c r="O51" s="1"/>
      <c r="P51" s="1"/>
    </row>
    <row r="52" spans="2:17" x14ac:dyDescent="0.25">
      <c r="B52" s="5" t="s">
        <v>13</v>
      </c>
      <c r="C52" s="9">
        <v>0</v>
      </c>
      <c r="D52" s="9">
        <v>0</v>
      </c>
      <c r="E52" s="9">
        <v>0</v>
      </c>
      <c r="F52" s="9">
        <v>0</v>
      </c>
      <c r="G52" s="9">
        <f t="shared" si="4"/>
        <v>0</v>
      </c>
      <c r="I52" s="5" t="s">
        <v>78</v>
      </c>
      <c r="J52" s="1">
        <f>206454.85-659249.54</f>
        <v>-452794.69000000006</v>
      </c>
      <c r="K52" s="1">
        <f>200833.85-680809.606666667</f>
        <v>-479975.75666666706</v>
      </c>
      <c r="L52" s="1">
        <f>196987.493333333-486422.043333333</f>
        <v>-289434.55</v>
      </c>
      <c r="M52" s="1">
        <f>195612.49-492410.606666667</f>
        <v>-296798.11666666699</v>
      </c>
      <c r="N52" s="1">
        <f>195612.49-294375.93</f>
        <v>-98763.44</v>
      </c>
      <c r="O52" s="1">
        <f>195612.49-294513.826666667</f>
        <v>-98901.336666667019</v>
      </c>
      <c r="P52" s="1">
        <f>195607.87-133736.8</f>
        <v>61871.070000000007</v>
      </c>
    </row>
    <row r="53" spans="2:17" x14ac:dyDescent="0.25">
      <c r="B53" s="5" t="s">
        <v>14</v>
      </c>
      <c r="C53" s="9">
        <f t="shared" si="5"/>
        <v>30744.816311364164</v>
      </c>
      <c r="D53" s="9">
        <f t="shared" si="1"/>
        <v>47434.389265964026</v>
      </c>
      <c r="E53" s="9">
        <f t="shared" si="2"/>
        <v>40679.551780721289</v>
      </c>
      <c r="F53" s="9">
        <f t="shared" si="3"/>
        <v>43439.774461308494</v>
      </c>
      <c r="G53" s="9">
        <f t="shared" si="4"/>
        <v>162298.53181935797</v>
      </c>
      <c r="I53" s="5" t="s">
        <v>14</v>
      </c>
      <c r="J53" s="1">
        <v>15491297.823333332</v>
      </c>
      <c r="K53" s="1">
        <v>14587596.130000001</v>
      </c>
      <c r="L53" s="1">
        <v>15315992.130000001</v>
      </c>
      <c r="M53" s="1">
        <v>17144145.566666666</v>
      </c>
      <c r="N53" s="1">
        <v>15434778.033333333</v>
      </c>
      <c r="O53" s="1">
        <v>14368471.396666666</v>
      </c>
      <c r="P53" s="1">
        <v>15773652.17</v>
      </c>
    </row>
    <row r="54" spans="2:17" x14ac:dyDescent="0.25">
      <c r="B54" s="5" t="s">
        <v>15</v>
      </c>
      <c r="C54" s="9">
        <f t="shared" si="5"/>
        <v>13638.270083411573</v>
      </c>
      <c r="D54" s="9">
        <f t="shared" si="1"/>
        <v>20855.320222153139</v>
      </c>
      <c r="E54" s="9">
        <f t="shared" si="2"/>
        <v>17717.106782011491</v>
      </c>
      <c r="F54" s="9">
        <f t="shared" si="3"/>
        <v>18742.893279120326</v>
      </c>
      <c r="G54" s="9">
        <f t="shared" si="4"/>
        <v>70953.590366696531</v>
      </c>
      <c r="I54" s="5" t="s">
        <v>15</v>
      </c>
      <c r="J54" s="1">
        <v>6873864.2466666671</v>
      </c>
      <c r="K54" s="1">
        <v>6773577.7800000003</v>
      </c>
      <c r="L54" s="1">
        <v>6808682.2999999998</v>
      </c>
      <c r="M54" s="1">
        <v>7285924.7966666669</v>
      </c>
      <c r="N54" s="1">
        <v>6699838.4799999995</v>
      </c>
      <c r="O54" s="1">
        <v>6555788.5766666671</v>
      </c>
      <c r="P54" s="1">
        <v>6878803.9450000003</v>
      </c>
    </row>
    <row r="55" spans="2:17" x14ac:dyDescent="0.25">
      <c r="B55" s="5" t="s">
        <v>16</v>
      </c>
      <c r="C55" s="9">
        <f t="shared" si="5"/>
        <v>59304.047851811876</v>
      </c>
      <c r="D55" s="9">
        <f t="shared" si="1"/>
        <v>98376.696401223904</v>
      </c>
      <c r="E55" s="9">
        <f t="shared" si="2"/>
        <v>85646.577633340945</v>
      </c>
      <c r="F55" s="9">
        <f t="shared" si="3"/>
        <v>84025.782768356657</v>
      </c>
      <c r="G55" s="9">
        <f t="shared" si="4"/>
        <v>327353.10465473338</v>
      </c>
      <c r="I55" s="5" t="s">
        <v>37</v>
      </c>
      <c r="J55" s="1">
        <f>20137737.0633333+5000000</f>
        <v>25137737.063333299</v>
      </c>
      <c r="K55" s="1">
        <f>24189428.68+5000000</f>
        <v>29189428.68</v>
      </c>
      <c r="L55" s="1">
        <f>27383152.7033333+5000000</f>
        <v>32383152.7033333</v>
      </c>
      <c r="M55" s="1">
        <f>28921975.7266667+5000000</f>
        <v>33921975.726666704</v>
      </c>
      <c r="N55" s="1">
        <f>25527303.82+5000000</f>
        <v>30527303.82</v>
      </c>
      <c r="O55" s="1">
        <f>25633003.01+5000000</f>
        <v>30633003.010000002</v>
      </c>
      <c r="P55" s="1">
        <f>26424897.065+5000000</f>
        <v>31424897.065000001</v>
      </c>
    </row>
    <row r="56" spans="2:17" x14ac:dyDescent="0.25">
      <c r="B56" s="5" t="s">
        <v>17</v>
      </c>
      <c r="C56" s="9">
        <f t="shared" si="5"/>
        <v>104296.45590185352</v>
      </c>
      <c r="D56" s="9">
        <f t="shared" si="1"/>
        <v>154065.45061729214</v>
      </c>
      <c r="E56" s="9">
        <f t="shared" si="2"/>
        <v>133585.49705876387</v>
      </c>
      <c r="F56" s="9">
        <f t="shared" si="3"/>
        <v>140657.91863846179</v>
      </c>
      <c r="G56" s="9">
        <f t="shared" si="4"/>
        <v>532605.32221637131</v>
      </c>
      <c r="I56" s="5" t="s">
        <v>83</v>
      </c>
      <c r="J56" s="1">
        <f>55247031.65-104348.62</f>
        <v>55142683.030000001</v>
      </c>
      <c r="K56" s="1">
        <f>48833568.28-104348.62</f>
        <v>48729219.660000004</v>
      </c>
      <c r="L56" s="1">
        <f>51054643.1-114081.05</f>
        <v>50940562.050000004</v>
      </c>
      <c r="M56" s="1">
        <f>57454432.27-114081.05</f>
        <v>57340351.220000006</v>
      </c>
      <c r="N56" s="1">
        <f>49592371.34-114081.05</f>
        <v>49478290.290000007</v>
      </c>
      <c r="O56" s="1">
        <f>47673976.0966667-114081.05</f>
        <v>47559895.046666704</v>
      </c>
      <c r="P56" s="1">
        <f>51563429.45-114081.05</f>
        <v>51449348.400000006</v>
      </c>
    </row>
    <row r="57" spans="2:17" x14ac:dyDescent="0.25">
      <c r="B57" s="5" t="s">
        <v>18</v>
      </c>
      <c r="C57" s="9">
        <f t="shared" si="5"/>
        <v>11848.411064351745</v>
      </c>
      <c r="D57" s="9">
        <f t="shared" si="1"/>
        <v>16291.855849205713</v>
      </c>
      <c r="E57" s="9">
        <f t="shared" si="2"/>
        <v>10374.840247347031</v>
      </c>
      <c r="F57" s="9">
        <f t="shared" si="3"/>
        <v>12870.595534095202</v>
      </c>
      <c r="G57" s="9">
        <f t="shared" si="4"/>
        <v>51385.702694999694</v>
      </c>
      <c r="I57" s="5" t="s">
        <v>18</v>
      </c>
      <c r="J57" s="1">
        <v>4670696.4466666663</v>
      </c>
      <c r="K57" s="1">
        <v>8226848.416666667</v>
      </c>
      <c r="L57" s="1">
        <v>6731543.2999999998</v>
      </c>
      <c r="M57" s="1">
        <v>4472150.4666666659</v>
      </c>
      <c r="N57" s="1">
        <v>3059767.7166666668</v>
      </c>
      <c r="O57" s="1">
        <v>5912426.9466666663</v>
      </c>
      <c r="P57" s="1">
        <v>6413906.4900000002</v>
      </c>
    </row>
    <row r="58" spans="2:17" x14ac:dyDescent="0.25">
      <c r="B58" s="5" t="s">
        <v>19</v>
      </c>
      <c r="C58" s="9">
        <f t="shared" si="5"/>
        <v>66690.33784160325</v>
      </c>
      <c r="D58" s="9">
        <f t="shared" si="1"/>
        <v>113509.0449310777</v>
      </c>
      <c r="E58" s="9">
        <f t="shared" si="2"/>
        <v>110724.1047500311</v>
      </c>
      <c r="F58" s="9">
        <f t="shared" si="3"/>
        <v>141319.91793138627</v>
      </c>
      <c r="G58" s="9">
        <f t="shared" si="4"/>
        <v>432243.40545409831</v>
      </c>
      <c r="I58" s="5" t="s">
        <v>132</v>
      </c>
      <c r="J58" s="1">
        <v>33861085.089999996</v>
      </c>
      <c r="K58" s="1">
        <v>32693915.210000005</v>
      </c>
      <c r="L58" s="1">
        <v>32763988.23</v>
      </c>
      <c r="M58" s="1">
        <v>36337998.546666667</v>
      </c>
      <c r="N58" s="1">
        <v>42223341.853333332</v>
      </c>
      <c r="O58" s="1">
        <v>41073048.490000002</v>
      </c>
      <c r="P58" s="1">
        <f>29639317.22+17768834.06</f>
        <v>47408151.280000001</v>
      </c>
    </row>
    <row r="59" spans="2:17" x14ac:dyDescent="0.25">
      <c r="B59" s="8" t="s">
        <v>23</v>
      </c>
      <c r="C59" s="9">
        <f>$C$21-(C18+C19+C20)</f>
        <v>446250.94595254678</v>
      </c>
      <c r="D59" s="9">
        <f>$D$21-(D18+D19+D20)</f>
        <v>694311.21</v>
      </c>
      <c r="E59" s="9">
        <f>$E$21-(E18+E19+E20)</f>
        <v>611030.02</v>
      </c>
      <c r="F59" s="9">
        <f>$F$21-(F18+F19+F20)</f>
        <v>679955.02</v>
      </c>
      <c r="G59" s="9">
        <f t="shared" si="4"/>
        <v>2431547.1959525468</v>
      </c>
      <c r="I59" s="8" t="s">
        <v>23</v>
      </c>
      <c r="J59" s="1">
        <f t="shared" ref="J59:O59" si="6">SUM(J45:J58)-J52</f>
        <v>222094983.77999997</v>
      </c>
      <c r="K59" s="1">
        <f t="shared" si="6"/>
        <v>213261252.63</v>
      </c>
      <c r="L59" s="1">
        <f t="shared" si="6"/>
        <v>223577217.72999999</v>
      </c>
      <c r="M59" s="1">
        <f t="shared" si="6"/>
        <v>248800121.17666674</v>
      </c>
      <c r="N59" s="1">
        <f t="shared" si="6"/>
        <v>225923350.16000003</v>
      </c>
      <c r="O59" s="1">
        <f t="shared" si="6"/>
        <v>219259482.04333338</v>
      </c>
      <c r="P59" s="1">
        <f>SUM(P45:P58)+P52</f>
        <v>245823881.73500001</v>
      </c>
    </row>
    <row r="60" spans="2:17" x14ac:dyDescent="0.25">
      <c r="B60" s="8" t="s">
        <v>133</v>
      </c>
      <c r="D60" s="9">
        <f>C59+D59</f>
        <v>1140562.1559525467</v>
      </c>
      <c r="E60" s="9">
        <f>E59+D60</f>
        <v>1751592.1759525468</v>
      </c>
      <c r="F60" s="9">
        <f>F59+E60</f>
        <v>2431547.1959525468</v>
      </c>
      <c r="G60" s="9"/>
      <c r="I60" s="8"/>
      <c r="J60" s="1"/>
      <c r="K60" s="1"/>
      <c r="L60" s="1"/>
      <c r="M60" s="1"/>
      <c r="N60" s="1"/>
      <c r="O60" s="1"/>
      <c r="P60" s="1"/>
    </row>
    <row r="63" spans="2:17" ht="15.75" x14ac:dyDescent="0.25">
      <c r="B63" s="39" t="s">
        <v>91</v>
      </c>
      <c r="C63" s="39"/>
      <c r="D63" s="39"/>
      <c r="E63" s="39"/>
      <c r="F63" s="39"/>
      <c r="G63" s="39"/>
      <c r="I63" s="38" t="s">
        <v>90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7">C45-C4</f>
        <v>-12.937499825926352</v>
      </c>
      <c r="D65" s="9">
        <f t="shared" si="7"/>
        <v>-573.27617389713123</v>
      </c>
      <c r="E65" s="9">
        <f t="shared" si="7"/>
        <v>-2530.8592528019653</v>
      </c>
      <c r="F65" s="9">
        <f t="shared" si="7"/>
        <v>-1085.9238793015247</v>
      </c>
      <c r="G65" s="9">
        <f t="shared" ref="G65:G79" si="8">SUM(C65+D65+E65+F65)</f>
        <v>-4202.9968058265476</v>
      </c>
      <c r="I65" t="s">
        <v>6</v>
      </c>
      <c r="J65" s="17">
        <f t="shared" ref="J65:J78" si="9">AVERAGE(J45:M45)</f>
        <v>13044288.169999998</v>
      </c>
      <c r="K65" s="19">
        <f>J65/$J$79</f>
        <v>5.7480690478809014E-2</v>
      </c>
      <c r="L65" s="1">
        <f t="shared" ref="L65:L78" si="10">AVERAGE(K45:N45)</f>
        <v>12742297.361666666</v>
      </c>
      <c r="M65" s="19">
        <f>L65/$L$79</f>
        <v>5.591412619947584E-2</v>
      </c>
      <c r="N65" s="1">
        <f t="shared" ref="N65:N78" si="11">AVERAGE(L45:O45)</f>
        <v>12731188.143333333</v>
      </c>
      <c r="O65" s="19">
        <f>N65/$N$79</f>
        <v>5.5500177728647626E-2</v>
      </c>
      <c r="P65" s="1">
        <f t="shared" ref="P65:P70" si="12">AVERAGE(M45:P45)</f>
        <v>12921768.794583334</v>
      </c>
      <c r="Q65" s="19">
        <f>P65/$P$79</f>
        <v>5.5004794238336305E-2</v>
      </c>
    </row>
    <row r="66" spans="2:17" x14ac:dyDescent="0.25">
      <c r="B66" s="5" t="s">
        <v>7</v>
      </c>
      <c r="C66" s="9">
        <f t="shared" si="7"/>
        <v>473.27996323132174</v>
      </c>
      <c r="D66" s="9">
        <f t="shared" si="7"/>
        <v>-3858.1099337123014</v>
      </c>
      <c r="E66" s="9">
        <f t="shared" si="7"/>
        <v>31698.44937647281</v>
      </c>
      <c r="F66" s="9">
        <f t="shared" si="7"/>
        <v>-3533.5032063283506</v>
      </c>
      <c r="G66" s="9">
        <f t="shared" si="8"/>
        <v>24780.11619966348</v>
      </c>
      <c r="I66" t="s">
        <v>7</v>
      </c>
      <c r="J66" s="17">
        <f t="shared" si="9"/>
        <v>14963724.8675</v>
      </c>
      <c r="K66" s="19">
        <f t="shared" ref="K66:K78" si="13">J66/$J$79</f>
        <v>6.5938840533820028E-2</v>
      </c>
      <c r="L66" s="1">
        <f t="shared" si="10"/>
        <v>14037402.780833334</v>
      </c>
      <c r="M66" s="19">
        <f t="shared" ref="M66:M78" si="14">L66/$L$79</f>
        <v>6.1597142832470066E-2</v>
      </c>
      <c r="N66" s="1">
        <f t="shared" si="11"/>
        <v>13351961.327499999</v>
      </c>
      <c r="O66" s="19">
        <f t="shared" ref="O66:O78" si="15">N66/$N$79</f>
        <v>5.8206368357718627E-2</v>
      </c>
      <c r="P66" s="1">
        <f t="shared" si="12"/>
        <v>13322191.330833333</v>
      </c>
      <c r="Q66" s="19">
        <f t="shared" ref="Q66:Q78" si="16">P66/$P$79</f>
        <v>5.6709294571452983E-2</v>
      </c>
    </row>
    <row r="67" spans="2:17" x14ac:dyDescent="0.25">
      <c r="B67" s="5" t="s">
        <v>8</v>
      </c>
      <c r="C67" s="9">
        <f t="shared" si="7"/>
        <v>1.1251247863729077</v>
      </c>
      <c r="D67" s="9">
        <f t="shared" si="7"/>
        <v>263.43731466022291</v>
      </c>
      <c r="E67" s="9">
        <f t="shared" si="7"/>
        <v>-2216.9931586215971</v>
      </c>
      <c r="F67" s="9">
        <f t="shared" si="7"/>
        <v>-1542.0989359668456</v>
      </c>
      <c r="G67" s="9">
        <f t="shared" si="8"/>
        <v>-3494.5296551418469</v>
      </c>
      <c r="I67" t="s">
        <v>8</v>
      </c>
      <c r="J67" s="17">
        <f t="shared" si="9"/>
        <v>14401681.096666666</v>
      </c>
      <c r="K67" s="19">
        <f t="shared" si="13"/>
        <v>6.3462150076987411E-2</v>
      </c>
      <c r="L67" s="1">
        <f t="shared" si="10"/>
        <v>14492981.444166666</v>
      </c>
      <c r="M67" s="19">
        <f t="shared" si="14"/>
        <v>6.3596255092402174E-2</v>
      </c>
      <c r="N67" s="1">
        <f t="shared" si="11"/>
        <v>14713781.454166666</v>
      </c>
      <c r="O67" s="19">
        <f t="shared" si="15"/>
        <v>6.4143069489892804E-2</v>
      </c>
      <c r="P67" s="1">
        <f t="shared" si="12"/>
        <v>15089167.374166664</v>
      </c>
      <c r="Q67" s="19">
        <f t="shared" si="16"/>
        <v>6.4230877354172433E-2</v>
      </c>
    </row>
    <row r="68" spans="2:17" x14ac:dyDescent="0.25">
      <c r="B68" s="5" t="s">
        <v>9</v>
      </c>
      <c r="C68" s="9">
        <f t="shared" si="7"/>
        <v>-69.663563783087739</v>
      </c>
      <c r="D68" s="9">
        <f t="shared" si="7"/>
        <v>95.031394804886077</v>
      </c>
      <c r="E68" s="9">
        <f t="shared" si="7"/>
        <v>-638.00681934982276</v>
      </c>
      <c r="F68" s="9">
        <f t="shared" si="7"/>
        <v>-362.19065636408777</v>
      </c>
      <c r="G68" s="9">
        <f t="shared" si="8"/>
        <v>-974.8296446921122</v>
      </c>
      <c r="I68" s="5" t="s">
        <v>9</v>
      </c>
      <c r="J68" s="17">
        <f t="shared" si="9"/>
        <v>8606209.6000000108</v>
      </c>
      <c r="K68" s="19">
        <f t="shared" si="13"/>
        <v>3.7923945236894858E-2</v>
      </c>
      <c r="L68" s="1">
        <f t="shared" si="10"/>
        <v>8599949.9533333424</v>
      </c>
      <c r="M68" s="19">
        <f t="shared" si="14"/>
        <v>3.7737204944412121E-2</v>
      </c>
      <c r="N68" s="1">
        <f t="shared" si="11"/>
        <v>8781138.9108333439</v>
      </c>
      <c r="O68" s="19">
        <f t="shared" si="15"/>
        <v>3.8280383945656825E-2</v>
      </c>
      <c r="P68" s="1">
        <f t="shared" si="12"/>
        <v>9536296.9145833421</v>
      </c>
      <c r="Q68" s="19">
        <f t="shared" si="16"/>
        <v>4.0593672423718065E-2</v>
      </c>
    </row>
    <row r="69" spans="2:17" x14ac:dyDescent="0.25">
      <c r="B69" s="5" t="s">
        <v>10</v>
      </c>
      <c r="C69" s="9">
        <f t="shared" si="7"/>
        <v>-23.748964773018088</v>
      </c>
      <c r="D69" s="9">
        <f t="shared" si="7"/>
        <v>652.81075506917114</v>
      </c>
      <c r="E69" s="9">
        <f t="shared" si="7"/>
        <v>-3208.7577710291953</v>
      </c>
      <c r="F69" s="9">
        <f t="shared" si="7"/>
        <v>-2567.0444427056063</v>
      </c>
      <c r="G69" s="9">
        <f t="shared" si="8"/>
        <v>-5146.7404234386486</v>
      </c>
      <c r="I69" s="5" t="s">
        <v>10</v>
      </c>
      <c r="J69" s="17">
        <f t="shared" si="9"/>
        <v>18528669.842500001</v>
      </c>
      <c r="K69" s="19">
        <f t="shared" si="13"/>
        <v>8.1648053333429671E-2</v>
      </c>
      <c r="L69" s="1">
        <f t="shared" si="10"/>
        <v>18849306.751666669</v>
      </c>
      <c r="M69" s="19">
        <f t="shared" si="14"/>
        <v>8.2712126908602343E-2</v>
      </c>
      <c r="N69" s="1">
        <f t="shared" si="11"/>
        <v>18945921.627500001</v>
      </c>
      <c r="O69" s="19">
        <f t="shared" si="15"/>
        <v>8.259260688955386E-2</v>
      </c>
      <c r="P69" s="1">
        <f t="shared" si="12"/>
        <v>19399984.702916667</v>
      </c>
      <c r="Q69" s="19">
        <f t="shared" si="16"/>
        <v>8.2580967340795994E-2</v>
      </c>
    </row>
    <row r="70" spans="2:17" x14ac:dyDescent="0.25">
      <c r="B70" s="5" t="s">
        <v>11</v>
      </c>
      <c r="C70" s="9">
        <f t="shared" si="7"/>
        <v>-11.557540736786905</v>
      </c>
      <c r="D70" s="9">
        <f t="shared" si="7"/>
        <v>448.35935615842754</v>
      </c>
      <c r="E70" s="9">
        <f t="shared" si="7"/>
        <v>-1246.5006268856523</v>
      </c>
      <c r="F70" s="9">
        <f t="shared" si="7"/>
        <v>-1035.121492062739</v>
      </c>
      <c r="G70" s="9">
        <f t="shared" si="8"/>
        <v>-1844.8203035267506</v>
      </c>
      <c r="I70" s="5" t="s">
        <v>11</v>
      </c>
      <c r="J70" s="17">
        <f t="shared" si="9"/>
        <v>11682716.099166665</v>
      </c>
      <c r="K70" s="19">
        <f t="shared" si="13"/>
        <v>5.1480815150375371E-2</v>
      </c>
      <c r="L70" s="1">
        <f t="shared" si="10"/>
        <v>11900953.855833333</v>
      </c>
      <c r="M70" s="19">
        <f t="shared" si="14"/>
        <v>5.2222249795476954E-2</v>
      </c>
      <c r="N70" s="1">
        <f t="shared" si="11"/>
        <v>12122946.140000001</v>
      </c>
      <c r="O70" s="19">
        <f t="shared" si="15"/>
        <v>5.2848615368012365E-2</v>
      </c>
      <c r="P70" s="1">
        <f t="shared" si="12"/>
        <v>12307049.293333335</v>
      </c>
      <c r="Q70" s="19">
        <f t="shared" si="16"/>
        <v>5.2388084388619548E-2</v>
      </c>
    </row>
    <row r="71" spans="2:17" x14ac:dyDescent="0.25">
      <c r="B71" s="5" t="s">
        <v>12</v>
      </c>
      <c r="C71" s="9">
        <f t="shared" si="7"/>
        <v>0</v>
      </c>
      <c r="D71" s="9">
        <f t="shared" si="7"/>
        <v>0</v>
      </c>
      <c r="E71" s="9">
        <f t="shared" si="7"/>
        <v>0</v>
      </c>
      <c r="F71" s="9">
        <f t="shared" si="7"/>
        <v>0</v>
      </c>
      <c r="G71" s="9">
        <f t="shared" si="8"/>
        <v>0</v>
      </c>
      <c r="I71" s="5" t="s">
        <v>12</v>
      </c>
      <c r="J71" s="17">
        <f t="shared" si="9"/>
        <v>0</v>
      </c>
      <c r="K71" s="19">
        <f t="shared" si="13"/>
        <v>0</v>
      </c>
      <c r="L71" s="1">
        <f t="shared" si="10"/>
        <v>0</v>
      </c>
      <c r="M71" s="19">
        <f t="shared" si="14"/>
        <v>0</v>
      </c>
      <c r="N71" s="1">
        <f t="shared" si="11"/>
        <v>0</v>
      </c>
      <c r="O71" s="19">
        <f t="shared" si="15"/>
        <v>0</v>
      </c>
      <c r="P71" s="1">
        <v>0</v>
      </c>
      <c r="Q71" s="19">
        <f t="shared" si="16"/>
        <v>0</v>
      </c>
    </row>
    <row r="72" spans="2:17" x14ac:dyDescent="0.25">
      <c r="B72" s="5" t="s">
        <v>13</v>
      </c>
      <c r="C72" s="9">
        <f t="shared" si="7"/>
        <v>0</v>
      </c>
      <c r="D72" s="9">
        <f t="shared" si="7"/>
        <v>0</v>
      </c>
      <c r="E72" s="9">
        <f t="shared" si="7"/>
        <v>0</v>
      </c>
      <c r="F72" s="9">
        <f t="shared" si="7"/>
        <v>0</v>
      </c>
      <c r="G72" s="9">
        <f t="shared" si="8"/>
        <v>0</v>
      </c>
      <c r="I72" s="5" t="s">
        <v>13</v>
      </c>
      <c r="J72" s="17">
        <f t="shared" si="9"/>
        <v>-379750.7783333335</v>
      </c>
      <c r="K72" s="19">
        <f t="shared" si="13"/>
        <v>-1.673401926114084E-3</v>
      </c>
      <c r="L72" s="1">
        <f t="shared" si="10"/>
        <v>-291242.9658333335</v>
      </c>
      <c r="M72" s="19">
        <f t="shared" si="14"/>
        <v>-1.2779952848459225E-3</v>
      </c>
      <c r="N72" s="1">
        <f t="shared" si="11"/>
        <v>-195974.36083333349</v>
      </c>
      <c r="O72" s="19">
        <f t="shared" si="15"/>
        <v>-8.5432810622657009E-4</v>
      </c>
      <c r="P72" s="1">
        <f t="shared" ref="P72:P78" si="17">AVERAGE(M52:P52)</f>
        <v>-108147.9558333335</v>
      </c>
      <c r="Q72" s="19">
        <f t="shared" si="16"/>
        <v>-4.6035927065981902E-4</v>
      </c>
    </row>
    <row r="73" spans="2:17" x14ac:dyDescent="0.25">
      <c r="B73" s="5" t="s">
        <v>14</v>
      </c>
      <c r="C73" s="9">
        <f t="shared" si="7"/>
        <v>-11.183688635836006</v>
      </c>
      <c r="D73" s="9">
        <f t="shared" si="7"/>
        <v>4.3892659640259808</v>
      </c>
      <c r="E73" s="9">
        <f t="shared" si="7"/>
        <v>-3294.4482192787109</v>
      </c>
      <c r="F73" s="9">
        <f t="shared" si="7"/>
        <v>-1297.2255386915058</v>
      </c>
      <c r="G73" s="9">
        <f t="shared" si="8"/>
        <v>-4598.4681806420267</v>
      </c>
      <c r="I73" s="5" t="s">
        <v>14</v>
      </c>
      <c r="J73" s="17">
        <f t="shared" si="9"/>
        <v>15634757.912500001</v>
      </c>
      <c r="K73" s="19">
        <f t="shared" si="13"/>
        <v>6.889580087217001E-2</v>
      </c>
      <c r="L73" s="1">
        <f t="shared" si="10"/>
        <v>15620627.965</v>
      </c>
      <c r="M73" s="19">
        <f t="shared" si="14"/>
        <v>6.8544449918239131E-2</v>
      </c>
      <c r="N73" s="1">
        <f t="shared" si="11"/>
        <v>15565846.781666666</v>
      </c>
      <c r="O73" s="19">
        <f t="shared" si="15"/>
        <v>6.7857552111644931E-2</v>
      </c>
      <c r="P73" s="1">
        <f t="shared" si="17"/>
        <v>15680261.791666668</v>
      </c>
      <c r="Q73" s="19">
        <f t="shared" si="16"/>
        <v>6.6747021028221623E-2</v>
      </c>
    </row>
    <row r="74" spans="2:17" x14ac:dyDescent="0.25">
      <c r="B74" s="5" t="s">
        <v>15</v>
      </c>
      <c r="C74" s="9">
        <f t="shared" si="7"/>
        <v>-9.499916588427368</v>
      </c>
      <c r="D74" s="9">
        <f t="shared" si="7"/>
        <v>-78.679777846860816</v>
      </c>
      <c r="E74" s="9">
        <f t="shared" si="7"/>
        <v>-1605.8932179885087</v>
      </c>
      <c r="F74" s="9">
        <f t="shared" si="7"/>
        <v>-555.10672087967396</v>
      </c>
      <c r="G74" s="9">
        <f t="shared" si="8"/>
        <v>-2249.1796333034708</v>
      </c>
      <c r="I74" s="5" t="s">
        <v>15</v>
      </c>
      <c r="J74" s="17">
        <f t="shared" si="9"/>
        <v>6935512.2808333337</v>
      </c>
      <c r="K74" s="19">
        <f t="shared" si="13"/>
        <v>3.0561884982226645E-2</v>
      </c>
      <c r="L74" s="1">
        <f t="shared" si="10"/>
        <v>6892005.8391666664</v>
      </c>
      <c r="M74" s="19">
        <f t="shared" si="14"/>
        <v>3.0242622136412378E-2</v>
      </c>
      <c r="N74" s="1">
        <f t="shared" si="11"/>
        <v>6837558.538333334</v>
      </c>
      <c r="O74" s="19">
        <f t="shared" si="15"/>
        <v>2.9807564685645563E-2</v>
      </c>
      <c r="P74" s="1">
        <f t="shared" si="17"/>
        <v>6855088.9495833339</v>
      </c>
      <c r="Q74" s="19">
        <f t="shared" si="16"/>
        <v>2.9180429022641615E-2</v>
      </c>
    </row>
    <row r="75" spans="2:17" x14ac:dyDescent="0.25">
      <c r="B75" s="5" t="s">
        <v>16</v>
      </c>
      <c r="C75" s="9">
        <f t="shared" si="7"/>
        <v>-29.822148188126448</v>
      </c>
      <c r="D75" s="9">
        <f t="shared" si="7"/>
        <v>2699.6964012239041</v>
      </c>
      <c r="E75" s="9">
        <f t="shared" si="7"/>
        <v>-4390.4223666590551</v>
      </c>
      <c r="F75" s="9">
        <f t="shared" si="7"/>
        <v>-2570.2172316433425</v>
      </c>
      <c r="G75" s="9">
        <f t="shared" si="8"/>
        <v>-4290.76534526662</v>
      </c>
      <c r="I75" s="5" t="s">
        <v>16</v>
      </c>
      <c r="J75" s="17">
        <f t="shared" si="9"/>
        <v>30158073.543333326</v>
      </c>
      <c r="K75" s="19">
        <f t="shared" si="13"/>
        <v>0.132893943171872</v>
      </c>
      <c r="L75" s="1">
        <f t="shared" si="10"/>
        <v>31505465.232500002</v>
      </c>
      <c r="M75" s="19">
        <f t="shared" si="14"/>
        <v>0.13824826944336746</v>
      </c>
      <c r="N75" s="1">
        <f t="shared" si="11"/>
        <v>31866358.815000001</v>
      </c>
      <c r="O75" s="19">
        <f t="shared" si="15"/>
        <v>0.13891779446551308</v>
      </c>
      <c r="P75" s="1">
        <f t="shared" si="17"/>
        <v>31626794.905416675</v>
      </c>
      <c r="Q75" s="19">
        <f t="shared" si="16"/>
        <v>0.13462749363846685</v>
      </c>
    </row>
    <row r="76" spans="2:17" x14ac:dyDescent="0.25">
      <c r="B76" s="5" t="s">
        <v>17</v>
      </c>
      <c r="C76" s="9">
        <f t="shared" si="7"/>
        <v>-267.3206714415428</v>
      </c>
      <c r="D76" s="9">
        <f t="shared" si="7"/>
        <v>-3040.5593827078701</v>
      </c>
      <c r="E76" s="9">
        <f t="shared" si="7"/>
        <v>-11766.512941236142</v>
      </c>
      <c r="F76" s="9">
        <f t="shared" si="7"/>
        <v>-4565.0813615382067</v>
      </c>
      <c r="G76" s="9">
        <f t="shared" si="8"/>
        <v>-19639.474356923762</v>
      </c>
      <c r="I76" s="5" t="s">
        <v>17</v>
      </c>
      <c r="J76" s="17">
        <f t="shared" si="9"/>
        <v>53038203.990000002</v>
      </c>
      <c r="K76" s="19">
        <f t="shared" si="13"/>
        <v>0.23371705281033545</v>
      </c>
      <c r="L76" s="1">
        <f t="shared" si="10"/>
        <v>51622105.805000007</v>
      </c>
      <c r="M76" s="19">
        <f t="shared" si="14"/>
        <v>0.22652154919463666</v>
      </c>
      <c r="N76" s="1">
        <f t="shared" si="11"/>
        <v>51329774.651666678</v>
      </c>
      <c r="O76" s="19">
        <f t="shared" si="15"/>
        <v>0.22376635894982894</v>
      </c>
      <c r="P76" s="1">
        <f t="shared" si="17"/>
        <v>51456971.239166684</v>
      </c>
      <c r="Q76" s="19">
        <f t="shared" si="16"/>
        <v>0.21903968103227614</v>
      </c>
    </row>
    <row r="77" spans="2:17" x14ac:dyDescent="0.25">
      <c r="B77" s="5" t="s">
        <v>18</v>
      </c>
      <c r="C77" s="9">
        <f t="shared" si="7"/>
        <v>-5.9589356482556468</v>
      </c>
      <c r="D77" s="9">
        <f t="shared" si="7"/>
        <v>-783.14415079428727</v>
      </c>
      <c r="E77" s="9">
        <f t="shared" si="7"/>
        <v>-3877.1597526529695</v>
      </c>
      <c r="F77" s="9">
        <f t="shared" si="7"/>
        <v>-398.40446590479769</v>
      </c>
      <c r="G77" s="9">
        <f t="shared" si="8"/>
        <v>-5064.6673050003101</v>
      </c>
      <c r="I77" s="5" t="s">
        <v>18</v>
      </c>
      <c r="J77" s="17">
        <f t="shared" si="9"/>
        <v>6025309.6574999997</v>
      </c>
      <c r="K77" s="19">
        <f t="shared" si="13"/>
        <v>2.6551004926299193E-2</v>
      </c>
      <c r="L77" s="1">
        <f t="shared" si="10"/>
        <v>5622577.4749999996</v>
      </c>
      <c r="M77" s="19">
        <f t="shared" si="14"/>
        <v>2.4672278285488052E-2</v>
      </c>
      <c r="N77" s="1">
        <f t="shared" si="11"/>
        <v>5043972.1074999999</v>
      </c>
      <c r="O77" s="19">
        <f t="shared" si="15"/>
        <v>2.1988627084360717E-2</v>
      </c>
      <c r="P77" s="1">
        <f t="shared" si="17"/>
        <v>4964562.9049999993</v>
      </c>
      <c r="Q77" s="19">
        <f t="shared" si="16"/>
        <v>2.1132924246970903E-2</v>
      </c>
    </row>
    <row r="78" spans="2:17" x14ac:dyDescent="0.25">
      <c r="B78" s="5" t="s">
        <v>19</v>
      </c>
      <c r="C78" s="9">
        <f t="shared" si="7"/>
        <v>-32.712158396752784</v>
      </c>
      <c r="D78" s="9">
        <f t="shared" si="7"/>
        <v>4170.0449310777039</v>
      </c>
      <c r="E78" s="9">
        <f t="shared" si="7"/>
        <v>3077.104750031096</v>
      </c>
      <c r="F78" s="9">
        <f t="shared" si="7"/>
        <v>19511.91793138627</v>
      </c>
      <c r="G78" s="9">
        <f t="shared" si="8"/>
        <v>26726.355454098317</v>
      </c>
      <c r="I78" s="5" t="s">
        <v>19</v>
      </c>
      <c r="J78" s="17">
        <f t="shared" si="9"/>
        <v>33914246.769166663</v>
      </c>
      <c r="K78" s="19">
        <f t="shared" si="13"/>
        <v>0.14944581842678029</v>
      </c>
      <c r="L78" s="1">
        <f t="shared" si="10"/>
        <v>36004810.960000001</v>
      </c>
      <c r="M78" s="19">
        <f t="shared" si="14"/>
        <v>0.15799172524901675</v>
      </c>
      <c r="N78" s="1">
        <f t="shared" si="11"/>
        <v>38099594.280000001</v>
      </c>
      <c r="O78" s="19">
        <f t="shared" si="15"/>
        <v>0.16609088092352475</v>
      </c>
      <c r="P78" s="1">
        <f t="shared" si="17"/>
        <v>41760635.042500004</v>
      </c>
      <c r="Q78" s="19">
        <f t="shared" si="16"/>
        <v>0.17776476071432742</v>
      </c>
    </row>
    <row r="79" spans="2:17" x14ac:dyDescent="0.25">
      <c r="B79" s="8" t="s">
        <v>23</v>
      </c>
      <c r="C79" s="9">
        <f>SUM(C65:C78)</f>
        <v>-6.5483618527650833E-11</v>
      </c>
      <c r="D79" s="9">
        <f>SUM(D65:D78)</f>
        <v>-1.0913936421275139E-10</v>
      </c>
      <c r="E79" s="9">
        <f>SUM(E65:E78)</f>
        <v>2.8740032576024532E-10</v>
      </c>
      <c r="F79" s="9">
        <f>SUM(F65:F78)</f>
        <v>-4.1109160520136356E-10</v>
      </c>
      <c r="G79" s="9">
        <f t="shared" si="8"/>
        <v>-2.9831426218152046E-10</v>
      </c>
      <c r="I79" s="18" t="s">
        <v>23</v>
      </c>
      <c r="J79" s="1">
        <f>SUM(J65:J78)-J72</f>
        <v>226933393.82916668</v>
      </c>
      <c r="K79" s="10">
        <f t="shared" ref="K79:P79" si="18">SUM(K65:K78)-K72</f>
        <v>0.99999999999999978</v>
      </c>
      <c r="L79" s="1">
        <f t="shared" si="18"/>
        <v>227890485.42416671</v>
      </c>
      <c r="M79" s="10">
        <f t="shared" si="18"/>
        <v>0.99999999999999989</v>
      </c>
      <c r="N79" s="1">
        <f t="shared" si="18"/>
        <v>229390042.7775</v>
      </c>
      <c r="O79" s="10">
        <f t="shared" si="18"/>
        <v>1</v>
      </c>
      <c r="P79" s="1">
        <f t="shared" si="18"/>
        <v>234920773.24375007</v>
      </c>
      <c r="Q79" s="10">
        <f>SUM(Q65:Q78)-Q72</f>
        <v>0.99999999999999978</v>
      </c>
    </row>
    <row r="82" spans="9:17" ht="15.75" x14ac:dyDescent="0.25">
      <c r="I82" s="38" t="s">
        <v>173</v>
      </c>
      <c r="J82" s="38"/>
      <c r="K82" s="38"/>
      <c r="L82" s="38"/>
      <c r="M82" s="38"/>
      <c r="N82" s="38"/>
      <c r="O82" s="38"/>
      <c r="P82" s="38"/>
      <c r="Q82" s="38"/>
    </row>
    <row r="83" spans="9:17" x14ac:dyDescent="0.25">
      <c r="I83"/>
      <c r="J83"/>
      <c r="K83"/>
      <c r="L83"/>
      <c r="M83"/>
      <c r="N83"/>
      <c r="O83"/>
      <c r="P83"/>
      <c r="Q83"/>
    </row>
    <row r="84" spans="9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9:17" x14ac:dyDescent="0.25">
      <c r="I85" s="18" t="s">
        <v>159</v>
      </c>
      <c r="J85" t="s">
        <v>177</v>
      </c>
      <c r="K85"/>
      <c r="L85"/>
      <c r="M85"/>
      <c r="N85"/>
      <c r="O85"/>
      <c r="P85"/>
      <c r="Q85"/>
    </row>
    <row r="86" spans="9:17" x14ac:dyDescent="0.25">
      <c r="I86" s="18" t="s">
        <v>160</v>
      </c>
      <c r="J86" t="s">
        <v>161</v>
      </c>
      <c r="K86"/>
      <c r="L86"/>
      <c r="M86"/>
      <c r="N86"/>
      <c r="O86"/>
      <c r="P86"/>
      <c r="Q86"/>
    </row>
    <row r="87" spans="9:17" x14ac:dyDescent="0.25">
      <c r="I87" s="18" t="s">
        <v>162</v>
      </c>
      <c r="J87" t="s">
        <v>178</v>
      </c>
      <c r="K87"/>
      <c r="L87"/>
      <c r="M87"/>
      <c r="N87"/>
      <c r="O87"/>
      <c r="P87"/>
      <c r="Q87"/>
    </row>
    <row r="88" spans="9:17" x14ac:dyDescent="0.25">
      <c r="I88" s="8" t="s">
        <v>170</v>
      </c>
      <c r="J88" s="5" t="s">
        <v>171</v>
      </c>
    </row>
    <row r="89" spans="9:17" x14ac:dyDescent="0.25">
      <c r="I89" s="8" t="s">
        <v>174</v>
      </c>
      <c r="J89" s="5" t="s">
        <v>175</v>
      </c>
    </row>
  </sheetData>
  <sheetProtection algorithmName="SHA-512" hashValue="iNmEBrbq8Ka6DxkA+M2Ew15s1joOQ+j6NtG+a9lWpCQMT1d43AhHgSD/N+mQeHPr6TCv0MRl4f69qZwO7Bx//A==" saltValue="aZo07L2UARjB1zKf3PP6jA==" spinCount="100000" sheet="1" objects="1" scenarios="1"/>
  <mergeCells count="8">
    <mergeCell ref="I82:Q82"/>
    <mergeCell ref="B63:G63"/>
    <mergeCell ref="B2:G2"/>
    <mergeCell ref="I2:M2"/>
    <mergeCell ref="I24:M24"/>
    <mergeCell ref="B43:G43"/>
    <mergeCell ref="I43:P43"/>
    <mergeCell ref="I63:Q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3EE5-8C9A-4216-BDAB-C50228D4161E}">
  <dimension ref="B2:Q88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1.7109375" style="5" bestFit="1" customWidth="1"/>
    <col min="3" max="3" width="13.42578125" style="5" bestFit="1" customWidth="1"/>
    <col min="4" max="7" width="14.28515625" style="5" bestFit="1" customWidth="1"/>
    <col min="8" max="8" width="9.140625" style="5"/>
    <col min="9" max="9" width="10.28515625" style="5" bestFit="1" customWidth="1"/>
    <col min="10" max="13" width="16.28515625" style="5" bestFit="1" customWidth="1"/>
    <col min="14" max="14" width="18.42578125" style="5" bestFit="1" customWidth="1"/>
    <col min="15" max="16" width="16.28515625" style="5" bestFit="1" customWidth="1"/>
    <col min="17" max="17" width="17" style="5" customWidth="1"/>
    <col min="18" max="16384" width="9.140625" style="5"/>
  </cols>
  <sheetData>
    <row r="2" spans="2:14" ht="15.75" x14ac:dyDescent="0.25">
      <c r="B2" s="39" t="s">
        <v>31</v>
      </c>
      <c r="C2" s="39"/>
      <c r="D2" s="39"/>
      <c r="E2" s="39"/>
      <c r="F2" s="39"/>
      <c r="G2" s="39"/>
      <c r="H2" s="4"/>
      <c r="I2" s="39" t="s">
        <v>32</v>
      </c>
      <c r="J2" s="39"/>
      <c r="K2" s="39"/>
      <c r="L2" s="39"/>
      <c r="M2" s="39"/>
      <c r="N2" s="39"/>
    </row>
    <row r="3" spans="2:14" x14ac:dyDescent="0.25"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6"/>
      <c r="J3" s="6" t="s">
        <v>0</v>
      </c>
      <c r="K3" s="6" t="s">
        <v>1</v>
      </c>
      <c r="L3" s="6" t="s">
        <v>2</v>
      </c>
      <c r="M3" s="6" t="s">
        <v>5</v>
      </c>
      <c r="N3" s="6" t="s">
        <v>3</v>
      </c>
    </row>
    <row r="4" spans="2:14" x14ac:dyDescent="0.25">
      <c r="B4" s="5" t="s">
        <v>6</v>
      </c>
      <c r="C4" s="1">
        <v>26432.651898145043</v>
      </c>
      <c r="D4" s="2">
        <v>52063.250288916643</v>
      </c>
      <c r="E4" s="2">
        <v>58178.613120478542</v>
      </c>
      <c r="F4" s="2">
        <v>47760.441948229636</v>
      </c>
      <c r="G4" s="2">
        <f t="shared" ref="G4:G20" si="0">C4+D4+E4+F4</f>
        <v>184434.95725576987</v>
      </c>
      <c r="I4" s="5" t="s">
        <v>6</v>
      </c>
      <c r="J4" s="1">
        <v>20283044.106666666</v>
      </c>
      <c r="K4" s="1">
        <v>13326025.113333331</v>
      </c>
      <c r="L4" s="1">
        <v>11774796.663333334</v>
      </c>
      <c r="M4" s="1">
        <v>13635765.060000001</v>
      </c>
      <c r="N4" s="1">
        <v>12671894.729999999</v>
      </c>
    </row>
    <row r="5" spans="2:14" x14ac:dyDescent="0.25">
      <c r="B5" s="5" t="s">
        <v>7</v>
      </c>
      <c r="C5" s="1">
        <v>33881.19</v>
      </c>
      <c r="D5" s="1">
        <v>67413.815968863244</v>
      </c>
      <c r="E5" s="1">
        <v>65265.563264192155</v>
      </c>
      <c r="F5" s="1">
        <v>43565.19</v>
      </c>
      <c r="G5" s="2">
        <f t="shared" si="0"/>
        <v>210125.7592330554</v>
      </c>
      <c r="I5" s="5" t="s">
        <v>7</v>
      </c>
      <c r="J5" s="1">
        <v>21497520.006666664</v>
      </c>
      <c r="K5" s="1">
        <v>16154495.940000003</v>
      </c>
      <c r="L5" s="1">
        <v>13319233.619999999</v>
      </c>
      <c r="M5" s="1">
        <v>15244915.715</v>
      </c>
      <c r="N5" s="1">
        <v>13487438.956666665</v>
      </c>
    </row>
    <row r="6" spans="2:14" x14ac:dyDescent="0.25">
      <c r="B6" s="5" t="s">
        <v>8</v>
      </c>
      <c r="C6" s="1">
        <v>25391.25798774236</v>
      </c>
      <c r="D6" s="1">
        <v>48675.911785418073</v>
      </c>
      <c r="E6" s="1">
        <v>53151.002664346131</v>
      </c>
      <c r="F6" s="1">
        <v>51919.937773921578</v>
      </c>
      <c r="G6" s="2">
        <f t="shared" si="0"/>
        <v>179138.11021142814</v>
      </c>
      <c r="I6" s="5" t="s">
        <v>8</v>
      </c>
      <c r="J6" s="1">
        <v>16636819.263333334</v>
      </c>
      <c r="K6" s="1">
        <v>13889690.783333333</v>
      </c>
      <c r="L6" s="1">
        <v>12647351.336666666</v>
      </c>
      <c r="M6" s="1">
        <v>15719912.565000001</v>
      </c>
      <c r="N6" s="1">
        <v>14460702.770000001</v>
      </c>
    </row>
    <row r="7" spans="2:14" x14ac:dyDescent="0.25">
      <c r="B7" s="5" t="s">
        <v>9</v>
      </c>
      <c r="C7" s="1">
        <v>21880.379334413137</v>
      </c>
      <c r="D7" s="1">
        <v>38560.170540423343</v>
      </c>
      <c r="E7" s="1">
        <v>37975.20071064392</v>
      </c>
      <c r="F7" s="1">
        <v>18032.414298537464</v>
      </c>
      <c r="G7" s="2">
        <f t="shared" si="0"/>
        <v>116448.16488401785</v>
      </c>
      <c r="I7" s="5" t="s">
        <v>9</v>
      </c>
      <c r="J7" s="1">
        <v>11934401.253333332</v>
      </c>
      <c r="K7" s="1">
        <v>9240382.1866666656</v>
      </c>
      <c r="L7" s="1">
        <v>7920859.9666666659</v>
      </c>
      <c r="M7" s="1">
        <v>9535175.4349999987</v>
      </c>
      <c r="N7" s="1">
        <v>8190026.3099999987</v>
      </c>
    </row>
    <row r="8" spans="2:14" x14ac:dyDescent="0.25">
      <c r="B8" s="5" t="s">
        <v>10</v>
      </c>
      <c r="C8" s="1">
        <v>32102.613493725145</v>
      </c>
      <c r="D8" s="1">
        <v>60784.492088794737</v>
      </c>
      <c r="E8" s="1">
        <v>67080.22910212983</v>
      </c>
      <c r="F8" s="1">
        <v>65441.46</v>
      </c>
      <c r="G8" s="2">
        <f t="shared" si="0"/>
        <v>225408.79468464971</v>
      </c>
      <c r="I8" s="5" t="s">
        <v>10</v>
      </c>
      <c r="J8" s="1">
        <v>19754475.323333334</v>
      </c>
      <c r="K8" s="1">
        <v>17803526.989999998</v>
      </c>
      <c r="L8" s="1">
        <v>16958463.859999999</v>
      </c>
      <c r="M8" s="1">
        <v>19813903.809999999</v>
      </c>
      <c r="N8" s="1">
        <v>18588931.793333333</v>
      </c>
    </row>
    <row r="9" spans="2:14" x14ac:dyDescent="0.25">
      <c r="B9" s="5" t="s">
        <v>11</v>
      </c>
      <c r="C9" s="1">
        <v>19668.573215027875</v>
      </c>
      <c r="D9" s="1">
        <v>37173.867005865861</v>
      </c>
      <c r="E9" s="1">
        <v>42140.846739590241</v>
      </c>
      <c r="F9" s="1">
        <v>42874.8550097107</v>
      </c>
      <c r="G9" s="2">
        <f t="shared" si="0"/>
        <v>141858.14197019467</v>
      </c>
      <c r="I9" s="5" t="s">
        <v>11</v>
      </c>
      <c r="J9" s="1">
        <v>12598924.130000001</v>
      </c>
      <c r="K9" s="1">
        <v>11017307.736666666</v>
      </c>
      <c r="L9" s="1">
        <v>10794979.476666667</v>
      </c>
      <c r="M9" s="1">
        <v>12202509.365</v>
      </c>
      <c r="N9" s="1">
        <v>11594882.846666666</v>
      </c>
    </row>
    <row r="10" spans="2:14" x14ac:dyDescent="0.25">
      <c r="B10" s="5" t="s">
        <v>12</v>
      </c>
      <c r="C10" s="1">
        <v>0</v>
      </c>
      <c r="D10" s="1">
        <v>0</v>
      </c>
      <c r="E10" s="1">
        <v>0</v>
      </c>
      <c r="F10" s="1">
        <v>0</v>
      </c>
      <c r="G10" s="2">
        <f t="shared" si="0"/>
        <v>0</v>
      </c>
      <c r="I10" s="5" t="s">
        <v>12</v>
      </c>
      <c r="J10" s="1">
        <v>-541273.89666666661</v>
      </c>
      <c r="K10" s="1">
        <v>-659249.54</v>
      </c>
      <c r="L10" s="1">
        <v>-680809.60666666657</v>
      </c>
      <c r="M10" s="1">
        <v>-605288.51500000001</v>
      </c>
      <c r="N10" s="1">
        <v>-486422.04333333339</v>
      </c>
    </row>
    <row r="11" spans="2:14" x14ac:dyDescent="0.25">
      <c r="B11" s="5" t="s">
        <v>13</v>
      </c>
      <c r="C11" s="1">
        <v>529.26326642475283</v>
      </c>
      <c r="D11" s="1">
        <v>0</v>
      </c>
      <c r="E11" s="1">
        <v>845.42863403568469</v>
      </c>
      <c r="F11" s="1">
        <v>364.77549378866706</v>
      </c>
      <c r="G11" s="2">
        <f t="shared" si="0"/>
        <v>1739.4673942491045</v>
      </c>
      <c r="I11" s="5" t="s">
        <v>13</v>
      </c>
      <c r="J11" s="1">
        <v>225579.59</v>
      </c>
      <c r="K11" s="1">
        <v>206454.85</v>
      </c>
      <c r="L11" s="1">
        <v>200833.85</v>
      </c>
      <c r="M11" s="1">
        <v>197674.995</v>
      </c>
      <c r="N11" s="1">
        <v>196987.49333333332</v>
      </c>
    </row>
    <row r="12" spans="2:14" x14ac:dyDescent="0.25">
      <c r="B12" s="5" t="s">
        <v>14</v>
      </c>
      <c r="C12" s="1">
        <v>28404.32</v>
      </c>
      <c r="D12" s="1">
        <v>53692.11</v>
      </c>
      <c r="E12" s="1">
        <v>58235.37</v>
      </c>
      <c r="F12" s="1">
        <v>53562.04</v>
      </c>
      <c r="G12" s="2">
        <f t="shared" si="0"/>
        <v>193893.84</v>
      </c>
      <c r="I12" s="5" t="s">
        <v>14</v>
      </c>
      <c r="J12" s="1">
        <v>17266017.153333332</v>
      </c>
      <c r="K12" s="1">
        <v>15491297.823333332</v>
      </c>
      <c r="L12" s="1">
        <v>14587596.130000001</v>
      </c>
      <c r="M12" s="1">
        <v>16069827.645</v>
      </c>
      <c r="N12" s="1">
        <v>15315992.130000001</v>
      </c>
    </row>
    <row r="13" spans="2:14" x14ac:dyDescent="0.25">
      <c r="B13" s="5" t="s">
        <v>15</v>
      </c>
      <c r="C13" s="1">
        <v>13174.104320890649</v>
      </c>
      <c r="D13" s="1">
        <v>24631.921559906954</v>
      </c>
      <c r="E13" s="1">
        <v>26421.221772591791</v>
      </c>
      <c r="F13" s="1">
        <v>23137.344250237955</v>
      </c>
      <c r="G13" s="2">
        <f t="shared" si="0"/>
        <v>87364.591903627355</v>
      </c>
      <c r="I13" s="5" t="s">
        <v>15</v>
      </c>
      <c r="J13" s="1">
        <v>7796489.6799999997</v>
      </c>
      <c r="K13" s="1">
        <v>6873864.2466666671</v>
      </c>
      <c r="L13" s="1">
        <v>6773577.7800000003</v>
      </c>
      <c r="M13" s="1">
        <v>7036528.5250000004</v>
      </c>
      <c r="N13" s="1">
        <v>6808682.2999999998</v>
      </c>
    </row>
    <row r="14" spans="2:14" x14ac:dyDescent="0.25">
      <c r="B14" s="5" t="s">
        <v>16</v>
      </c>
      <c r="C14" s="1">
        <v>49523.101239083837</v>
      </c>
      <c r="D14" s="1">
        <v>91480.728880455485</v>
      </c>
      <c r="E14" s="1">
        <v>101912.96527396723</v>
      </c>
      <c r="F14" s="1">
        <v>108192.44167435064</v>
      </c>
      <c r="G14" s="2">
        <f t="shared" si="0"/>
        <v>351109.23706785718</v>
      </c>
      <c r="I14" s="5" t="s">
        <v>16</v>
      </c>
      <c r="J14" s="1">
        <v>23919398.310000002</v>
      </c>
      <c r="K14" s="1">
        <v>20137737.063333336</v>
      </c>
      <c r="L14" s="1">
        <v>24189428.680000003</v>
      </c>
      <c r="M14" s="1">
        <v>28242409.984999999</v>
      </c>
      <c r="N14" s="1">
        <v>27383152.703333333</v>
      </c>
    </row>
    <row r="15" spans="2:14" x14ac:dyDescent="0.25">
      <c r="B15" s="5" t="s">
        <v>17</v>
      </c>
      <c r="C15" s="1">
        <v>117317.07560206711</v>
      </c>
      <c r="D15" s="1">
        <v>223778.70329505191</v>
      </c>
      <c r="E15" s="1">
        <v>227172.87502627072</v>
      </c>
      <c r="F15" s="1">
        <v>154758.74412912142</v>
      </c>
      <c r="G15" s="2">
        <f t="shared" si="0"/>
        <v>723027.39805251115</v>
      </c>
      <c r="I15" s="5" t="s">
        <v>17</v>
      </c>
      <c r="J15" s="1">
        <v>72092246.703333333</v>
      </c>
      <c r="K15" s="1">
        <v>55247031.649999999</v>
      </c>
      <c r="L15" s="1">
        <v>48833568.280000001</v>
      </c>
      <c r="M15" s="1">
        <v>55618681.555</v>
      </c>
      <c r="N15" s="1">
        <v>51054643.100000001</v>
      </c>
    </row>
    <row r="16" spans="2:14" x14ac:dyDescent="0.25">
      <c r="B16" s="5" t="s">
        <v>18</v>
      </c>
      <c r="C16" s="1">
        <v>12457.345061885855</v>
      </c>
      <c r="D16" s="1">
        <v>23425.142973629721</v>
      </c>
      <c r="E16" s="1">
        <v>25364.332727097739</v>
      </c>
      <c r="F16" s="1">
        <v>22215.355432367327</v>
      </c>
      <c r="G16" s="2">
        <f t="shared" si="0"/>
        <v>83462.176194980639</v>
      </c>
      <c r="I16" s="5" t="s">
        <v>18</v>
      </c>
      <c r="J16" s="1">
        <v>6119797.6933333343</v>
      </c>
      <c r="K16" s="1">
        <v>4670696.4466666663</v>
      </c>
      <c r="L16" s="1">
        <v>8226848.416666667</v>
      </c>
      <c r="M16" s="1">
        <v>8141001.8699999992</v>
      </c>
      <c r="N16" s="1">
        <v>6731543.2999999998</v>
      </c>
    </row>
    <row r="17" spans="2:15" x14ac:dyDescent="0.25">
      <c r="B17" s="5" t="s">
        <v>19</v>
      </c>
      <c r="C17" s="1">
        <v>65322.292074472913</v>
      </c>
      <c r="D17" s="1">
        <v>120690.92687844283</v>
      </c>
      <c r="E17" s="1">
        <v>129340.41213425374</v>
      </c>
      <c r="F17" s="1">
        <v>112732.6899206239</v>
      </c>
      <c r="G17" s="2">
        <f t="shared" si="0"/>
        <v>428086.32100779342</v>
      </c>
      <c r="I17" s="5" t="s">
        <v>19</v>
      </c>
      <c r="J17" s="1">
        <v>38560285.32</v>
      </c>
      <c r="K17" s="1">
        <v>33861085.089999996</v>
      </c>
      <c r="L17" s="1">
        <v>32693915.210000005</v>
      </c>
      <c r="M17" s="1">
        <v>34538620.094999999</v>
      </c>
      <c r="N17" s="1">
        <v>32763988.23</v>
      </c>
    </row>
    <row r="18" spans="2:15" x14ac:dyDescent="0.25">
      <c r="B18" s="14" t="s">
        <v>20</v>
      </c>
      <c r="C18" s="15">
        <v>207.51</v>
      </c>
      <c r="D18" s="15">
        <v>436.37</v>
      </c>
      <c r="E18" s="15">
        <v>506.5</v>
      </c>
      <c r="F18" s="15">
        <v>655.28</v>
      </c>
      <c r="G18" s="20">
        <f t="shared" si="0"/>
        <v>1805.66</v>
      </c>
      <c r="I18" s="14" t="s">
        <v>20</v>
      </c>
      <c r="J18" s="15">
        <v>106336.04666666668</v>
      </c>
      <c r="K18" s="15">
        <v>150929.93666666665</v>
      </c>
      <c r="L18" s="15">
        <v>168266.43000000002</v>
      </c>
      <c r="M18" s="15">
        <v>181774.26</v>
      </c>
      <c r="N18" s="15">
        <v>183409.47666666668</v>
      </c>
    </row>
    <row r="19" spans="2:15" x14ac:dyDescent="0.25">
      <c r="B19" s="14" t="s">
        <v>21</v>
      </c>
      <c r="C19" s="15">
        <v>3708.33</v>
      </c>
      <c r="D19" s="15">
        <v>6309.9</v>
      </c>
      <c r="E19" s="15">
        <v>6409.43</v>
      </c>
      <c r="F19" s="15">
        <v>4070.78</v>
      </c>
      <c r="G19" s="20">
        <f t="shared" si="0"/>
        <v>20498.439999999999</v>
      </c>
      <c r="I19" s="14" t="s">
        <v>21</v>
      </c>
      <c r="J19" s="15">
        <v>1080169.7933333332</v>
      </c>
      <c r="K19" s="15">
        <v>1815809.4466666665</v>
      </c>
      <c r="L19" s="15">
        <v>1864449.4733333334</v>
      </c>
      <c r="M19" s="15">
        <v>1825604.17</v>
      </c>
      <c r="N19" s="15">
        <v>1812526.7333333334</v>
      </c>
    </row>
    <row r="20" spans="2:15" x14ac:dyDescent="0.25">
      <c r="B20" s="14" t="s">
        <v>22</v>
      </c>
      <c r="C20" s="15">
        <v>0</v>
      </c>
      <c r="D20" s="15">
        <v>0</v>
      </c>
      <c r="E20" s="15">
        <v>0</v>
      </c>
      <c r="F20" s="15">
        <v>0</v>
      </c>
      <c r="G20" s="20">
        <f t="shared" si="0"/>
        <v>0</v>
      </c>
      <c r="I20" s="14" t="s">
        <v>22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2:15" x14ac:dyDescent="0.25">
      <c r="B21" s="8" t="s">
        <v>23</v>
      </c>
      <c r="C21" s="9">
        <f>SUM(C4:C20)</f>
        <v>450000.00749387871</v>
      </c>
      <c r="D21" s="1">
        <f>SUM(D4:D20)</f>
        <v>849117.31126576895</v>
      </c>
      <c r="E21" s="1">
        <f>SUM(E4:E20)</f>
        <v>899999.99116959784</v>
      </c>
      <c r="F21" s="1">
        <f>SUM(F4:F20)</f>
        <v>749283.74993088935</v>
      </c>
      <c r="G21" s="1">
        <f>SUM(G4:G20)</f>
        <v>2948401.059860135</v>
      </c>
      <c r="I21" s="8" t="s">
        <v>23</v>
      </c>
      <c r="J21" s="1">
        <f>SUM(J4:J20)</f>
        <v>269330230.47666663</v>
      </c>
      <c r="K21" s="1">
        <f>SUM(K4:K20)</f>
        <v>219227085.76333332</v>
      </c>
      <c r="L21" s="1">
        <f>SUM(L4:L20)</f>
        <v>210273359.56666666</v>
      </c>
      <c r="M21" s="1">
        <f>SUM(M4:M20)</f>
        <v>237399016.535</v>
      </c>
      <c r="N21" s="1">
        <f>SUM(N4:N20)</f>
        <v>220758380.82999998</v>
      </c>
    </row>
    <row r="24" spans="2:15" ht="15.75" x14ac:dyDescent="0.25">
      <c r="I24" s="39" t="s">
        <v>33</v>
      </c>
      <c r="J24" s="39"/>
      <c r="K24" s="39"/>
      <c r="L24" s="39"/>
      <c r="M24" s="39"/>
      <c r="N24" s="39"/>
      <c r="O24" s="39"/>
    </row>
    <row r="25" spans="2:15" x14ac:dyDescent="0.25">
      <c r="I25" s="6"/>
      <c r="J25" s="6" t="s">
        <v>0</v>
      </c>
      <c r="K25" s="6" t="s">
        <v>1</v>
      </c>
      <c r="L25" s="6" t="s">
        <v>2</v>
      </c>
      <c r="M25" s="6" t="s">
        <v>5</v>
      </c>
      <c r="N25" s="6" t="s">
        <v>3</v>
      </c>
    </row>
    <row r="26" spans="2:15" x14ac:dyDescent="0.25">
      <c r="I26" s="5" t="s">
        <v>6</v>
      </c>
      <c r="J26" s="1">
        <v>20283044.106666666</v>
      </c>
      <c r="K26" s="1">
        <v>13326025.113333331</v>
      </c>
      <c r="L26" s="1">
        <v>11774796.663333334</v>
      </c>
      <c r="M26" s="1">
        <v>13635765.060000001</v>
      </c>
      <c r="N26" s="1">
        <v>12671894.729999999</v>
      </c>
    </row>
    <row r="27" spans="2:15" x14ac:dyDescent="0.25">
      <c r="I27" s="5" t="s">
        <v>7</v>
      </c>
      <c r="J27" s="1">
        <v>21497520.006666664</v>
      </c>
      <c r="K27" s="1">
        <v>16154495.940000003</v>
      </c>
      <c r="L27" s="1">
        <v>13319233.619999999</v>
      </c>
      <c r="M27" s="1">
        <v>15244915.715</v>
      </c>
      <c r="N27" s="1">
        <v>13487438.956666665</v>
      </c>
    </row>
    <row r="28" spans="2:15" x14ac:dyDescent="0.25">
      <c r="I28" s="5" t="s">
        <v>8</v>
      </c>
      <c r="J28" s="1">
        <v>16636819.263333334</v>
      </c>
      <c r="K28" s="1">
        <v>13889690.783333333</v>
      </c>
      <c r="L28" s="1">
        <v>12647351.336666666</v>
      </c>
      <c r="M28" s="1">
        <v>15719912.565000001</v>
      </c>
      <c r="N28" s="1">
        <v>14460702.770000001</v>
      </c>
    </row>
    <row r="29" spans="2:15" x14ac:dyDescent="0.25">
      <c r="I29" s="5" t="s">
        <v>36</v>
      </c>
      <c r="J29" s="1">
        <f>11934401.2533333-577133.26</f>
        <v>11357267.993333301</v>
      </c>
      <c r="K29" s="1">
        <f>9240382.18666667-513808.67</f>
        <v>8726573.5166666694</v>
      </c>
      <c r="L29" s="1">
        <f>7920859.96666667-355018.17</f>
        <v>7565841.7966666697</v>
      </c>
      <c r="M29" s="1">
        <f>9535175.435-540973.5</f>
        <v>8994201.9350000005</v>
      </c>
      <c r="N29" s="1">
        <f>8190026.31-360580.39</f>
        <v>7829445.9199999999</v>
      </c>
    </row>
    <row r="30" spans="2:15" x14ac:dyDescent="0.25">
      <c r="I30" s="5" t="s">
        <v>10</v>
      </c>
      <c r="J30" s="1">
        <v>19754475.323333334</v>
      </c>
      <c r="K30" s="1">
        <v>17803526.989999998</v>
      </c>
      <c r="L30" s="1">
        <v>16958463.859999999</v>
      </c>
      <c r="M30" s="1">
        <v>19813903.809999999</v>
      </c>
      <c r="N30" s="1">
        <v>18588931.793333333</v>
      </c>
    </row>
    <row r="31" spans="2:15" x14ac:dyDescent="0.25">
      <c r="I31" s="5" t="s">
        <v>11</v>
      </c>
      <c r="J31" s="1">
        <v>12598924.130000001</v>
      </c>
      <c r="K31" s="1">
        <v>11017307.736666666</v>
      </c>
      <c r="L31" s="1">
        <v>10794979.476666667</v>
      </c>
      <c r="M31" s="1">
        <v>12202509.365</v>
      </c>
      <c r="N31" s="1">
        <v>11594882.846666666</v>
      </c>
    </row>
    <row r="32" spans="2:15" x14ac:dyDescent="0.25">
      <c r="I32" s="5" t="s">
        <v>24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2:16" x14ac:dyDescent="0.25">
      <c r="I33" s="5" t="s">
        <v>78</v>
      </c>
      <c r="J33" s="1">
        <f>225579.59-541273.896666667</f>
        <v>-315694.30666666699</v>
      </c>
      <c r="K33" s="1">
        <f>206454.85-659249.54</f>
        <v>-452794.69000000006</v>
      </c>
      <c r="L33" s="1">
        <f>200833.85-680809.606666667</f>
        <v>-479975.75666666706</v>
      </c>
      <c r="M33" s="1">
        <f>197674.995-605288.515</f>
        <v>-407613.52</v>
      </c>
      <c r="N33" s="1">
        <f>196987.493333333-486422.043333333</f>
        <v>-289434.55</v>
      </c>
    </row>
    <row r="34" spans="2:16" x14ac:dyDescent="0.25">
      <c r="I34" s="5" t="s">
        <v>14</v>
      </c>
      <c r="J34" s="1">
        <v>17266017.153333332</v>
      </c>
      <c r="K34" s="1">
        <v>15491297.823333332</v>
      </c>
      <c r="L34" s="1">
        <v>14587596.130000001</v>
      </c>
      <c r="M34" s="1">
        <v>16069827.645</v>
      </c>
      <c r="N34" s="1">
        <v>15315992.130000001</v>
      </c>
    </row>
    <row r="35" spans="2:16" x14ac:dyDescent="0.25">
      <c r="I35" s="5" t="s">
        <v>15</v>
      </c>
      <c r="J35" s="1">
        <v>7796489.6799999997</v>
      </c>
      <c r="K35" s="1">
        <v>6873864.2466666671</v>
      </c>
      <c r="L35" s="1">
        <v>6773577.7800000003</v>
      </c>
      <c r="M35" s="1">
        <v>7036528.5250000004</v>
      </c>
      <c r="N35" s="1">
        <v>6808682.2999999998</v>
      </c>
    </row>
    <row r="36" spans="2:16" x14ac:dyDescent="0.25">
      <c r="I36" s="5" t="s">
        <v>37</v>
      </c>
      <c r="J36" s="1">
        <f>23919398.31+5000000</f>
        <v>28919398.309999999</v>
      </c>
      <c r="K36" s="1">
        <f>20137737.0633333+5000000</f>
        <v>25137737.063333299</v>
      </c>
      <c r="L36" s="1">
        <f>24189428.68+5000000</f>
        <v>29189428.68</v>
      </c>
      <c r="M36" s="1">
        <f>28242409.985+5000000</f>
        <v>33242409.984999999</v>
      </c>
      <c r="N36" s="1">
        <f>27383152.7033333+5000000</f>
        <v>32383152.7033333</v>
      </c>
    </row>
    <row r="37" spans="2:16" x14ac:dyDescent="0.25">
      <c r="I37" s="5" t="s">
        <v>83</v>
      </c>
      <c r="J37" s="1">
        <f>72092246.7033333-104348.62</f>
        <v>71987898.083333299</v>
      </c>
      <c r="K37" s="1">
        <f>55247031.65-104348.62</f>
        <v>55142683.030000001</v>
      </c>
      <c r="L37" s="1">
        <f>48833568.28-104348.62</f>
        <v>48729219.660000004</v>
      </c>
      <c r="M37" s="1">
        <f>55618681.555-104348.62</f>
        <v>55514332.935000002</v>
      </c>
      <c r="N37" s="1">
        <f>51054643.1-114081.05</f>
        <v>50940562.050000004</v>
      </c>
    </row>
    <row r="38" spans="2:16" x14ac:dyDescent="0.25">
      <c r="I38" s="5" t="s">
        <v>18</v>
      </c>
      <c r="J38" s="1">
        <v>6119797.6933333343</v>
      </c>
      <c r="K38" s="1">
        <v>4670696.4466666663</v>
      </c>
      <c r="L38" s="1">
        <v>8226848.416666667</v>
      </c>
      <c r="M38" s="1">
        <v>8141001.8699999992</v>
      </c>
      <c r="N38" s="1">
        <v>6731543.2999999998</v>
      </c>
    </row>
    <row r="39" spans="2:16" x14ac:dyDescent="0.25">
      <c r="I39" s="5" t="s">
        <v>19</v>
      </c>
      <c r="J39" s="1">
        <v>38560285.32</v>
      </c>
      <c r="K39" s="1">
        <v>33861085.089999996</v>
      </c>
      <c r="L39" s="1">
        <v>32693915.210000005</v>
      </c>
      <c r="M39" s="1">
        <v>34538620.094999999</v>
      </c>
      <c r="N39" s="1">
        <v>32763988.23</v>
      </c>
    </row>
    <row r="40" spans="2:16" x14ac:dyDescent="0.25">
      <c r="I40" s="8" t="s">
        <v>23</v>
      </c>
      <c r="J40" s="1">
        <f>SUM(J26:J39)-J33</f>
        <v>272777937.06333327</v>
      </c>
      <c r="K40" s="1">
        <f>SUM(K26:K39)-K33</f>
        <v>222094983.77999997</v>
      </c>
      <c r="L40" s="1">
        <f>SUM(L26:L39)-L33</f>
        <v>213261252.63</v>
      </c>
      <c r="M40" s="1">
        <f>SUM(M26:M39)-M33</f>
        <v>240153929.50500003</v>
      </c>
      <c r="N40" s="1">
        <f>SUM(N26:N39)-N33</f>
        <v>223577217.72999999</v>
      </c>
    </row>
    <row r="43" spans="2:16" ht="15.75" x14ac:dyDescent="0.25">
      <c r="B43" s="39" t="s">
        <v>92</v>
      </c>
      <c r="C43" s="39"/>
      <c r="D43" s="39"/>
      <c r="E43" s="39"/>
      <c r="F43" s="39"/>
      <c r="G43" s="39"/>
      <c r="I43" s="38" t="s">
        <v>72</v>
      </c>
      <c r="J43" s="38"/>
      <c r="K43" s="38"/>
      <c r="L43" s="38"/>
      <c r="M43" s="38"/>
      <c r="N43" s="38"/>
      <c r="O43" s="38"/>
      <c r="P43" s="38"/>
    </row>
    <row r="44" spans="2:16" x14ac:dyDescent="0.25">
      <c r="C44" s="6" t="s">
        <v>0</v>
      </c>
      <c r="D44" s="6" t="s">
        <v>1</v>
      </c>
      <c r="E44" s="6" t="s">
        <v>2</v>
      </c>
      <c r="F44" s="6" t="s">
        <v>3</v>
      </c>
      <c r="G44" s="6" t="s">
        <v>4</v>
      </c>
      <c r="I44" s="16"/>
      <c r="J44" s="16" t="s">
        <v>74</v>
      </c>
      <c r="K44" s="16" t="s">
        <v>75</v>
      </c>
      <c r="L44" s="16" t="s">
        <v>76</v>
      </c>
      <c r="M44" s="16" t="s">
        <v>73</v>
      </c>
      <c r="N44" s="16" t="s">
        <v>66</v>
      </c>
      <c r="O44" s="16" t="s">
        <v>67</v>
      </c>
      <c r="P44" s="16" t="s">
        <v>77</v>
      </c>
    </row>
    <row r="45" spans="2:16" x14ac:dyDescent="0.25">
      <c r="B45" s="5" t="s">
        <v>6</v>
      </c>
      <c r="C45" s="9">
        <f>$C$59*K65</f>
        <v>27197.971834093685</v>
      </c>
      <c r="D45" s="9">
        <f>($D$60*M65)-C45</f>
        <v>55045.973553836666</v>
      </c>
      <c r="E45" s="9">
        <f t="shared" ref="E45:E58" si="1">($E$60*O65)-D45-C45</f>
        <v>63673.29176252766</v>
      </c>
      <c r="F45" s="9">
        <f>($F$60*Q65)-E45-D45-C45</f>
        <v>36197.419917321968</v>
      </c>
      <c r="G45" s="9">
        <f t="shared" ref="G45:G59" si="2">SUM(C45+D45+E45+F45)</f>
        <v>182114.65706777998</v>
      </c>
      <c r="I45" s="5" t="s">
        <v>6</v>
      </c>
      <c r="J45" s="1">
        <v>10527582.08</v>
      </c>
      <c r="K45" s="1">
        <v>10035785.939999999</v>
      </c>
      <c r="L45" s="1">
        <v>18978223.466666665</v>
      </c>
      <c r="M45" s="1">
        <v>20283044.106666666</v>
      </c>
      <c r="N45" s="1">
        <v>13326025.113333331</v>
      </c>
      <c r="O45" s="1">
        <v>11774796.663333334</v>
      </c>
      <c r="P45" s="1">
        <v>13635765.060000001</v>
      </c>
    </row>
    <row r="46" spans="2:16" x14ac:dyDescent="0.25">
      <c r="B46" s="5" t="s">
        <v>7</v>
      </c>
      <c r="C46" s="9">
        <f t="shared" ref="C46:C58" si="3">$C$59*K66</f>
        <v>33950.974945032744</v>
      </c>
      <c r="D46" s="9">
        <f t="shared" ref="D46:D58" si="4">($D$60*M66)-C46</f>
        <v>60630.106374024712</v>
      </c>
      <c r="E46" s="9">
        <f t="shared" si="1"/>
        <v>60901.174150803905</v>
      </c>
      <c r="F46" s="9">
        <f t="shared" ref="F46:F58" si="5">($F$60*Q66)-E46-D46-C46</f>
        <v>48838.477138452283</v>
      </c>
      <c r="G46" s="9">
        <f t="shared" si="2"/>
        <v>204320.73260831364</v>
      </c>
      <c r="I46" s="5" t="s">
        <v>7</v>
      </c>
      <c r="J46" s="1">
        <v>18816076.669999998</v>
      </c>
      <c r="K46" s="1">
        <v>16755100.783333331</v>
      </c>
      <c r="L46" s="1">
        <v>17609838.002666667</v>
      </c>
      <c r="M46" s="1">
        <v>21497520.006666664</v>
      </c>
      <c r="N46" s="1">
        <v>16154495.940000003</v>
      </c>
      <c r="O46" s="1">
        <v>13319233.619999999</v>
      </c>
      <c r="P46" s="1">
        <v>15244915.715</v>
      </c>
    </row>
    <row r="47" spans="2:16" x14ac:dyDescent="0.25">
      <c r="B47" s="5" t="s">
        <v>8</v>
      </c>
      <c r="C47" s="9">
        <f t="shared" si="3"/>
        <v>25296.384401940344</v>
      </c>
      <c r="D47" s="9">
        <f t="shared" si="4"/>
        <v>48797.823108067707</v>
      </c>
      <c r="E47" s="9">
        <f t="shared" si="1"/>
        <v>55126.048030146601</v>
      </c>
      <c r="F47" s="9">
        <f t="shared" si="5"/>
        <v>52506.04932823572</v>
      </c>
      <c r="G47" s="9">
        <f t="shared" si="2"/>
        <v>181726.30486839038</v>
      </c>
      <c r="I47" s="5" t="s">
        <v>8</v>
      </c>
      <c r="J47" s="1">
        <v>13113979.636666669</v>
      </c>
      <c r="K47" s="1">
        <v>12067687.916666666</v>
      </c>
      <c r="L47" s="1">
        <v>13823418.686666667</v>
      </c>
      <c r="M47" s="1">
        <v>16636819.263333334</v>
      </c>
      <c r="N47" s="1">
        <v>13889690.783333333</v>
      </c>
      <c r="O47" s="1">
        <v>12647351.336666666</v>
      </c>
      <c r="P47" s="1">
        <v>15719912.565000001</v>
      </c>
    </row>
    <row r="48" spans="2:16" x14ac:dyDescent="0.25">
      <c r="B48" s="5" t="s">
        <v>9</v>
      </c>
      <c r="C48" s="9">
        <f t="shared" si="3"/>
        <v>21748.981042455183</v>
      </c>
      <c r="D48" s="9">
        <f t="shared" si="4"/>
        <v>36422.726362654605</v>
      </c>
      <c r="E48" s="9">
        <f t="shared" si="1"/>
        <v>32796.52323164558</v>
      </c>
      <c r="F48" s="9">
        <f t="shared" si="5"/>
        <v>22102.428866767135</v>
      </c>
      <c r="G48" s="9">
        <f t="shared" si="2"/>
        <v>113070.6595035225</v>
      </c>
      <c r="I48" s="5" t="s">
        <v>36</v>
      </c>
      <c r="J48" s="1">
        <f>13096911.27-825031.24</f>
        <v>12271880.029999999</v>
      </c>
      <c r="K48" s="1">
        <f>12387427.64-652689.47</f>
        <v>11734738.17</v>
      </c>
      <c r="L48" s="1">
        <f>13226184.2333333-751030.32</f>
        <v>12475153.913333301</v>
      </c>
      <c r="M48" s="1">
        <f>11934401.2533333-577133.26</f>
        <v>11357267.993333301</v>
      </c>
      <c r="N48" s="1">
        <f>9240382.18666667-513808.67</f>
        <v>8726573.5166666694</v>
      </c>
      <c r="O48" s="1">
        <f>7920859.96666667-355018.17</f>
        <v>7565841.7966666697</v>
      </c>
      <c r="P48" s="1">
        <f>9535175.435-540973.5</f>
        <v>8994201.9350000005</v>
      </c>
    </row>
    <row r="49" spans="2:17" x14ac:dyDescent="0.25">
      <c r="B49" s="5" t="s">
        <v>10</v>
      </c>
      <c r="C49" s="9">
        <f t="shared" si="3"/>
        <v>32132.542617637955</v>
      </c>
      <c r="D49" s="9">
        <f t="shared" si="4"/>
        <v>61438.610210838437</v>
      </c>
      <c r="E49" s="9">
        <f t="shared" si="1"/>
        <v>70463.506288161589</v>
      </c>
      <c r="F49" s="9">
        <f t="shared" si="5"/>
        <v>65323.769983553007</v>
      </c>
      <c r="G49" s="9">
        <f t="shared" si="2"/>
        <v>229358.42910019099</v>
      </c>
      <c r="I49" s="5" t="s">
        <v>10</v>
      </c>
      <c r="J49" s="1">
        <v>17234276.253333334</v>
      </c>
      <c r="K49" s="1">
        <v>15852992.503333336</v>
      </c>
      <c r="L49" s="1">
        <v>17836969.190000001</v>
      </c>
      <c r="M49" s="1">
        <v>19754475.323333334</v>
      </c>
      <c r="N49" s="1">
        <v>17803526.989999998</v>
      </c>
      <c r="O49" s="1">
        <v>16958463.859999999</v>
      </c>
      <c r="P49" s="1">
        <v>19813903.809999999</v>
      </c>
    </row>
    <row r="50" spans="2:17" x14ac:dyDescent="0.25">
      <c r="B50" s="5" t="s">
        <v>11</v>
      </c>
      <c r="C50" s="9">
        <f t="shared" si="3"/>
        <v>19742.109681399968</v>
      </c>
      <c r="D50" s="9">
        <f t="shared" si="4"/>
        <v>37666.469313772315</v>
      </c>
      <c r="E50" s="9">
        <f t="shared" si="1"/>
        <v>46000.609628719751</v>
      </c>
      <c r="F50" s="9">
        <f t="shared" si="5"/>
        <v>40425.017482920201</v>
      </c>
      <c r="G50" s="9">
        <f t="shared" si="2"/>
        <v>143834.20610681223</v>
      </c>
      <c r="I50" s="5" t="s">
        <v>11</v>
      </c>
      <c r="J50" s="1">
        <v>10729371.246666664</v>
      </c>
      <c r="K50" s="1">
        <v>8895270.6133333314</v>
      </c>
      <c r="L50" s="1">
        <v>11201161.586666666</v>
      </c>
      <c r="M50" s="1">
        <v>12598924.130000001</v>
      </c>
      <c r="N50" s="1">
        <v>11017307.736666666</v>
      </c>
      <c r="O50" s="1">
        <v>10794979.476666667</v>
      </c>
      <c r="P50" s="1">
        <v>12202509.365</v>
      </c>
    </row>
    <row r="51" spans="2:17" x14ac:dyDescent="0.25">
      <c r="B51" s="5" t="s">
        <v>12</v>
      </c>
      <c r="C51" s="9">
        <f t="shared" si="3"/>
        <v>0</v>
      </c>
      <c r="D51" s="9">
        <f t="shared" si="4"/>
        <v>0</v>
      </c>
      <c r="E51" s="9">
        <f t="shared" si="1"/>
        <v>0</v>
      </c>
      <c r="F51" s="9">
        <f t="shared" si="5"/>
        <v>0</v>
      </c>
      <c r="G51" s="9">
        <f t="shared" si="2"/>
        <v>0</v>
      </c>
      <c r="I51" s="5" t="s">
        <v>24</v>
      </c>
      <c r="J51" s="1"/>
      <c r="K51" s="1"/>
      <c r="L51" s="1"/>
      <c r="M51" s="1">
        <v>0</v>
      </c>
      <c r="N51" s="1">
        <v>0</v>
      </c>
      <c r="O51" s="1">
        <v>0</v>
      </c>
      <c r="P51" s="1">
        <v>0</v>
      </c>
    </row>
    <row r="52" spans="2:17" x14ac:dyDescent="0.25">
      <c r="B52" s="5" t="s">
        <v>13</v>
      </c>
      <c r="C52" s="9">
        <v>0</v>
      </c>
      <c r="D52" s="9">
        <v>0</v>
      </c>
      <c r="E52" s="9">
        <v>0</v>
      </c>
      <c r="F52" s="9">
        <v>0</v>
      </c>
      <c r="G52" s="9">
        <f t="shared" si="2"/>
        <v>0</v>
      </c>
      <c r="I52" s="5" t="s">
        <v>78</v>
      </c>
      <c r="J52" s="1">
        <f>333081.053333333-317044.316666667</f>
        <v>16036.736666665995</v>
      </c>
      <c r="K52" s="1">
        <f>328076.293333333-351616.34</f>
        <v>-23540.04666666704</v>
      </c>
      <c r="L52" s="1">
        <f>282704.843333333-120854.55</f>
        <v>161850.29333333299</v>
      </c>
      <c r="M52" s="1">
        <f>225579.59-541273.896666667</f>
        <v>-315694.30666666699</v>
      </c>
      <c r="N52" s="1">
        <f>206454.85-659249.54</f>
        <v>-452794.69000000006</v>
      </c>
      <c r="O52" s="1">
        <f>200833.85-680809.606666667</f>
        <v>-479975.75666666706</v>
      </c>
      <c r="P52" s="1">
        <f>197674.995-605288.515</f>
        <v>-407613.52</v>
      </c>
    </row>
    <row r="53" spans="2:17" x14ac:dyDescent="0.25">
      <c r="B53" s="5" t="s">
        <v>14</v>
      </c>
      <c r="C53" s="9">
        <f t="shared" si="3"/>
        <v>28702.322552169611</v>
      </c>
      <c r="D53" s="9">
        <f t="shared" si="4"/>
        <v>54279.015510272438</v>
      </c>
      <c r="E53" s="9">
        <f t="shared" si="1"/>
        <v>59951.423646282783</v>
      </c>
      <c r="F53" s="9">
        <f t="shared" si="5"/>
        <v>52743.714341946616</v>
      </c>
      <c r="G53" s="9">
        <f t="shared" si="2"/>
        <v>195676.47605067145</v>
      </c>
      <c r="I53" s="5" t="s">
        <v>14</v>
      </c>
      <c r="J53" s="1">
        <v>15440349.799999999</v>
      </c>
      <c r="K53" s="1">
        <v>14726470.079999998</v>
      </c>
      <c r="L53" s="1">
        <v>15700767.113333335</v>
      </c>
      <c r="M53" s="1">
        <v>17266017.153333332</v>
      </c>
      <c r="N53" s="1">
        <v>15491297.823333332</v>
      </c>
      <c r="O53" s="1">
        <v>14587596.130000001</v>
      </c>
      <c r="P53" s="1">
        <v>16069827.645</v>
      </c>
    </row>
    <row r="54" spans="2:17" x14ac:dyDescent="0.25">
      <c r="B54" s="5" t="s">
        <v>15</v>
      </c>
      <c r="C54" s="9">
        <f t="shared" si="3"/>
        <v>13277.15109625227</v>
      </c>
      <c r="D54" s="9">
        <f t="shared" si="4"/>
        <v>24986.399546717967</v>
      </c>
      <c r="E54" s="9">
        <f t="shared" si="1"/>
        <v>26912.176165869638</v>
      </c>
      <c r="F54" s="9">
        <f t="shared" si="5"/>
        <v>22705.358947227451</v>
      </c>
      <c r="G54" s="9">
        <f t="shared" si="2"/>
        <v>87881.085756067318</v>
      </c>
      <c r="I54" s="5" t="s">
        <v>15</v>
      </c>
      <c r="J54" s="1">
        <v>6943225.913333334</v>
      </c>
      <c r="K54" s="1">
        <v>7160508.3099999996</v>
      </c>
      <c r="L54" s="1">
        <v>7304186.2966666669</v>
      </c>
      <c r="M54" s="1">
        <v>7796489.6799999997</v>
      </c>
      <c r="N54" s="1">
        <v>6873864.2466666671</v>
      </c>
      <c r="O54" s="1">
        <v>6773577.7800000003</v>
      </c>
      <c r="P54" s="1">
        <v>7036528.5250000004</v>
      </c>
    </row>
    <row r="55" spans="2:17" x14ac:dyDescent="0.25">
      <c r="B55" s="5" t="s">
        <v>16</v>
      </c>
      <c r="C55" s="9">
        <f t="shared" si="3"/>
        <v>50033.460065239546</v>
      </c>
      <c r="D55" s="9">
        <f t="shared" si="4"/>
        <v>92069.040953492397</v>
      </c>
      <c r="E55" s="9">
        <f t="shared" si="1"/>
        <v>109353.44248199373</v>
      </c>
      <c r="F55" s="9">
        <f t="shared" si="5"/>
        <v>107989.70568568114</v>
      </c>
      <c r="G55" s="9">
        <f t="shared" si="2"/>
        <v>359445.64918640681</v>
      </c>
      <c r="I55" s="5" t="s">
        <v>37</v>
      </c>
      <c r="J55" s="1">
        <f>21990062.52+5000000</f>
        <v>26990062.52</v>
      </c>
      <c r="K55" s="1">
        <f>21476895.9033333+5000000</f>
        <v>26476895.903333299</v>
      </c>
      <c r="L55" s="1">
        <f>22667199.25+5000000</f>
        <v>27667199.25</v>
      </c>
      <c r="M55" s="1">
        <f>23919398.31+5000000</f>
        <v>28919398.309999999</v>
      </c>
      <c r="N55" s="1">
        <f>20137737.0633333+5000000</f>
        <v>25137737.063333299</v>
      </c>
      <c r="O55" s="1">
        <f>24189428.68+5000000</f>
        <v>29189428.68</v>
      </c>
      <c r="P55" s="1">
        <f>28242409.985+5000000</f>
        <v>33242409.984999999</v>
      </c>
    </row>
    <row r="56" spans="2:17" x14ac:dyDescent="0.25">
      <c r="B56" s="5" t="s">
        <v>17</v>
      </c>
      <c r="C56" s="9">
        <f t="shared" si="3"/>
        <v>116602.27461171274</v>
      </c>
      <c r="D56" s="9">
        <f t="shared" si="4"/>
        <v>226455.51069202961</v>
      </c>
      <c r="E56" s="9">
        <f t="shared" si="1"/>
        <v>211525.15324763552</v>
      </c>
      <c r="F56" s="9">
        <f t="shared" si="5"/>
        <v>159359.53010120546</v>
      </c>
      <c r="G56" s="9">
        <f t="shared" si="2"/>
        <v>713942.46865258331</v>
      </c>
      <c r="I56" s="5" t="s">
        <v>83</v>
      </c>
      <c r="J56" s="1">
        <v>50406159.74666667</v>
      </c>
      <c r="K56" s="1">
        <v>65325088.669999994</v>
      </c>
      <c r="L56" s="1">
        <f>68863465.6666667-104348.62</f>
        <v>68759117.046666697</v>
      </c>
      <c r="M56" s="1">
        <f>72092246.7033333-104348.62</f>
        <v>71987898.083333299</v>
      </c>
      <c r="N56" s="1">
        <f>55247031.65-104348.62</f>
        <v>55142683.030000001</v>
      </c>
      <c r="O56" s="1">
        <f>48833568.28-104348.62</f>
        <v>48729219.660000004</v>
      </c>
      <c r="P56" s="1">
        <f>55618681.555-104348.62</f>
        <v>55514332.935000002</v>
      </c>
    </row>
    <row r="57" spans="2:17" x14ac:dyDescent="0.25">
      <c r="B57" s="5" t="s">
        <v>18</v>
      </c>
      <c r="C57" s="9">
        <f t="shared" si="3"/>
        <v>11999.789205265073</v>
      </c>
      <c r="D57" s="9">
        <f t="shared" si="4"/>
        <v>23199.503225479806</v>
      </c>
      <c r="E57" s="9">
        <f t="shared" si="1"/>
        <v>25319.827331471985</v>
      </c>
      <c r="F57" s="9">
        <f t="shared" si="5"/>
        <v>23282.362943423992</v>
      </c>
      <c r="G57" s="9">
        <f t="shared" si="2"/>
        <v>83801.482705640854</v>
      </c>
      <c r="I57" s="5" t="s">
        <v>18</v>
      </c>
      <c r="J57" s="1">
        <v>4263594.7766666673</v>
      </c>
      <c r="K57" s="1">
        <v>8334523.5766666653</v>
      </c>
      <c r="L57" s="1">
        <v>7676810.0299999984</v>
      </c>
      <c r="M57" s="1">
        <v>6119797.6933333343</v>
      </c>
      <c r="N57" s="1">
        <v>4670696.4466666663</v>
      </c>
      <c r="O57" s="1">
        <v>8226848.416666667</v>
      </c>
      <c r="P57" s="1">
        <v>8141001.8699999992</v>
      </c>
    </row>
    <row r="58" spans="2:17" x14ac:dyDescent="0.25">
      <c r="B58" s="5" t="s">
        <v>19</v>
      </c>
      <c r="C58" s="9">
        <f t="shared" si="3"/>
        <v>65400.205440679485</v>
      </c>
      <c r="D58" s="9">
        <f t="shared" si="4"/>
        <v>121379.86241458214</v>
      </c>
      <c r="E58" s="9">
        <f t="shared" si="1"/>
        <v>131060.88520433859</v>
      </c>
      <c r="F58" s="9">
        <f t="shared" si="5"/>
        <v>113083.85519415484</v>
      </c>
      <c r="G58" s="9">
        <f t="shared" si="2"/>
        <v>430924.80825375504</v>
      </c>
      <c r="I58" s="5" t="s">
        <v>19</v>
      </c>
      <c r="J58" s="1">
        <v>35495212.093333334</v>
      </c>
      <c r="K58" s="1">
        <v>34718744.859999999</v>
      </c>
      <c r="L58" s="1">
        <v>35079993.699999996</v>
      </c>
      <c r="M58" s="1">
        <v>38560285.32</v>
      </c>
      <c r="N58" s="1">
        <v>33861085.089999996</v>
      </c>
      <c r="O58" s="1">
        <v>32693915.210000005</v>
      </c>
      <c r="P58" s="1">
        <v>34538620.094999999</v>
      </c>
    </row>
    <row r="59" spans="2:17" x14ac:dyDescent="0.25">
      <c r="B59" s="8" t="s">
        <v>23</v>
      </c>
      <c r="C59" s="9">
        <f>$C$21-(C18+C19+C20)</f>
        <v>446084.16749387869</v>
      </c>
      <c r="D59" s="9">
        <f>$D$21-(D18+D19+D20)</f>
        <v>842371.04126576893</v>
      </c>
      <c r="E59" s="9">
        <f>$E$21-(E18+E19+E20)</f>
        <v>893084.06116959779</v>
      </c>
      <c r="F59" s="9">
        <f>$F$21-(F18+F19+F20)</f>
        <v>744557.68993088929</v>
      </c>
      <c r="G59" s="9">
        <f t="shared" si="2"/>
        <v>2926096.9598601344</v>
      </c>
      <c r="I59" s="18" t="s">
        <v>23</v>
      </c>
      <c r="J59" s="1">
        <f t="shared" ref="J59:O59" si="6">SUM(J45:J58)-J52</f>
        <v>222231770.76666665</v>
      </c>
      <c r="K59" s="1">
        <f t="shared" si="6"/>
        <v>232083807.32666659</v>
      </c>
      <c r="L59" s="1">
        <f t="shared" si="6"/>
        <v>254112838.28266662</v>
      </c>
      <c r="M59" s="1">
        <f t="shared" si="6"/>
        <v>272777937.06333327</v>
      </c>
      <c r="N59" s="1">
        <f t="shared" si="6"/>
        <v>222094983.77999997</v>
      </c>
      <c r="O59" s="1">
        <f t="shared" si="6"/>
        <v>213261252.63</v>
      </c>
      <c r="P59" s="1">
        <f>SUM(P45:P58)+P52</f>
        <v>239338702.465</v>
      </c>
    </row>
    <row r="60" spans="2:17" x14ac:dyDescent="0.25">
      <c r="B60" s="8" t="s">
        <v>133</v>
      </c>
      <c r="D60" s="9">
        <f>C59+D59</f>
        <v>1288455.2087596476</v>
      </c>
      <c r="E60" s="9">
        <f>E59+D60</f>
        <v>2181539.2699292451</v>
      </c>
      <c r="F60" s="9">
        <f>F59+E60</f>
        <v>2926096.9598601344</v>
      </c>
      <c r="G60" s="9"/>
      <c r="I60" s="18"/>
      <c r="J60" s="1"/>
      <c r="K60" s="1"/>
      <c r="L60" s="1"/>
      <c r="M60" s="1"/>
      <c r="N60" s="1"/>
      <c r="O60" s="1"/>
      <c r="P60" s="1"/>
    </row>
    <row r="63" spans="2:17" ht="15.75" x14ac:dyDescent="0.25">
      <c r="B63" s="39" t="s">
        <v>79</v>
      </c>
      <c r="C63" s="39"/>
      <c r="D63" s="39"/>
      <c r="E63" s="39"/>
      <c r="F63" s="39"/>
      <c r="G63" s="39"/>
      <c r="I63" s="38" t="s">
        <v>80</v>
      </c>
      <c r="J63" s="38"/>
      <c r="K63" s="38"/>
      <c r="L63" s="38"/>
      <c r="M63" s="38"/>
      <c r="N63" s="38"/>
      <c r="O63" s="38"/>
      <c r="P63" s="38"/>
      <c r="Q63" s="38"/>
    </row>
    <row r="64" spans="2:17" x14ac:dyDescent="0.25">
      <c r="B64" s="6"/>
      <c r="C64" s="6" t="s">
        <v>0</v>
      </c>
      <c r="D64" s="6" t="s">
        <v>1</v>
      </c>
      <c r="E64" s="6" t="s">
        <v>2</v>
      </c>
      <c r="F64" s="6" t="s">
        <v>3</v>
      </c>
      <c r="G64" s="6" t="s">
        <v>4</v>
      </c>
      <c r="I64"/>
      <c r="J64" s="16" t="s">
        <v>68</v>
      </c>
      <c r="K64"/>
      <c r="L64" s="16" t="s">
        <v>69</v>
      </c>
      <c r="M64"/>
      <c r="N64" s="16" t="s">
        <v>70</v>
      </c>
      <c r="O64"/>
      <c r="P64" s="16" t="s">
        <v>71</v>
      </c>
      <c r="Q64"/>
    </row>
    <row r="65" spans="2:17" x14ac:dyDescent="0.25">
      <c r="B65" s="5" t="s">
        <v>6</v>
      </c>
      <c r="C65" s="9">
        <f t="shared" ref="C65:F78" si="7">C45-C4</f>
        <v>765.31993594864252</v>
      </c>
      <c r="D65" s="9">
        <f t="shared" si="7"/>
        <v>2982.7232649200232</v>
      </c>
      <c r="E65" s="9">
        <f t="shared" si="7"/>
        <v>5494.6786420491189</v>
      </c>
      <c r="F65" s="9">
        <f t="shared" si="7"/>
        <v>-11563.022030907669</v>
      </c>
      <c r="G65" s="9">
        <f t="shared" ref="G65:G79" si="8">SUM(C65+D65+E65+F65)</f>
        <v>-2320.3001879898839</v>
      </c>
      <c r="I65" t="s">
        <v>6</v>
      </c>
      <c r="J65" s="17">
        <f>AVERAGE(J45:M45)</f>
        <v>14956158.898333333</v>
      </c>
      <c r="K65" s="19">
        <f>J65/$J$79</f>
        <v>6.0970493498778804E-2</v>
      </c>
      <c r="L65" s="1">
        <f t="shared" ref="L65:L70" si="9">AVERAGE(K45:N45)</f>
        <v>15655769.656666666</v>
      </c>
      <c r="M65" s="19">
        <f>L65/$L$79</f>
        <v>6.3831435372211212E-2</v>
      </c>
      <c r="N65" s="1">
        <f t="shared" ref="N65:N70" si="10">AVERAGE(L45:O45)</f>
        <v>16090522.337499999</v>
      </c>
      <c r="O65" s="19">
        <f>N65/$N$79</f>
        <v>6.6887284204235578E-2</v>
      </c>
      <c r="P65" s="1">
        <f t="shared" ref="P65:P70" si="11">AVERAGE(M45:P45)</f>
        <v>14754907.735833334</v>
      </c>
      <c r="Q65" s="19">
        <f>P65/$P$79</f>
        <v>6.223808013405166E-2</v>
      </c>
    </row>
    <row r="66" spans="2:17" x14ac:dyDescent="0.25">
      <c r="B66" s="5" t="s">
        <v>7</v>
      </c>
      <c r="C66" s="9">
        <f t="shared" si="7"/>
        <v>69.784945032741234</v>
      </c>
      <c r="D66" s="9">
        <f t="shared" si="7"/>
        <v>-6783.7095948385322</v>
      </c>
      <c r="E66" s="9">
        <f t="shared" si="7"/>
        <v>-4364.3891133882498</v>
      </c>
      <c r="F66" s="9">
        <f t="shared" si="7"/>
        <v>5273.2871384522805</v>
      </c>
      <c r="G66" s="9">
        <f t="shared" si="8"/>
        <v>-5805.0266247417603</v>
      </c>
      <c r="I66" t="s">
        <v>7</v>
      </c>
      <c r="J66" s="17">
        <f>AVERAGE(J46:M46)</f>
        <v>18669633.865666665</v>
      </c>
      <c r="K66" s="19">
        <f t="shared" ref="K66:K78" si="12">J66/$J$79</f>
        <v>7.6108899214627768E-2</v>
      </c>
      <c r="L66" s="1">
        <f t="shared" si="9"/>
        <v>18004238.683166664</v>
      </c>
      <c r="M66" s="19">
        <f t="shared" ref="M66:M78" si="13">L66/$L$79</f>
        <v>7.3406572984486967E-2</v>
      </c>
      <c r="N66" s="1">
        <f t="shared" si="10"/>
        <v>17145271.892333332</v>
      </c>
      <c r="O66" s="19">
        <f t="shared" ref="O66:O78" si="14">N66/$N$79</f>
        <v>7.1271811428315096E-2</v>
      </c>
      <c r="P66" s="1">
        <f t="shared" si="11"/>
        <v>16554041.320416667</v>
      </c>
      <c r="Q66" s="19">
        <f t="shared" ref="Q66:Q78" si="15">P66/$P$79</f>
        <v>6.9827054746019093E-2</v>
      </c>
    </row>
    <row r="67" spans="2:17" x14ac:dyDescent="0.25">
      <c r="B67" s="5" t="s">
        <v>8</v>
      </c>
      <c r="C67" s="9">
        <f t="shared" si="7"/>
        <v>-94.873585802015441</v>
      </c>
      <c r="D67" s="9">
        <f t="shared" si="7"/>
        <v>121.9113226496338</v>
      </c>
      <c r="E67" s="9">
        <f t="shared" si="7"/>
        <v>1975.0453658004699</v>
      </c>
      <c r="F67" s="9">
        <f t="shared" si="7"/>
        <v>586.11155431414227</v>
      </c>
      <c r="G67" s="9">
        <f t="shared" si="8"/>
        <v>2588.1946569622305</v>
      </c>
      <c r="I67" t="s">
        <v>8</v>
      </c>
      <c r="J67" s="17">
        <f>AVERAGE(J47:M47)</f>
        <v>13910476.375833334</v>
      </c>
      <c r="K67" s="19">
        <f t="shared" si="12"/>
        <v>5.670764901623071E-2</v>
      </c>
      <c r="L67" s="1">
        <f t="shared" si="9"/>
        <v>14104404.1625</v>
      </c>
      <c r="M67" s="19">
        <f t="shared" si="13"/>
        <v>5.7506234602703848E-2</v>
      </c>
      <c r="N67" s="1">
        <f t="shared" si="10"/>
        <v>14249320.0175</v>
      </c>
      <c r="O67" s="19">
        <f t="shared" si="14"/>
        <v>5.9233522550499726E-2</v>
      </c>
      <c r="P67" s="1">
        <f t="shared" si="11"/>
        <v>14723443.487083334</v>
      </c>
      <c r="Q67" s="19">
        <f t="shared" si="15"/>
        <v>6.2105359925283127E-2</v>
      </c>
    </row>
    <row r="68" spans="2:17" x14ac:dyDescent="0.25">
      <c r="B68" s="5" t="s">
        <v>9</v>
      </c>
      <c r="C68" s="9">
        <f t="shared" si="7"/>
        <v>-131.39829195795392</v>
      </c>
      <c r="D68" s="9">
        <f t="shared" si="7"/>
        <v>-2137.4441777687389</v>
      </c>
      <c r="E68" s="9">
        <f t="shared" si="7"/>
        <v>-5178.6774789983392</v>
      </c>
      <c r="F68" s="9">
        <f t="shared" si="7"/>
        <v>4070.0145682296716</v>
      </c>
      <c r="G68" s="9">
        <f t="shared" si="8"/>
        <v>-3377.5053804953604</v>
      </c>
      <c r="I68" s="5" t="s">
        <v>9</v>
      </c>
      <c r="J68" s="17">
        <f t="shared" ref="J68:J78" si="16">AVERAGE(J48:M48)</f>
        <v>11959760.026666651</v>
      </c>
      <c r="K68" s="19">
        <f t="shared" si="12"/>
        <v>4.8755330557105306E-2</v>
      </c>
      <c r="L68" s="1">
        <f t="shared" si="9"/>
        <v>11073433.398333319</v>
      </c>
      <c r="M68" s="19">
        <f t="shared" si="13"/>
        <v>4.5148412618169112E-2</v>
      </c>
      <c r="N68" s="1">
        <f t="shared" si="10"/>
        <v>10031209.304999985</v>
      </c>
      <c r="O68" s="19">
        <f t="shared" si="14"/>
        <v>4.1699102963984595E-2</v>
      </c>
      <c r="P68" s="1">
        <f t="shared" si="11"/>
        <v>9160971.3104166593</v>
      </c>
      <c r="Q68" s="19">
        <f t="shared" si="15"/>
        <v>3.8642143802687663E-2</v>
      </c>
    </row>
    <row r="69" spans="2:17" x14ac:dyDescent="0.25">
      <c r="B69" s="5" t="s">
        <v>10</v>
      </c>
      <c r="C69" s="9">
        <f t="shared" si="7"/>
        <v>29.92912391281061</v>
      </c>
      <c r="D69" s="9">
        <f t="shared" si="7"/>
        <v>654.11812204369926</v>
      </c>
      <c r="E69" s="9">
        <f t="shared" si="7"/>
        <v>3383.2771860317589</v>
      </c>
      <c r="F69" s="9">
        <f t="shared" si="7"/>
        <v>-117.69001644699165</v>
      </c>
      <c r="G69" s="9">
        <f t="shared" si="8"/>
        <v>3949.6344155412771</v>
      </c>
      <c r="I69" s="5" t="s">
        <v>10</v>
      </c>
      <c r="J69" s="17">
        <f t="shared" si="16"/>
        <v>17669678.317500003</v>
      </c>
      <c r="K69" s="19">
        <f t="shared" si="12"/>
        <v>7.203246597645474E-2</v>
      </c>
      <c r="L69" s="1">
        <f t="shared" si="9"/>
        <v>17811991.001666665</v>
      </c>
      <c r="M69" s="19">
        <f t="shared" si="13"/>
        <v>7.2622744036677997E-2</v>
      </c>
      <c r="N69" s="1">
        <f t="shared" si="10"/>
        <v>18088358.840833332</v>
      </c>
      <c r="O69" s="19">
        <f t="shared" si="14"/>
        <v>7.5192164256551841E-2</v>
      </c>
      <c r="P69" s="1">
        <f t="shared" si="11"/>
        <v>18582592.495833334</v>
      </c>
      <c r="Q69" s="19">
        <f t="shared" si="15"/>
        <v>7.8383741976600182E-2</v>
      </c>
    </row>
    <row r="70" spans="2:17" x14ac:dyDescent="0.25">
      <c r="B70" s="5" t="s">
        <v>11</v>
      </c>
      <c r="C70" s="9">
        <f t="shared" si="7"/>
        <v>73.536466372093855</v>
      </c>
      <c r="D70" s="9">
        <f t="shared" si="7"/>
        <v>492.60230790645437</v>
      </c>
      <c r="E70" s="9">
        <f t="shared" si="7"/>
        <v>3859.7628891295099</v>
      </c>
      <c r="F70" s="9">
        <f t="shared" si="7"/>
        <v>-2449.8375267904994</v>
      </c>
      <c r="G70" s="9">
        <f t="shared" si="8"/>
        <v>1976.0641366175587</v>
      </c>
      <c r="I70" s="5" t="s">
        <v>11</v>
      </c>
      <c r="J70" s="17">
        <f t="shared" si="16"/>
        <v>10856181.894166665</v>
      </c>
      <c r="K70" s="19">
        <f t="shared" si="12"/>
        <v>4.4256467994172592E-2</v>
      </c>
      <c r="L70" s="1">
        <f t="shared" si="9"/>
        <v>10928166.016666666</v>
      </c>
      <c r="M70" s="19">
        <f t="shared" si="13"/>
        <v>4.4556130942601871E-2</v>
      </c>
      <c r="N70" s="1">
        <f t="shared" si="10"/>
        <v>11403093.2325</v>
      </c>
      <c r="O70" s="19">
        <f t="shared" si="14"/>
        <v>4.7401937727779682E-2</v>
      </c>
      <c r="P70" s="1">
        <f t="shared" si="11"/>
        <v>11653430.177083334</v>
      </c>
      <c r="Q70" s="19">
        <f t="shared" si="15"/>
        <v>4.9155652761994399E-2</v>
      </c>
    </row>
    <row r="71" spans="2:17" x14ac:dyDescent="0.25">
      <c r="B71" s="5" t="s">
        <v>12</v>
      </c>
      <c r="C71" s="9">
        <f t="shared" si="7"/>
        <v>0</v>
      </c>
      <c r="D71" s="9">
        <f t="shared" si="7"/>
        <v>0</v>
      </c>
      <c r="E71" s="9">
        <f t="shared" si="7"/>
        <v>0</v>
      </c>
      <c r="F71" s="9">
        <f t="shared" si="7"/>
        <v>0</v>
      </c>
      <c r="G71" s="9">
        <f t="shared" si="8"/>
        <v>0</v>
      </c>
      <c r="I71" s="5" t="s">
        <v>12</v>
      </c>
      <c r="J71" s="17">
        <v>0</v>
      </c>
      <c r="K71" s="19">
        <f t="shared" si="12"/>
        <v>0</v>
      </c>
      <c r="L71" s="1">
        <v>0</v>
      </c>
      <c r="M71" s="19">
        <f t="shared" si="13"/>
        <v>0</v>
      </c>
      <c r="N71" s="1">
        <v>0</v>
      </c>
      <c r="O71" s="19">
        <f t="shared" si="14"/>
        <v>0</v>
      </c>
      <c r="P71" s="1">
        <v>0</v>
      </c>
      <c r="Q71" s="19">
        <f t="shared" si="15"/>
        <v>0</v>
      </c>
    </row>
    <row r="72" spans="2:17" x14ac:dyDescent="0.25">
      <c r="B72" s="5" t="s">
        <v>13</v>
      </c>
      <c r="C72" s="9">
        <f t="shared" si="7"/>
        <v>-529.26326642475283</v>
      </c>
      <c r="D72" s="9">
        <f t="shared" si="7"/>
        <v>0</v>
      </c>
      <c r="E72" s="9">
        <f t="shared" si="7"/>
        <v>-845.42863403568469</v>
      </c>
      <c r="F72" s="9">
        <f t="shared" si="7"/>
        <v>-364.77549378866706</v>
      </c>
      <c r="G72" s="9">
        <f t="shared" si="8"/>
        <v>-1739.4673942491045</v>
      </c>
      <c r="I72" s="5" t="s">
        <v>13</v>
      </c>
      <c r="J72" s="17">
        <f t="shared" si="16"/>
        <v>-40336.830833333763</v>
      </c>
      <c r="K72" s="19">
        <f t="shared" si="12"/>
        <v>-1.6443770748913208E-4</v>
      </c>
      <c r="L72" s="1">
        <f t="shared" ref="L72:L78" si="17">AVERAGE(K52:N52)</f>
        <v>-157544.68750000029</v>
      </c>
      <c r="M72" s="19">
        <f t="shared" si="13"/>
        <v>-6.4233849621754134E-4</v>
      </c>
      <c r="N72" s="1">
        <f t="shared" ref="N72:N78" si="18">AVERAGE(L52:O52)</f>
        <v>-271653.61500000028</v>
      </c>
      <c r="O72" s="19">
        <f t="shared" si="14"/>
        <v>-1.1292469051341022E-3</v>
      </c>
      <c r="P72" s="1">
        <f t="shared" ref="P72:P78" si="19">AVERAGE(M52:P52)</f>
        <v>-414019.56833333353</v>
      </c>
      <c r="Q72" s="19">
        <f t="shared" si="15"/>
        <v>-1.7463872721085617E-3</v>
      </c>
    </row>
    <row r="73" spans="2:17" x14ac:dyDescent="0.25">
      <c r="B73" s="5" t="s">
        <v>14</v>
      </c>
      <c r="C73" s="9">
        <f t="shared" si="7"/>
        <v>298.00255216961159</v>
      </c>
      <c r="D73" s="9">
        <f t="shared" si="7"/>
        <v>586.90551027243782</v>
      </c>
      <c r="E73" s="9">
        <f t="shared" si="7"/>
        <v>1716.0536462827804</v>
      </c>
      <c r="F73" s="9">
        <f t="shared" si="7"/>
        <v>-818.32565805338527</v>
      </c>
      <c r="G73" s="9">
        <f t="shared" si="8"/>
        <v>1782.6360506714445</v>
      </c>
      <c r="I73" s="5" t="s">
        <v>14</v>
      </c>
      <c r="J73" s="17">
        <f t="shared" si="16"/>
        <v>15783401.036666665</v>
      </c>
      <c r="K73" s="19">
        <f t="shared" si="12"/>
        <v>6.4342840754516295E-2</v>
      </c>
      <c r="L73" s="1">
        <f t="shared" si="17"/>
        <v>15796138.042499999</v>
      </c>
      <c r="M73" s="19">
        <f t="shared" si="13"/>
        <v>6.4403742946039538E-2</v>
      </c>
      <c r="N73" s="1">
        <f t="shared" si="18"/>
        <v>15761419.555</v>
      </c>
      <c r="O73" s="19">
        <f t="shared" si="14"/>
        <v>6.5519224741418775E-2</v>
      </c>
      <c r="P73" s="1">
        <f t="shared" si="19"/>
        <v>15853684.687916666</v>
      </c>
      <c r="Q73" s="19">
        <f t="shared" si="15"/>
        <v>6.6872861267052705E-2</v>
      </c>
    </row>
    <row r="74" spans="2:17" x14ac:dyDescent="0.25">
      <c r="B74" s="5" t="s">
        <v>15</v>
      </c>
      <c r="C74" s="9">
        <f t="shared" si="7"/>
        <v>103.04677536162126</v>
      </c>
      <c r="D74" s="9">
        <f t="shared" si="7"/>
        <v>354.47798681101267</v>
      </c>
      <c r="E74" s="9">
        <f t="shared" si="7"/>
        <v>490.95439327784698</v>
      </c>
      <c r="F74" s="9">
        <f t="shared" si="7"/>
        <v>-431.98530301050414</v>
      </c>
      <c r="G74" s="9">
        <f t="shared" si="8"/>
        <v>516.49385243997676</v>
      </c>
      <c r="I74" s="5" t="s">
        <v>15</v>
      </c>
      <c r="J74" s="17">
        <f t="shared" si="16"/>
        <v>7301102.5499999998</v>
      </c>
      <c r="K74" s="19">
        <f t="shared" si="12"/>
        <v>2.9763780164725223E-2</v>
      </c>
      <c r="L74" s="1">
        <f t="shared" si="17"/>
        <v>7283762.1333333328</v>
      </c>
      <c r="M74" s="19">
        <f t="shared" si="13"/>
        <v>2.9697229971855418E-2</v>
      </c>
      <c r="N74" s="1">
        <f t="shared" si="18"/>
        <v>7187029.5008333335</v>
      </c>
      <c r="O74" s="19">
        <f t="shared" si="14"/>
        <v>2.9876027311190115E-2</v>
      </c>
      <c r="P74" s="1">
        <f t="shared" si="19"/>
        <v>7120115.0579166673</v>
      </c>
      <c r="Q74" s="19">
        <f t="shared" si="15"/>
        <v>3.0033552189695032E-2</v>
      </c>
    </row>
    <row r="75" spans="2:17" x14ac:dyDescent="0.25">
      <c r="B75" s="5" t="s">
        <v>16</v>
      </c>
      <c r="C75" s="9">
        <f t="shared" si="7"/>
        <v>510.35882615570881</v>
      </c>
      <c r="D75" s="9">
        <f t="shared" si="7"/>
        <v>588.3120730369119</v>
      </c>
      <c r="E75" s="9">
        <f t="shared" si="7"/>
        <v>7440.4772080264956</v>
      </c>
      <c r="F75" s="9">
        <f t="shared" si="7"/>
        <v>-202.73598866950488</v>
      </c>
      <c r="G75" s="9">
        <f t="shared" si="8"/>
        <v>8336.4121185496115</v>
      </c>
      <c r="I75" s="5" t="s">
        <v>16</v>
      </c>
      <c r="J75" s="17">
        <f t="shared" si="16"/>
        <v>27513388.995833326</v>
      </c>
      <c r="K75" s="19">
        <f t="shared" si="12"/>
        <v>0.11216147918077841</v>
      </c>
      <c r="L75" s="1">
        <f t="shared" si="17"/>
        <v>27050307.631666649</v>
      </c>
      <c r="M75" s="19">
        <f t="shared" si="13"/>
        <v>0.11028905005982259</v>
      </c>
      <c r="N75" s="1">
        <f t="shared" si="18"/>
        <v>27728440.825833328</v>
      </c>
      <c r="O75" s="19">
        <f t="shared" si="14"/>
        <v>0.11526537567617623</v>
      </c>
      <c r="P75" s="1">
        <f t="shared" si="19"/>
        <v>29122243.509583324</v>
      </c>
      <c r="Q75" s="19">
        <f t="shared" si="15"/>
        <v>0.12284133236773812</v>
      </c>
    </row>
    <row r="76" spans="2:17" x14ac:dyDescent="0.25">
      <c r="B76" s="5" t="s">
        <v>17</v>
      </c>
      <c r="C76" s="9">
        <f t="shared" si="7"/>
        <v>-714.80099035437161</v>
      </c>
      <c r="D76" s="9">
        <f t="shared" si="7"/>
        <v>2676.8073969777033</v>
      </c>
      <c r="E76" s="9">
        <f t="shared" si="7"/>
        <v>-15647.721778635198</v>
      </c>
      <c r="F76" s="9">
        <f t="shared" si="7"/>
        <v>4600.7859720840352</v>
      </c>
      <c r="G76" s="9">
        <f t="shared" si="8"/>
        <v>-9084.9293999278307</v>
      </c>
      <c r="I76" s="5" t="s">
        <v>17</v>
      </c>
      <c r="J76" s="17">
        <f t="shared" si="16"/>
        <v>64119565.88666667</v>
      </c>
      <c r="K76" s="19">
        <f t="shared" si="12"/>
        <v>0.26139074889563929</v>
      </c>
      <c r="L76" s="1">
        <f t="shared" si="17"/>
        <v>65303696.707500003</v>
      </c>
      <c r="M76" s="19">
        <f t="shared" si="13"/>
        <v>0.26625511152536885</v>
      </c>
      <c r="N76" s="1">
        <f t="shared" si="18"/>
        <v>61154729.454999998</v>
      </c>
      <c r="O76" s="19">
        <f t="shared" si="14"/>
        <v>0.25421634448476599</v>
      </c>
      <c r="P76" s="1">
        <f t="shared" si="19"/>
        <v>57843533.427083328</v>
      </c>
      <c r="Q76" s="19">
        <f t="shared" si="15"/>
        <v>0.24399139141537857</v>
      </c>
    </row>
    <row r="77" spans="2:17" x14ac:dyDescent="0.25">
      <c r="B77" s="5" t="s">
        <v>18</v>
      </c>
      <c r="C77" s="9">
        <f t="shared" si="7"/>
        <v>-457.55585662078192</v>
      </c>
      <c r="D77" s="9">
        <f t="shared" si="7"/>
        <v>-225.63974814991525</v>
      </c>
      <c r="E77" s="9">
        <f t="shared" si="7"/>
        <v>-44.505395625754318</v>
      </c>
      <c r="F77" s="9">
        <f t="shared" si="7"/>
        <v>1067.007511056665</v>
      </c>
      <c r="G77" s="9">
        <f t="shared" si="8"/>
        <v>339.30651066021346</v>
      </c>
      <c r="I77" s="5" t="s">
        <v>18</v>
      </c>
      <c r="J77" s="17">
        <f t="shared" si="16"/>
        <v>6598681.5191666661</v>
      </c>
      <c r="K77" s="19">
        <f t="shared" si="12"/>
        <v>2.690028043963192E-2</v>
      </c>
      <c r="L77" s="1">
        <f t="shared" si="17"/>
        <v>6700456.9366666656</v>
      </c>
      <c r="M77" s="19">
        <f t="shared" si="13"/>
        <v>2.7318988034229032E-2</v>
      </c>
      <c r="N77" s="1">
        <f t="shared" si="18"/>
        <v>6673538.1466666665</v>
      </c>
      <c r="O77" s="19">
        <f t="shared" si="14"/>
        <v>2.7741476211968309E-2</v>
      </c>
      <c r="P77" s="1">
        <f t="shared" si="19"/>
        <v>6789586.1066666674</v>
      </c>
      <c r="Q77" s="19">
        <f t="shared" si="15"/>
        <v>2.8639338974483782E-2</v>
      </c>
    </row>
    <row r="78" spans="2:17" x14ac:dyDescent="0.25">
      <c r="B78" s="5" t="s">
        <v>19</v>
      </c>
      <c r="C78" s="9">
        <f t="shared" si="7"/>
        <v>77.913366206572391</v>
      </c>
      <c r="D78" s="9">
        <f t="shared" si="7"/>
        <v>688.93553613930999</v>
      </c>
      <c r="E78" s="9">
        <f t="shared" si="7"/>
        <v>1720.4730700848449</v>
      </c>
      <c r="F78" s="9">
        <f t="shared" si="7"/>
        <v>351.16527353093261</v>
      </c>
      <c r="G78" s="9">
        <f t="shared" si="8"/>
        <v>2838.4872459616599</v>
      </c>
      <c r="I78" s="5" t="s">
        <v>19</v>
      </c>
      <c r="J78" s="17">
        <f t="shared" si="16"/>
        <v>35963558.993333332</v>
      </c>
      <c r="K78" s="19">
        <f t="shared" si="12"/>
        <v>0.14660956430733876</v>
      </c>
      <c r="L78" s="1">
        <f t="shared" si="17"/>
        <v>35555027.2425</v>
      </c>
      <c r="M78" s="19">
        <f t="shared" si="13"/>
        <v>0.14496434690583346</v>
      </c>
      <c r="N78" s="1">
        <f t="shared" si="18"/>
        <v>35048819.829999998</v>
      </c>
      <c r="O78" s="19">
        <f t="shared" si="14"/>
        <v>0.14569572844311388</v>
      </c>
      <c r="P78" s="1">
        <f t="shared" si="19"/>
        <v>34913476.428750001</v>
      </c>
      <c r="Q78" s="19">
        <f t="shared" si="15"/>
        <v>0.14726949043901572</v>
      </c>
    </row>
    <row r="79" spans="2:17" x14ac:dyDescent="0.25">
      <c r="B79" s="8" t="s">
        <v>23</v>
      </c>
      <c r="C79" s="9">
        <f>SUM(C65:C78)</f>
        <v>-7.3441697168163955E-11</v>
      </c>
      <c r="D79" s="9">
        <f>SUM(D65:D78)</f>
        <v>0</v>
      </c>
      <c r="E79" s="9">
        <f>SUM(E65:E78)</f>
        <v>-4.0017766878008842E-10</v>
      </c>
      <c r="F79" s="9">
        <f>SUM(F65:F78)</f>
        <v>5.056790541857481E-10</v>
      </c>
      <c r="G79" s="9">
        <f t="shared" si="8"/>
        <v>3.205968823749572E-11</v>
      </c>
      <c r="I79" s="18" t="s">
        <v>23</v>
      </c>
      <c r="J79" s="1">
        <f t="shared" ref="J79:Q79" si="20">SUM(J65:J78)-J72</f>
        <v>245301588.35983336</v>
      </c>
      <c r="K79" s="10">
        <f t="shared" si="20"/>
        <v>0.99999999999999978</v>
      </c>
      <c r="L79" s="1">
        <f t="shared" si="20"/>
        <v>245267391.61316666</v>
      </c>
      <c r="M79" s="10">
        <f t="shared" si="20"/>
        <v>1</v>
      </c>
      <c r="N79" s="1">
        <f t="shared" si="20"/>
        <v>240561752.93900001</v>
      </c>
      <c r="O79" s="10">
        <f t="shared" si="20"/>
        <v>0.99999999999999967</v>
      </c>
      <c r="P79" s="1">
        <f>SUM(P65:P78)-P72</f>
        <v>237072025.74458331</v>
      </c>
      <c r="Q79" s="10">
        <f t="shared" si="20"/>
        <v>1</v>
      </c>
    </row>
    <row r="82" spans="9:17" ht="15.75" x14ac:dyDescent="0.25">
      <c r="I82" s="38" t="s">
        <v>172</v>
      </c>
      <c r="J82" s="38"/>
      <c r="K82" s="38"/>
      <c r="L82" s="38"/>
      <c r="M82" s="38"/>
      <c r="N82" s="38"/>
      <c r="O82" s="38"/>
      <c r="P82" s="38"/>
      <c r="Q82" s="38"/>
    </row>
    <row r="83" spans="9:17" x14ac:dyDescent="0.25">
      <c r="I83"/>
      <c r="J83"/>
      <c r="K83"/>
      <c r="L83"/>
      <c r="M83"/>
      <c r="N83"/>
      <c r="O83"/>
      <c r="P83"/>
      <c r="Q83"/>
    </row>
    <row r="84" spans="9:17" x14ac:dyDescent="0.25">
      <c r="I84" s="18" t="s">
        <v>157</v>
      </c>
      <c r="J84" t="s">
        <v>158</v>
      </c>
      <c r="K84"/>
      <c r="L84"/>
      <c r="M84"/>
      <c r="N84"/>
      <c r="O84"/>
      <c r="P84"/>
      <c r="Q84"/>
    </row>
    <row r="85" spans="9:17" x14ac:dyDescent="0.25">
      <c r="I85" s="18" t="s">
        <v>159</v>
      </c>
      <c r="J85" t="s">
        <v>177</v>
      </c>
      <c r="K85"/>
      <c r="L85"/>
      <c r="M85"/>
      <c r="N85"/>
      <c r="O85"/>
      <c r="P85"/>
      <c r="Q85"/>
    </row>
    <row r="86" spans="9:17" x14ac:dyDescent="0.25">
      <c r="I86" s="18" t="s">
        <v>160</v>
      </c>
      <c r="J86" t="s">
        <v>161</v>
      </c>
      <c r="K86"/>
      <c r="L86"/>
      <c r="M86"/>
      <c r="N86"/>
      <c r="O86"/>
      <c r="P86"/>
      <c r="Q86"/>
    </row>
    <row r="87" spans="9:17" x14ac:dyDescent="0.25">
      <c r="I87" s="18" t="s">
        <v>162</v>
      </c>
      <c r="J87" t="s">
        <v>178</v>
      </c>
      <c r="K87"/>
      <c r="L87"/>
      <c r="M87"/>
      <c r="N87"/>
      <c r="O87"/>
      <c r="P87"/>
      <c r="Q87"/>
    </row>
    <row r="88" spans="9:17" x14ac:dyDescent="0.25">
      <c r="I88" s="8" t="s">
        <v>170</v>
      </c>
      <c r="J88" s="5" t="s">
        <v>171</v>
      </c>
    </row>
  </sheetData>
  <sheetProtection algorithmName="SHA-512" hashValue="PWqxX+qcePwBCyq/wc3F54M5PEzDA6eZbC79gbQpgxLgQQaewQo4ezy8g7zB7nxiWS0lnuRcnIdE+nGp9FjOjQ==" saltValue="0jMgiISGYeCcwnkYoOwUmQ==" spinCount="100000" sheet="1" objects="1" scenarios="1"/>
  <mergeCells count="8">
    <mergeCell ref="I82:Q82"/>
    <mergeCell ref="B63:G63"/>
    <mergeCell ref="I43:P43"/>
    <mergeCell ref="I63:Q63"/>
    <mergeCell ref="B2:G2"/>
    <mergeCell ref="B43:G43"/>
    <mergeCell ref="I24:O24"/>
    <mergeCell ref="I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E960-F887-45B3-8445-D3D8A0BC6C22}">
  <dimension ref="B2:N78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17.7109375" style="5" customWidth="1"/>
    <col min="3" max="3" width="19.28515625" style="5" customWidth="1"/>
    <col min="4" max="4" width="21.5703125" style="5" customWidth="1"/>
    <col min="5" max="5" width="9.140625" style="5"/>
    <col min="6" max="6" width="10.28515625" style="5" bestFit="1" customWidth="1"/>
    <col min="7" max="10" width="16.28515625" style="5" bestFit="1" customWidth="1"/>
    <col min="11" max="11" width="18.42578125" style="5" bestFit="1" customWidth="1"/>
    <col min="12" max="16384" width="9.140625" style="5"/>
  </cols>
  <sheetData>
    <row r="2" spans="2:11" ht="15.75" x14ac:dyDescent="0.25">
      <c r="B2" s="39" t="s">
        <v>28</v>
      </c>
      <c r="C2" s="39"/>
      <c r="D2" s="39"/>
      <c r="E2" s="4"/>
      <c r="F2" s="39" t="s">
        <v>29</v>
      </c>
      <c r="G2" s="39"/>
      <c r="H2" s="39"/>
      <c r="I2" s="39"/>
      <c r="J2" s="39"/>
      <c r="K2" s="39"/>
    </row>
    <row r="3" spans="2:11" x14ac:dyDescent="0.25">
      <c r="B3" s="6"/>
      <c r="C3" s="6" t="s">
        <v>3</v>
      </c>
      <c r="D3" s="6" t="s">
        <v>4</v>
      </c>
      <c r="F3" s="6"/>
      <c r="G3" s="6" t="s">
        <v>0</v>
      </c>
      <c r="H3" s="6" t="s">
        <v>1</v>
      </c>
      <c r="I3" s="6" t="s">
        <v>2</v>
      </c>
      <c r="J3" s="6" t="s">
        <v>5</v>
      </c>
      <c r="K3" s="6" t="s">
        <v>3</v>
      </c>
    </row>
    <row r="4" spans="2:11" x14ac:dyDescent="0.25">
      <c r="B4" s="5" t="s">
        <v>6</v>
      </c>
      <c r="C4" s="2">
        <v>46766.65</v>
      </c>
      <c r="D4" s="2">
        <f>C4</f>
        <v>46766.65</v>
      </c>
      <c r="F4" s="5" t="s">
        <v>6</v>
      </c>
      <c r="G4" s="1">
        <v>13627917.216666667</v>
      </c>
      <c r="H4" s="1">
        <v>10527582.08</v>
      </c>
      <c r="I4" s="1">
        <v>10035785.939999999</v>
      </c>
      <c r="J4" s="1">
        <v>18365676.609999999</v>
      </c>
      <c r="K4" s="1">
        <v>18978223.466666665</v>
      </c>
    </row>
    <row r="5" spans="2:11" x14ac:dyDescent="0.25">
      <c r="B5" s="5" t="s">
        <v>7</v>
      </c>
      <c r="C5" s="1">
        <v>52313.2</v>
      </c>
      <c r="D5" s="2">
        <f t="shared" ref="D5:D20" si="0">C5</f>
        <v>52313.2</v>
      </c>
      <c r="F5" s="5" t="s">
        <v>7</v>
      </c>
      <c r="G5" s="1">
        <v>24404605.183333334</v>
      </c>
      <c r="H5" s="1">
        <v>18816076.669999998</v>
      </c>
      <c r="I5" s="1">
        <v>16755100.783333331</v>
      </c>
      <c r="J5" s="1">
        <v>20543858.399999999</v>
      </c>
      <c r="K5" s="1">
        <v>17609838.002666667</v>
      </c>
    </row>
    <row r="6" spans="2:11" x14ac:dyDescent="0.25">
      <c r="B6" s="5" t="s">
        <v>8</v>
      </c>
      <c r="C6" s="1">
        <v>38365.949999999997</v>
      </c>
      <c r="D6" s="2">
        <f t="shared" si="0"/>
        <v>38365.949999999997</v>
      </c>
      <c r="F6" s="5" t="s">
        <v>8</v>
      </c>
      <c r="G6" s="1">
        <v>16346787.046666667</v>
      </c>
      <c r="H6" s="1">
        <v>13113979.636666669</v>
      </c>
      <c r="I6" s="1">
        <v>12067687.916666666</v>
      </c>
      <c r="J6" s="1">
        <v>15066648.68</v>
      </c>
      <c r="K6" s="1">
        <v>13823418.686666667</v>
      </c>
    </row>
    <row r="7" spans="2:11" x14ac:dyDescent="0.25">
      <c r="B7" s="5" t="s">
        <v>9</v>
      </c>
      <c r="C7" s="1">
        <v>35443.949999999997</v>
      </c>
      <c r="D7" s="2">
        <f t="shared" si="0"/>
        <v>35443.949999999997</v>
      </c>
      <c r="F7" s="5" t="s">
        <v>9</v>
      </c>
      <c r="G7" s="1">
        <v>14302755.35</v>
      </c>
      <c r="H7" s="1">
        <v>13096911.270000001</v>
      </c>
      <c r="I7" s="1">
        <v>12387427.640000001</v>
      </c>
      <c r="J7" s="1">
        <v>14801534.585000001</v>
      </c>
      <c r="K7" s="1">
        <v>13226184.233333334</v>
      </c>
    </row>
    <row r="8" spans="2:11" x14ac:dyDescent="0.25">
      <c r="B8" s="5" t="s">
        <v>10</v>
      </c>
      <c r="C8" s="1">
        <v>48348.98</v>
      </c>
      <c r="D8" s="2">
        <f t="shared" si="0"/>
        <v>48348.98</v>
      </c>
      <c r="F8" s="5" t="s">
        <v>10</v>
      </c>
      <c r="G8" s="1">
        <v>18799861.446666669</v>
      </c>
      <c r="H8" s="1">
        <v>17234276.253333334</v>
      </c>
      <c r="I8" s="1">
        <v>15852992.503333336</v>
      </c>
      <c r="J8" s="1">
        <v>18987072.09</v>
      </c>
      <c r="K8" s="1">
        <v>17836969.190000001</v>
      </c>
    </row>
    <row r="9" spans="2:11" x14ac:dyDescent="0.25">
      <c r="B9" s="5" t="s">
        <v>11</v>
      </c>
      <c r="C9" s="1">
        <v>29958.22</v>
      </c>
      <c r="D9" s="2">
        <f t="shared" si="0"/>
        <v>29958.22</v>
      </c>
      <c r="F9" s="5" t="s">
        <v>11</v>
      </c>
      <c r="G9" s="1">
        <v>12405010.859999999</v>
      </c>
      <c r="H9" s="1">
        <v>10729371.246666664</v>
      </c>
      <c r="I9" s="1">
        <v>8895270.6133333314</v>
      </c>
      <c r="J9" s="1">
        <v>11764858.449999999</v>
      </c>
      <c r="K9" s="1">
        <v>11201161.586666666</v>
      </c>
    </row>
    <row r="10" spans="2:11" x14ac:dyDescent="0.25">
      <c r="B10" s="5" t="s">
        <v>12</v>
      </c>
      <c r="C10" s="1">
        <v>0</v>
      </c>
      <c r="D10" s="2">
        <f t="shared" si="0"/>
        <v>0</v>
      </c>
      <c r="F10" s="5" t="s">
        <v>12</v>
      </c>
      <c r="G10" s="1">
        <v>-403879.10666666669</v>
      </c>
      <c r="H10" s="1">
        <v>-317044.31666666665</v>
      </c>
      <c r="I10" s="1">
        <v>-351616.34</v>
      </c>
      <c r="J10" s="1">
        <v>-32464.550000000003</v>
      </c>
      <c r="K10" s="1">
        <v>-120854.55</v>
      </c>
    </row>
    <row r="11" spans="2:11" x14ac:dyDescent="0.25">
      <c r="B11" s="5" t="s">
        <v>13</v>
      </c>
      <c r="C11" s="1">
        <v>747.41</v>
      </c>
      <c r="D11" s="2">
        <f t="shared" si="0"/>
        <v>747.41</v>
      </c>
      <c r="F11" s="5" t="s">
        <v>13</v>
      </c>
      <c r="G11" s="1">
        <v>336728.45666666661</v>
      </c>
      <c r="H11" s="1">
        <v>333081.05333333329</v>
      </c>
      <c r="I11" s="1">
        <v>328076.29333333328</v>
      </c>
      <c r="J11" s="1">
        <v>293514.89</v>
      </c>
      <c r="K11" s="1">
        <v>282704.84333333332</v>
      </c>
    </row>
    <row r="12" spans="2:11" x14ac:dyDescent="0.25">
      <c r="B12" s="5" t="s">
        <v>14</v>
      </c>
      <c r="C12" s="1">
        <v>41931.379999999997</v>
      </c>
      <c r="D12" s="2">
        <f t="shared" si="0"/>
        <v>41931.379999999997</v>
      </c>
      <c r="F12" s="5" t="s">
        <v>14</v>
      </c>
      <c r="G12" s="1">
        <v>17124545.853333335</v>
      </c>
      <c r="H12" s="1">
        <v>15440349.799999999</v>
      </c>
      <c r="I12" s="1">
        <v>14726470.079999998</v>
      </c>
      <c r="J12" s="1">
        <v>16466824.41</v>
      </c>
      <c r="K12" s="1">
        <v>15700767.113333335</v>
      </c>
    </row>
    <row r="13" spans="2:11" x14ac:dyDescent="0.25">
      <c r="B13" s="5" t="s">
        <v>15</v>
      </c>
      <c r="C13" s="1">
        <v>19116.63</v>
      </c>
      <c r="D13" s="2">
        <f t="shared" si="0"/>
        <v>19116.63</v>
      </c>
      <c r="F13" s="5" t="s">
        <v>15</v>
      </c>
      <c r="G13" s="1">
        <v>6714036.7399999993</v>
      </c>
      <c r="H13" s="1">
        <v>6943225.913333334</v>
      </c>
      <c r="I13" s="1">
        <v>7160508.3099999996</v>
      </c>
      <c r="J13" s="1">
        <v>7507270.6299999999</v>
      </c>
      <c r="K13" s="1">
        <v>7304186.2966666669</v>
      </c>
    </row>
    <row r="14" spans="2:11" x14ac:dyDescent="0.25">
      <c r="B14" s="5" t="s">
        <v>16</v>
      </c>
      <c r="C14" s="1">
        <v>59650.15</v>
      </c>
      <c r="D14" s="2">
        <f t="shared" si="0"/>
        <v>59650.15</v>
      </c>
      <c r="F14" s="5" t="s">
        <v>16</v>
      </c>
      <c r="G14" s="1">
        <v>24714052.52</v>
      </c>
      <c r="H14" s="1">
        <v>21990062.52</v>
      </c>
      <c r="I14" s="1">
        <v>21476895.903333336</v>
      </c>
      <c r="J14" s="1">
        <v>23425140.755000003</v>
      </c>
      <c r="K14" s="1">
        <v>22667199.25</v>
      </c>
    </row>
    <row r="15" spans="2:11" x14ac:dyDescent="0.25">
      <c r="B15" s="5" t="s">
        <v>17</v>
      </c>
      <c r="C15" s="1">
        <v>185259.66</v>
      </c>
      <c r="D15" s="2">
        <f t="shared" si="0"/>
        <v>185259.66</v>
      </c>
      <c r="F15" s="5" t="s">
        <v>17</v>
      </c>
      <c r="G15" s="1">
        <v>56504109.240000002</v>
      </c>
      <c r="H15" s="1">
        <v>50406159.74666667</v>
      </c>
      <c r="I15" s="1">
        <v>65325088.669999994</v>
      </c>
      <c r="J15" s="1">
        <v>72753108.680000007</v>
      </c>
      <c r="K15" s="1">
        <v>68863465.666666672</v>
      </c>
    </row>
    <row r="16" spans="2:11" x14ac:dyDescent="0.25">
      <c r="B16" s="5" t="s">
        <v>18</v>
      </c>
      <c r="C16" s="1">
        <v>22346.75</v>
      </c>
      <c r="D16" s="2">
        <f t="shared" si="0"/>
        <v>22346.75</v>
      </c>
      <c r="F16" s="5" t="s">
        <v>18</v>
      </c>
      <c r="G16" s="1">
        <v>5926009.3466666667</v>
      </c>
      <c r="H16" s="1">
        <v>4263594.7766666673</v>
      </c>
      <c r="I16" s="1">
        <v>8334523.5766666653</v>
      </c>
      <c r="J16" s="1">
        <v>8775767.6649999991</v>
      </c>
      <c r="K16" s="1">
        <v>7676810.0299999984</v>
      </c>
    </row>
    <row r="17" spans="2:11" x14ac:dyDescent="0.25">
      <c r="B17" s="5" t="s">
        <v>19</v>
      </c>
      <c r="C17" s="1">
        <v>93224.79</v>
      </c>
      <c r="D17" s="2">
        <f t="shared" si="0"/>
        <v>93224.79</v>
      </c>
      <c r="F17" s="5" t="s">
        <v>19</v>
      </c>
      <c r="G17" s="1">
        <v>41700592.810000002</v>
      </c>
      <c r="H17" s="1">
        <v>35495212.093333334</v>
      </c>
      <c r="I17" s="1">
        <v>34718744.859999999</v>
      </c>
      <c r="J17" s="1">
        <v>36562805.82</v>
      </c>
      <c r="K17" s="1">
        <v>35079993.699999996</v>
      </c>
    </row>
    <row r="18" spans="2:11" x14ac:dyDescent="0.25">
      <c r="B18" s="14" t="s">
        <v>20</v>
      </c>
      <c r="C18" s="15">
        <v>290.08999999999997</v>
      </c>
      <c r="D18" s="20">
        <f t="shared" si="0"/>
        <v>290.08999999999997</v>
      </c>
      <c r="F18" s="14" t="s">
        <v>20</v>
      </c>
      <c r="G18" s="15">
        <v>100185.15666666668</v>
      </c>
      <c r="H18" s="15">
        <v>93022.659999999989</v>
      </c>
      <c r="I18" s="15">
        <v>133009.82999999999</v>
      </c>
      <c r="J18" s="15">
        <v>129471.92499999999</v>
      </c>
      <c r="K18" s="15">
        <v>126979.62333333334</v>
      </c>
    </row>
    <row r="19" spans="2:11" x14ac:dyDescent="0.25">
      <c r="B19" s="14" t="s">
        <v>21</v>
      </c>
      <c r="C19" s="15">
        <v>6236.18</v>
      </c>
      <c r="D19" s="20">
        <f t="shared" si="0"/>
        <v>6236.18</v>
      </c>
      <c r="F19" s="14" t="s">
        <v>21</v>
      </c>
      <c r="G19" s="15">
        <v>2622740.3266666667</v>
      </c>
      <c r="H19" s="15">
        <v>2553772.5299999998</v>
      </c>
      <c r="I19" s="15">
        <v>2356754.15</v>
      </c>
      <c r="J19" s="15">
        <v>2262744.46</v>
      </c>
      <c r="K19" s="15">
        <v>1873907.1966666665</v>
      </c>
    </row>
    <row r="20" spans="2:11" x14ac:dyDescent="0.25">
      <c r="B20" s="14" t="s">
        <v>22</v>
      </c>
      <c r="C20" s="15">
        <v>0</v>
      </c>
      <c r="D20" s="20">
        <f t="shared" si="0"/>
        <v>0</v>
      </c>
      <c r="F20" s="14" t="s">
        <v>22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2:11" x14ac:dyDescent="0.25">
      <c r="B21" s="8" t="s">
        <v>23</v>
      </c>
      <c r="C21" s="1">
        <f>SUM(C4:C20)</f>
        <v>679999.99000000011</v>
      </c>
      <c r="D21" s="1">
        <f>SUM(D4:D20)</f>
        <v>679999.99000000011</v>
      </c>
      <c r="F21" s="8" t="s">
        <v>23</v>
      </c>
      <c r="G21" s="1">
        <f>SUM(G4:G20)</f>
        <v>255226058.44666666</v>
      </c>
      <c r="H21" s="1">
        <f>SUM(H4:H20)</f>
        <v>220719633.93333334</v>
      </c>
      <c r="I21" s="1">
        <f>SUM(I4:I20)</f>
        <v>230202720.73000002</v>
      </c>
      <c r="J21" s="1">
        <f>SUM(J4:J20)</f>
        <v>267673833.50000003</v>
      </c>
      <c r="K21" s="9">
        <f>SUM(K4:K20)</f>
        <v>252130954.336</v>
      </c>
    </row>
    <row r="24" spans="2:11" ht="15.75" x14ac:dyDescent="0.25">
      <c r="F24" s="39" t="s">
        <v>30</v>
      </c>
      <c r="G24" s="39"/>
      <c r="H24" s="39"/>
      <c r="I24" s="39"/>
      <c r="J24" s="39"/>
      <c r="K24" s="39"/>
    </row>
    <row r="25" spans="2:11" x14ac:dyDescent="0.25">
      <c r="F25" s="6"/>
      <c r="G25" s="6" t="s">
        <v>0</v>
      </c>
      <c r="H25" s="6" t="s">
        <v>1</v>
      </c>
      <c r="I25" s="6" t="s">
        <v>2</v>
      </c>
      <c r="J25" s="6" t="s">
        <v>5</v>
      </c>
      <c r="K25" s="6" t="s">
        <v>3</v>
      </c>
    </row>
    <row r="26" spans="2:11" x14ac:dyDescent="0.25">
      <c r="F26" t="s">
        <v>6</v>
      </c>
      <c r="G26" s="1">
        <v>13627917.216666667</v>
      </c>
      <c r="H26" s="1">
        <v>10527582.08</v>
      </c>
      <c r="I26" s="1">
        <v>10035785.939999999</v>
      </c>
      <c r="J26" s="1">
        <v>18365676.609999999</v>
      </c>
      <c r="K26" s="1">
        <v>18978223.466666665</v>
      </c>
    </row>
    <row r="27" spans="2:11" x14ac:dyDescent="0.25">
      <c r="F27" t="s">
        <v>7</v>
      </c>
      <c r="G27" s="1">
        <v>24404605.183333334</v>
      </c>
      <c r="H27" s="1">
        <v>18816076.669999998</v>
      </c>
      <c r="I27" s="1">
        <v>16755100.783333331</v>
      </c>
      <c r="J27" s="1">
        <v>20543858.399999999</v>
      </c>
      <c r="K27" s="1">
        <v>17609838.002666667</v>
      </c>
    </row>
    <row r="28" spans="2:11" x14ac:dyDescent="0.25">
      <c r="F28" s="5" t="s">
        <v>8</v>
      </c>
      <c r="G28" s="1">
        <v>16346787.046666667</v>
      </c>
      <c r="H28" s="1">
        <v>13113979.636666669</v>
      </c>
      <c r="I28" s="1">
        <v>12067687.916666666</v>
      </c>
      <c r="J28" s="1">
        <v>15066648.68</v>
      </c>
      <c r="K28" s="1">
        <v>13823418.686666667</v>
      </c>
    </row>
    <row r="29" spans="2:11" x14ac:dyDescent="0.25">
      <c r="F29" s="5" t="s">
        <v>36</v>
      </c>
      <c r="G29" s="1">
        <f>14302755.35-874108.41</f>
        <v>13428646.939999999</v>
      </c>
      <c r="H29" s="1">
        <f>13096911.27-825031.24</f>
        <v>12271880.029999999</v>
      </c>
      <c r="I29" s="1">
        <f>12387427.64-652689.47</f>
        <v>11734738.17</v>
      </c>
      <c r="J29" s="1">
        <f>14801534.585-882380.35</f>
        <v>13919154.235000001</v>
      </c>
      <c r="K29" s="1">
        <f>13226184.2333333-751030.32</f>
        <v>12475153.913333301</v>
      </c>
    </row>
    <row r="30" spans="2:11" x14ac:dyDescent="0.25">
      <c r="F30" s="5" t="s">
        <v>10</v>
      </c>
      <c r="G30" s="1">
        <v>18799861.446666669</v>
      </c>
      <c r="H30" s="1">
        <v>17234276.253333334</v>
      </c>
      <c r="I30" s="1">
        <v>15852992.503333336</v>
      </c>
      <c r="J30" s="1">
        <v>18987072.09</v>
      </c>
      <c r="K30" s="1">
        <v>17836969.190000001</v>
      </c>
    </row>
    <row r="31" spans="2:11" x14ac:dyDescent="0.25">
      <c r="F31" s="5" t="s">
        <v>11</v>
      </c>
      <c r="G31" s="1">
        <v>12405010.859999999</v>
      </c>
      <c r="H31" s="1">
        <v>10729371.246666664</v>
      </c>
      <c r="I31" s="1">
        <v>8895270.6133333314</v>
      </c>
      <c r="J31" s="1">
        <v>11764858.449999999</v>
      </c>
      <c r="K31" s="1">
        <v>11201161.586666666</v>
      </c>
    </row>
    <row r="32" spans="2:11" x14ac:dyDescent="0.25">
      <c r="F32" s="5" t="s">
        <v>24</v>
      </c>
      <c r="G32" s="1"/>
      <c r="H32" s="1"/>
      <c r="I32" s="1"/>
      <c r="J32" s="1"/>
      <c r="K32" s="1"/>
    </row>
    <row r="33" spans="2:14" x14ac:dyDescent="0.25">
      <c r="F33" s="5" t="s">
        <v>78</v>
      </c>
      <c r="G33" s="1">
        <f>336728.456666667-403879.106666667</f>
        <v>-67150.649999999965</v>
      </c>
      <c r="H33" s="1">
        <f>333081.053333333-317044.316666667</f>
        <v>16036.736666665995</v>
      </c>
      <c r="I33" s="1">
        <f>328076.293333333-351616.34</f>
        <v>-23540.04666666704</v>
      </c>
      <c r="J33" s="1">
        <f>293514.89-32464.55</f>
        <v>261050.34000000003</v>
      </c>
      <c r="K33" s="1">
        <f>282704.843333333-120854.55</f>
        <v>161850.29333333299</v>
      </c>
    </row>
    <row r="34" spans="2:14" x14ac:dyDescent="0.25">
      <c r="F34" s="5" t="s">
        <v>14</v>
      </c>
      <c r="G34" s="1">
        <v>17124545.853333335</v>
      </c>
      <c r="H34" s="1">
        <v>15440349.799999999</v>
      </c>
      <c r="I34" s="1">
        <v>14726470.079999998</v>
      </c>
      <c r="J34" s="1">
        <v>16466824.41</v>
      </c>
      <c r="K34" s="1">
        <v>15700767.113333335</v>
      </c>
    </row>
    <row r="35" spans="2:14" x14ac:dyDescent="0.25">
      <c r="F35" s="5" t="s">
        <v>15</v>
      </c>
      <c r="G35" s="1">
        <v>6714036.7399999993</v>
      </c>
      <c r="H35" s="1">
        <v>6943225.913333334</v>
      </c>
      <c r="I35" s="1">
        <v>7160508.3099999996</v>
      </c>
      <c r="J35" s="1">
        <v>7507270.6299999999</v>
      </c>
      <c r="K35" s="1">
        <v>7304186.2966666669</v>
      </c>
    </row>
    <row r="36" spans="2:14" x14ac:dyDescent="0.25">
      <c r="F36" s="5" t="s">
        <v>37</v>
      </c>
      <c r="G36" s="1">
        <f>24714052.52+5000000</f>
        <v>29714052.52</v>
      </c>
      <c r="H36" s="1">
        <f>21990062.52+5000000</f>
        <v>26990062.52</v>
      </c>
      <c r="I36" s="1">
        <f>21476895.9033333+5000000</f>
        <v>26476895.903333299</v>
      </c>
      <c r="J36" s="1">
        <f>23425140.755+5000000</f>
        <v>28425140.754999999</v>
      </c>
      <c r="K36" s="1">
        <f>22667199.25+5000000</f>
        <v>27667199.25</v>
      </c>
    </row>
    <row r="37" spans="2:14" x14ac:dyDescent="0.25">
      <c r="F37" s="5" t="s">
        <v>17</v>
      </c>
      <c r="G37" s="1">
        <v>56504109.240000002</v>
      </c>
      <c r="H37" s="1">
        <v>50406159.74666667</v>
      </c>
      <c r="I37" s="1">
        <v>65325088.669999994</v>
      </c>
      <c r="J37" s="1">
        <f>72753108.68</f>
        <v>72753108.680000007</v>
      </c>
      <c r="K37" s="1">
        <f>68863465.6666667-104348.62</f>
        <v>68759117.046666697</v>
      </c>
    </row>
    <row r="38" spans="2:14" x14ac:dyDescent="0.25">
      <c r="F38" s="5" t="s">
        <v>18</v>
      </c>
      <c r="G38" s="1">
        <v>5926009.3466666667</v>
      </c>
      <c r="H38" s="1">
        <v>4263594.7766666673</v>
      </c>
      <c r="I38" s="1">
        <v>8334523.5766666653</v>
      </c>
      <c r="J38" s="1">
        <v>8775767.6649999991</v>
      </c>
      <c r="K38" s="1">
        <v>7676810.0299999984</v>
      </c>
    </row>
    <row r="39" spans="2:14" x14ac:dyDescent="0.25">
      <c r="F39" t="s">
        <v>19</v>
      </c>
      <c r="G39" s="1">
        <v>41700592.810000002</v>
      </c>
      <c r="H39" s="1">
        <v>35495212.093333334</v>
      </c>
      <c r="I39" s="1">
        <v>34718744.859999999</v>
      </c>
      <c r="J39" s="1">
        <v>36562805.82</v>
      </c>
      <c r="K39" s="1">
        <v>35079993.699999996</v>
      </c>
    </row>
    <row r="40" spans="2:14" x14ac:dyDescent="0.25">
      <c r="F40" s="8" t="s">
        <v>23</v>
      </c>
      <c r="G40" s="1">
        <f>SUM(G26:G39)</f>
        <v>256629024.55333334</v>
      </c>
      <c r="H40" s="1">
        <f>SUM(H26:H39)</f>
        <v>222247807.50333333</v>
      </c>
      <c r="I40" s="1">
        <f>SUM(I26:I39)</f>
        <v>232060267.27999991</v>
      </c>
      <c r="J40" s="1">
        <f>SUM(J26:J39)</f>
        <v>269399236.76499999</v>
      </c>
      <c r="K40" s="9">
        <f>SUM(K26:K39)</f>
        <v>254274688.57599995</v>
      </c>
    </row>
    <row r="43" spans="2:14" ht="15.75" x14ac:dyDescent="0.25">
      <c r="B43" s="39" t="s">
        <v>82</v>
      </c>
      <c r="C43" s="39"/>
      <c r="D43" s="39"/>
      <c r="F43" s="38" t="s">
        <v>169</v>
      </c>
      <c r="G43" s="38"/>
      <c r="H43" s="38"/>
      <c r="I43" s="38"/>
      <c r="J43" s="38"/>
      <c r="K43" s="38"/>
      <c r="L43" s="38"/>
      <c r="M43" s="38"/>
      <c r="N43" s="38"/>
    </row>
    <row r="44" spans="2:14" x14ac:dyDescent="0.25">
      <c r="C44" s="6" t="s">
        <v>3</v>
      </c>
      <c r="D44" s="6" t="s">
        <v>4</v>
      </c>
      <c r="F44"/>
      <c r="G44" s="16" t="s">
        <v>71</v>
      </c>
      <c r="H44"/>
    </row>
    <row r="45" spans="2:14" x14ac:dyDescent="0.25">
      <c r="B45" s="5" t="s">
        <v>6</v>
      </c>
      <c r="C45" s="9">
        <f t="shared" ref="C45:C58" si="1">$C$59*H45</f>
        <v>36105.703015686166</v>
      </c>
      <c r="D45" s="9">
        <f>C45</f>
        <v>36105.703015686166</v>
      </c>
      <c r="F45" t="s">
        <v>6</v>
      </c>
      <c r="G45" s="17">
        <f t="shared" ref="G45:G50" si="2">AVERAGE(G26:J26)</f>
        <v>13139240.461666666</v>
      </c>
      <c r="H45" s="19">
        <f>G45/$G$59</f>
        <v>5.3611153551301395E-2</v>
      </c>
    </row>
    <row r="46" spans="2:14" x14ac:dyDescent="0.25">
      <c r="B46" s="5" t="s">
        <v>7</v>
      </c>
      <c r="C46" s="9">
        <f t="shared" si="1"/>
        <v>55315.568937969889</v>
      </c>
      <c r="D46" s="9">
        <f t="shared" ref="D46:D59" si="3">C46</f>
        <v>55315.568937969889</v>
      </c>
      <c r="F46" t="s">
        <v>7</v>
      </c>
      <c r="G46" s="17">
        <f t="shared" si="2"/>
        <v>20129910.259166665</v>
      </c>
      <c r="H46" s="19">
        <f t="shared" ref="H46:H58" si="4">G46/$G$59</f>
        <v>8.2134710375885017E-2</v>
      </c>
    </row>
    <row r="47" spans="2:14" x14ac:dyDescent="0.25">
      <c r="B47" s="5" t="s">
        <v>8</v>
      </c>
      <c r="C47" s="9">
        <f t="shared" si="1"/>
        <v>38879.834742566374</v>
      </c>
      <c r="D47" s="9">
        <f t="shared" si="3"/>
        <v>38879.834742566374</v>
      </c>
      <c r="F47" s="5" t="s">
        <v>8</v>
      </c>
      <c r="G47" s="17">
        <f t="shared" si="2"/>
        <v>14148775.82</v>
      </c>
      <c r="H47" s="19">
        <f t="shared" si="4"/>
        <v>5.7730292345433122E-2</v>
      </c>
    </row>
    <row r="48" spans="2:14" x14ac:dyDescent="0.25">
      <c r="B48" s="5" t="s">
        <v>9</v>
      </c>
      <c r="C48" s="9">
        <f t="shared" si="1"/>
        <v>35279.577611550012</v>
      </c>
      <c r="D48" s="9">
        <f t="shared" si="3"/>
        <v>35279.577611550012</v>
      </c>
      <c r="F48" s="5" t="s">
        <v>36</v>
      </c>
      <c r="G48" s="17">
        <f t="shared" si="2"/>
        <v>12838604.84375</v>
      </c>
      <c r="H48" s="19">
        <f t="shared" si="4"/>
        <v>5.2384490387464573E-2</v>
      </c>
    </row>
    <row r="49" spans="2:14" x14ac:dyDescent="0.25">
      <c r="B49" s="5" t="s">
        <v>10</v>
      </c>
      <c r="C49" s="9">
        <f t="shared" si="1"/>
        <v>48689.323156510705</v>
      </c>
      <c r="D49" s="9">
        <f t="shared" si="3"/>
        <v>48689.323156510705</v>
      </c>
      <c r="F49" s="5" t="s">
        <v>10</v>
      </c>
      <c r="G49" s="17">
        <f t="shared" si="2"/>
        <v>17718550.573333334</v>
      </c>
      <c r="H49" s="19">
        <f t="shared" si="4"/>
        <v>7.2295802658061695E-2</v>
      </c>
    </row>
    <row r="50" spans="2:14" x14ac:dyDescent="0.25">
      <c r="B50" s="5" t="s">
        <v>11</v>
      </c>
      <c r="C50" s="9">
        <f t="shared" si="1"/>
        <v>30086.054415290691</v>
      </c>
      <c r="D50" s="9">
        <f t="shared" si="3"/>
        <v>30086.054415290691</v>
      </c>
      <c r="F50" s="5" t="s">
        <v>11</v>
      </c>
      <c r="G50" s="17">
        <f t="shared" si="2"/>
        <v>10948627.792499997</v>
      </c>
      <c r="H50" s="19">
        <f t="shared" si="4"/>
        <v>4.4672944944742145E-2</v>
      </c>
    </row>
    <row r="51" spans="2:14" x14ac:dyDescent="0.25">
      <c r="B51" s="5" t="s">
        <v>12</v>
      </c>
      <c r="C51" s="9">
        <f t="shared" si="1"/>
        <v>0</v>
      </c>
      <c r="D51" s="9">
        <f t="shared" si="3"/>
        <v>0</v>
      </c>
      <c r="F51" s="5" t="s">
        <v>24</v>
      </c>
      <c r="G51" s="17">
        <v>0</v>
      </c>
      <c r="H51" s="19">
        <f t="shared" si="4"/>
        <v>0</v>
      </c>
    </row>
    <row r="52" spans="2:14" x14ac:dyDescent="0.25">
      <c r="B52" s="5" t="s">
        <v>13</v>
      </c>
      <c r="C52" s="9">
        <f t="shared" si="1"/>
        <v>128.05101556504422</v>
      </c>
      <c r="D52" s="9">
        <f t="shared" si="3"/>
        <v>128.05101556504422</v>
      </c>
      <c r="F52" s="5" t="s">
        <v>78</v>
      </c>
      <c r="G52" s="17">
        <f t="shared" ref="G52:G58" si="5">AVERAGE(G33:J33)</f>
        <v>46599.094999999754</v>
      </c>
      <c r="H52" s="19">
        <f t="shared" si="4"/>
        <v>1.901351333576078E-4</v>
      </c>
    </row>
    <row r="53" spans="2:14" x14ac:dyDescent="0.25">
      <c r="B53" s="5" t="s">
        <v>14</v>
      </c>
      <c r="C53" s="9">
        <f t="shared" si="1"/>
        <v>43800.74869717464</v>
      </c>
      <c r="D53" s="9">
        <f t="shared" si="3"/>
        <v>43800.74869717464</v>
      </c>
      <c r="F53" s="5" t="s">
        <v>14</v>
      </c>
      <c r="G53" s="17">
        <f t="shared" si="5"/>
        <v>15939547.535833333</v>
      </c>
      <c r="H53" s="19">
        <f t="shared" si="4"/>
        <v>6.5037056972578874E-2</v>
      </c>
    </row>
    <row r="54" spans="2:14" x14ac:dyDescent="0.25">
      <c r="B54" s="5" t="s">
        <v>15</v>
      </c>
      <c r="C54" s="9">
        <f t="shared" si="1"/>
        <v>19458.802482904823</v>
      </c>
      <c r="D54" s="9">
        <f t="shared" si="3"/>
        <v>19458.802482904823</v>
      </c>
      <c r="F54" s="5" t="s">
        <v>15</v>
      </c>
      <c r="G54" s="17">
        <f t="shared" si="5"/>
        <v>7081260.3983333325</v>
      </c>
      <c r="H54" s="19">
        <f t="shared" si="4"/>
        <v>2.8893187521711789E-2</v>
      </c>
    </row>
    <row r="55" spans="2:14" x14ac:dyDescent="0.25">
      <c r="B55" s="5" t="s">
        <v>16</v>
      </c>
      <c r="C55" s="9">
        <f t="shared" si="1"/>
        <v>76671.451818313421</v>
      </c>
      <c r="D55" s="9">
        <f t="shared" si="3"/>
        <v>76671.451818313421</v>
      </c>
      <c r="F55" s="5" t="s">
        <v>37</v>
      </c>
      <c r="G55" s="17">
        <f t="shared" si="5"/>
        <v>27901537.924583323</v>
      </c>
      <c r="H55" s="19">
        <f t="shared" si="4"/>
        <v>0.1138447567312848</v>
      </c>
    </row>
    <row r="56" spans="2:14" x14ac:dyDescent="0.25">
      <c r="B56" s="5" t="s">
        <v>17</v>
      </c>
      <c r="C56" s="9">
        <f t="shared" si="1"/>
        <v>168302.74233937904</v>
      </c>
      <c r="D56" s="9">
        <f t="shared" si="3"/>
        <v>168302.74233937904</v>
      </c>
      <c r="F56" s="5" t="s">
        <v>17</v>
      </c>
      <c r="G56" s="17">
        <f t="shared" si="5"/>
        <v>61247116.584166668</v>
      </c>
      <c r="H56" s="19">
        <f t="shared" si="4"/>
        <v>0.24990246440407357</v>
      </c>
    </row>
    <row r="57" spans="2:14" x14ac:dyDescent="0.25">
      <c r="B57" s="5" t="s">
        <v>18</v>
      </c>
      <c r="C57" s="9">
        <f t="shared" si="1"/>
        <v>18754.545159663037</v>
      </c>
      <c r="D57" s="9">
        <f t="shared" si="3"/>
        <v>18754.545159663037</v>
      </c>
      <c r="F57" s="5" t="s">
        <v>18</v>
      </c>
      <c r="G57" s="17">
        <f t="shared" si="5"/>
        <v>6824973.8412499996</v>
      </c>
      <c r="H57" s="19">
        <f t="shared" si="4"/>
        <v>2.7847478829111601E-2</v>
      </c>
    </row>
    <row r="58" spans="2:14" x14ac:dyDescent="0.25">
      <c r="B58" s="5" t="s">
        <v>19</v>
      </c>
      <c r="C58" s="9">
        <f t="shared" si="1"/>
        <v>102001.31660742621</v>
      </c>
      <c r="D58" s="9">
        <f t="shared" si="3"/>
        <v>102001.31660742621</v>
      </c>
      <c r="F58" t="s">
        <v>19</v>
      </c>
      <c r="G58" s="17">
        <f t="shared" si="5"/>
        <v>37119338.895833336</v>
      </c>
      <c r="H58" s="19">
        <f t="shared" si="4"/>
        <v>0.15145552614499375</v>
      </c>
    </row>
    <row r="59" spans="2:14" x14ac:dyDescent="0.25">
      <c r="B59" s="8" t="s">
        <v>23</v>
      </c>
      <c r="C59" s="9">
        <f>$C$21-(C18+C19+C20)</f>
        <v>673473.72000000009</v>
      </c>
      <c r="D59" s="9">
        <f t="shared" si="3"/>
        <v>673473.72000000009</v>
      </c>
      <c r="F59" s="18" t="s">
        <v>23</v>
      </c>
      <c r="G59" s="1">
        <f>SUM(G45:G58)</f>
        <v>245084084.02541667</v>
      </c>
      <c r="H59" s="10">
        <f>SUM(H45:H58)</f>
        <v>1</v>
      </c>
    </row>
    <row r="62" spans="2:14" ht="15.75" x14ac:dyDescent="0.25">
      <c r="B62" s="39" t="s">
        <v>81</v>
      </c>
      <c r="C62" s="39"/>
      <c r="D62" s="39"/>
      <c r="F62" s="38" t="s">
        <v>165</v>
      </c>
      <c r="G62" s="38"/>
      <c r="H62" s="38"/>
      <c r="I62" s="38"/>
      <c r="J62" s="38"/>
      <c r="K62" s="38"/>
      <c r="L62" s="38"/>
      <c r="M62" s="38"/>
      <c r="N62" s="38"/>
    </row>
    <row r="63" spans="2:14" x14ac:dyDescent="0.25">
      <c r="B63" s="6"/>
      <c r="C63" s="6" t="s">
        <v>3</v>
      </c>
      <c r="D63" s="6" t="s">
        <v>4</v>
      </c>
      <c r="F63"/>
      <c r="G63"/>
      <c r="H63"/>
      <c r="I63"/>
      <c r="J63"/>
      <c r="K63"/>
      <c r="L63"/>
      <c r="M63"/>
      <c r="N63"/>
    </row>
    <row r="64" spans="2:14" x14ac:dyDescent="0.25">
      <c r="B64" s="5" t="s">
        <v>6</v>
      </c>
      <c r="C64" s="9">
        <f t="shared" ref="C64:C77" si="6">C45-C4</f>
        <v>-10660.946984313836</v>
      </c>
      <c r="D64" s="9">
        <f>SUM(C64)</f>
        <v>-10660.946984313836</v>
      </c>
      <c r="F64" s="18" t="s">
        <v>157</v>
      </c>
      <c r="G64" t="s">
        <v>158</v>
      </c>
      <c r="H64"/>
      <c r="I64"/>
      <c r="J64"/>
      <c r="K64"/>
      <c r="L64"/>
      <c r="M64"/>
      <c r="N64"/>
    </row>
    <row r="65" spans="2:14" x14ac:dyDescent="0.25">
      <c r="B65" s="5" t="s">
        <v>7</v>
      </c>
      <c r="C65" s="9">
        <f t="shared" si="6"/>
        <v>3002.3689379698917</v>
      </c>
      <c r="D65" s="9">
        <f t="shared" ref="D65:D77" si="7">SUM(C65)</f>
        <v>3002.3689379698917</v>
      </c>
      <c r="F65" s="18" t="s">
        <v>159</v>
      </c>
      <c r="G65" t="s">
        <v>177</v>
      </c>
      <c r="H65"/>
      <c r="I65"/>
      <c r="J65"/>
      <c r="K65"/>
      <c r="L65"/>
      <c r="M65"/>
      <c r="N65"/>
    </row>
    <row r="66" spans="2:14" x14ac:dyDescent="0.25">
      <c r="B66" s="5" t="s">
        <v>8</v>
      </c>
      <c r="C66" s="9">
        <f t="shared" si="6"/>
        <v>513.8847425663771</v>
      </c>
      <c r="D66" s="9">
        <f t="shared" si="7"/>
        <v>513.8847425663771</v>
      </c>
      <c r="F66" s="18" t="s">
        <v>160</v>
      </c>
      <c r="G66" t="s">
        <v>161</v>
      </c>
      <c r="H66"/>
      <c r="I66"/>
      <c r="J66"/>
      <c r="K66"/>
      <c r="L66"/>
      <c r="M66"/>
      <c r="N66"/>
    </row>
    <row r="67" spans="2:14" x14ac:dyDescent="0.25">
      <c r="B67" s="5" t="s">
        <v>9</v>
      </c>
      <c r="C67" s="9">
        <f t="shared" si="6"/>
        <v>-164.37238844998501</v>
      </c>
      <c r="D67" s="9">
        <f t="shared" si="7"/>
        <v>-164.37238844998501</v>
      </c>
      <c r="F67" s="18" t="s">
        <v>162</v>
      </c>
      <c r="G67" t="s">
        <v>178</v>
      </c>
      <c r="H67"/>
      <c r="I67"/>
      <c r="J67"/>
      <c r="K67"/>
      <c r="L67"/>
      <c r="M67"/>
      <c r="N67"/>
    </row>
    <row r="68" spans="2:14" x14ac:dyDescent="0.25">
      <c r="B68" s="5" t="s">
        <v>10</v>
      </c>
      <c r="C68" s="9">
        <f t="shared" si="6"/>
        <v>340.3431565107021</v>
      </c>
      <c r="D68" s="9">
        <f t="shared" si="7"/>
        <v>340.3431565107021</v>
      </c>
    </row>
    <row r="69" spans="2:14" x14ac:dyDescent="0.25">
      <c r="B69" s="5" t="s">
        <v>11</v>
      </c>
      <c r="C69" s="9">
        <f t="shared" si="6"/>
        <v>127.83441529069023</v>
      </c>
      <c r="D69" s="9">
        <f t="shared" si="7"/>
        <v>127.83441529069023</v>
      </c>
    </row>
    <row r="70" spans="2:14" x14ac:dyDescent="0.25">
      <c r="B70" s="5" t="s">
        <v>12</v>
      </c>
      <c r="C70" s="9">
        <f t="shared" si="6"/>
        <v>0</v>
      </c>
      <c r="D70" s="9">
        <f t="shared" si="7"/>
        <v>0</v>
      </c>
    </row>
    <row r="71" spans="2:14" x14ac:dyDescent="0.25">
      <c r="B71" s="5" t="s">
        <v>13</v>
      </c>
      <c r="C71" s="9">
        <f t="shared" si="6"/>
        <v>-619.3589844349558</v>
      </c>
      <c r="D71" s="9">
        <f t="shared" si="7"/>
        <v>-619.3589844349558</v>
      </c>
    </row>
    <row r="72" spans="2:14" x14ac:dyDescent="0.25">
      <c r="B72" s="5" t="s">
        <v>14</v>
      </c>
      <c r="C72" s="9">
        <f t="shared" si="6"/>
        <v>1869.3686971746429</v>
      </c>
      <c r="D72" s="9">
        <f t="shared" si="7"/>
        <v>1869.3686971746429</v>
      </c>
    </row>
    <row r="73" spans="2:14" x14ac:dyDescent="0.25">
      <c r="B73" s="5" t="s">
        <v>15</v>
      </c>
      <c r="C73" s="9">
        <f t="shared" si="6"/>
        <v>342.17248290482166</v>
      </c>
      <c r="D73" s="9">
        <f t="shared" si="7"/>
        <v>342.17248290482166</v>
      </c>
    </row>
    <row r="74" spans="2:14" x14ac:dyDescent="0.25">
      <c r="B74" s="5" t="s">
        <v>16</v>
      </c>
      <c r="C74" s="9">
        <f t="shared" si="6"/>
        <v>17021.301818313419</v>
      </c>
      <c r="D74" s="9">
        <f t="shared" si="7"/>
        <v>17021.301818313419</v>
      </c>
    </row>
    <row r="75" spans="2:14" x14ac:dyDescent="0.25">
      <c r="B75" s="5" t="s">
        <v>17</v>
      </c>
      <c r="C75" s="9">
        <f t="shared" si="6"/>
        <v>-16956.917660620966</v>
      </c>
      <c r="D75" s="9">
        <f t="shared" si="7"/>
        <v>-16956.917660620966</v>
      </c>
    </row>
    <row r="76" spans="2:14" x14ac:dyDescent="0.25">
      <c r="B76" s="5" t="s">
        <v>18</v>
      </c>
      <c r="C76" s="9">
        <f t="shared" si="6"/>
        <v>-3592.2048403369627</v>
      </c>
      <c r="D76" s="9">
        <f t="shared" si="7"/>
        <v>-3592.2048403369627</v>
      </c>
    </row>
    <row r="77" spans="2:14" x14ac:dyDescent="0.25">
      <c r="B77" s="5" t="s">
        <v>19</v>
      </c>
      <c r="C77" s="9">
        <f t="shared" si="6"/>
        <v>8776.5266074262181</v>
      </c>
      <c r="D77" s="9">
        <f t="shared" si="7"/>
        <v>8776.5266074262181</v>
      </c>
    </row>
    <row r="78" spans="2:14" x14ac:dyDescent="0.25">
      <c r="B78" s="8" t="s">
        <v>23</v>
      </c>
      <c r="C78" s="9">
        <f>SUM(C64:C77)</f>
        <v>5.8207660913467407E-11</v>
      </c>
      <c r="D78" s="9">
        <f>C78</f>
        <v>5.8207660913467407E-11</v>
      </c>
    </row>
  </sheetData>
  <sheetProtection algorithmName="SHA-512" hashValue="hBrqxaRdsfdR6YJ1P8JlRyzHOv/M0ZNCx9PHR075m9nWfc401jxqcktTPsDY0sUgNxayM76mkzuOUtJaAYNukg==" saltValue="5FTgYn/ARN1CIvYp6UYI7g==" spinCount="100000" sheet="1" objects="1" scenarios="1"/>
  <mergeCells count="7">
    <mergeCell ref="F62:N62"/>
    <mergeCell ref="B62:D62"/>
    <mergeCell ref="F43:N43"/>
    <mergeCell ref="B2:D2"/>
    <mergeCell ref="B43:D43"/>
    <mergeCell ref="F2:K2"/>
    <mergeCell ref="F24:K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8E23DCE64E346B73BFD882EA1D448" ma:contentTypeVersion="9" ma:contentTypeDescription="Create a new document." ma:contentTypeScope="" ma:versionID="abe9ccc7515efd3d9336c2b610c7c364">
  <xsd:schema xmlns:xsd="http://www.w3.org/2001/XMLSchema" xmlns:xs="http://www.w3.org/2001/XMLSchema" xmlns:p="http://schemas.microsoft.com/office/2006/metadata/properties" xmlns:ns3="fc304279-f9b8-4fe1-9761-def726cd9b60" xmlns:ns4="38a448a3-3401-4646-a6eb-d3230e74046c" targetNamespace="http://schemas.microsoft.com/office/2006/metadata/properties" ma:root="true" ma:fieldsID="42f72f480ec42fa69244de4d7056407e" ns3:_="" ns4:_="">
    <xsd:import namespace="fc304279-f9b8-4fe1-9761-def726cd9b60"/>
    <xsd:import namespace="38a448a3-3401-4646-a6eb-d3230e7404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04279-f9b8-4fe1-9761-def726cd9b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448a3-3401-4646-a6eb-d3230e740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2C754-2588-49B7-B714-BE6FC01948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EB7F9-71B6-4FAA-9FDE-B12177231EC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38a448a3-3401-4646-a6eb-d3230e74046c"/>
    <ds:schemaRef ds:uri="fc304279-f9b8-4fe1-9761-def726cd9b60"/>
  </ds:schemaRefs>
</ds:datastoreItem>
</file>

<file path=customXml/itemProps3.xml><?xml version="1.0" encoding="utf-8"?>
<ds:datastoreItem xmlns:ds="http://schemas.openxmlformats.org/officeDocument/2006/customXml" ds:itemID="{32F417B7-49D3-4C9A-881E-92A6623C1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04279-f9b8-4fe1-9761-def726cd9b60"/>
    <ds:schemaRef ds:uri="38a448a3-3401-4646-a6eb-d3230e74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 FY13-FY20</vt:lpstr>
      <vt:lpstr>Summary by FY</vt:lpstr>
      <vt:lpstr>FY2020</vt:lpstr>
      <vt:lpstr>FY2019</vt:lpstr>
      <vt:lpstr>FY2018</vt:lpstr>
      <vt:lpstr>FY2017</vt:lpstr>
      <vt:lpstr>FY2016</vt:lpstr>
      <vt:lpstr>FY2015</vt:lpstr>
      <vt:lpstr>FY2014</vt:lpstr>
      <vt:lpstr>$500K "Undistributed" 4Q FY2013</vt:lpstr>
      <vt:lpstr>FY2013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Getty</dc:creator>
  <cp:lastModifiedBy>Ken Getty</cp:lastModifiedBy>
  <dcterms:created xsi:type="dcterms:W3CDTF">2021-08-20T17:05:24Z</dcterms:created>
  <dcterms:modified xsi:type="dcterms:W3CDTF">2021-09-15T16:38:22Z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0x0101009A08E23DCE64E346B73BFD882EA1D448</vt:lpwstr>
  </property>
</Properties>
</file>