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86846fb36a0c704e/RPM Main/Financials/"/>
    </mc:Choice>
  </mc:AlternateContent>
  <xr:revisionPtr revIDLastSave="1" documentId="8_{AB71271A-2E39-4106-876D-1A153BDCE24C}" xr6:coauthVersionLast="47" xr6:coauthVersionMax="47" xr10:uidLastSave="{0B5141EB-4E28-458E-9F35-ADB71143723B}"/>
  <bookViews>
    <workbookView xWindow="-120" yWindow="-120" windowWidth="24240" windowHeight="13140" xr2:uid="{00000000-000D-0000-FFFF-FFFF00000000}"/>
  </bookViews>
  <sheets>
    <sheet name="Balance Sheet Comparison 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4" i="1" l="1"/>
  <c r="C84" i="1"/>
  <c r="B84" i="1"/>
  <c r="D84" i="1" s="1"/>
  <c r="E83" i="1"/>
  <c r="C83" i="1"/>
  <c r="B83" i="1"/>
  <c r="D83" i="1" s="1"/>
  <c r="E82" i="1"/>
  <c r="C82" i="1"/>
  <c r="C85" i="1" s="1"/>
  <c r="B82" i="1"/>
  <c r="D82" i="1" s="1"/>
  <c r="E80" i="1"/>
  <c r="D80" i="1"/>
  <c r="E74" i="1"/>
  <c r="B74" i="1"/>
  <c r="D74" i="1" s="1"/>
  <c r="E73" i="1"/>
  <c r="D73" i="1"/>
  <c r="B73" i="1"/>
  <c r="E71" i="1"/>
  <c r="C71" i="1"/>
  <c r="D71" i="1" s="1"/>
  <c r="B71" i="1"/>
  <c r="E70" i="1"/>
  <c r="C70" i="1"/>
  <c r="D70" i="1" s="1"/>
  <c r="B70" i="1"/>
  <c r="E69" i="1"/>
  <c r="C69" i="1"/>
  <c r="D69" i="1" s="1"/>
  <c r="B69" i="1"/>
  <c r="E68" i="1"/>
  <c r="C68" i="1"/>
  <c r="D68" i="1" s="1"/>
  <c r="B68" i="1"/>
  <c r="E67" i="1"/>
  <c r="C67" i="1"/>
  <c r="D67" i="1" s="1"/>
  <c r="B67" i="1"/>
  <c r="E66" i="1"/>
  <c r="C66" i="1"/>
  <c r="D66" i="1" s="1"/>
  <c r="B66" i="1"/>
  <c r="E65" i="1"/>
  <c r="C65" i="1"/>
  <c r="D65" i="1" s="1"/>
  <c r="B65" i="1"/>
  <c r="E64" i="1"/>
  <c r="C64" i="1"/>
  <c r="D64" i="1" s="1"/>
  <c r="B64" i="1"/>
  <c r="E63" i="1"/>
  <c r="C63" i="1"/>
  <c r="D63" i="1" s="1"/>
  <c r="B63" i="1"/>
  <c r="E62" i="1"/>
  <c r="C62" i="1"/>
  <c r="D62" i="1" s="1"/>
  <c r="B62" i="1"/>
  <c r="E61" i="1"/>
  <c r="C61" i="1"/>
  <c r="D61" i="1" s="1"/>
  <c r="B61" i="1"/>
  <c r="E60" i="1"/>
  <c r="D60" i="1"/>
  <c r="C60" i="1"/>
  <c r="B60" i="1"/>
  <c r="E59" i="1"/>
  <c r="D59" i="1"/>
  <c r="C59" i="1"/>
  <c r="B59" i="1"/>
  <c r="E58" i="1"/>
  <c r="D58" i="1"/>
  <c r="C58" i="1"/>
  <c r="B58" i="1"/>
  <c r="E57" i="1"/>
  <c r="D57" i="1"/>
  <c r="B57" i="1"/>
  <c r="D56" i="1"/>
  <c r="C56" i="1"/>
  <c r="E56" i="1" s="1"/>
  <c r="B56" i="1"/>
  <c r="D55" i="1"/>
  <c r="C55" i="1"/>
  <c r="E55" i="1" s="1"/>
  <c r="B55" i="1"/>
  <c r="D54" i="1"/>
  <c r="C54" i="1"/>
  <c r="E54" i="1" s="1"/>
  <c r="B54" i="1"/>
  <c r="D53" i="1"/>
  <c r="C53" i="1"/>
  <c r="E53" i="1" s="1"/>
  <c r="B53" i="1"/>
  <c r="D52" i="1"/>
  <c r="C52" i="1"/>
  <c r="E52" i="1" s="1"/>
  <c r="B52" i="1"/>
  <c r="D51" i="1"/>
  <c r="C51" i="1"/>
  <c r="E51" i="1" s="1"/>
  <c r="B51" i="1"/>
  <c r="D50" i="1"/>
  <c r="C50" i="1"/>
  <c r="E50" i="1" s="1"/>
  <c r="B50" i="1"/>
  <c r="D49" i="1"/>
  <c r="C49" i="1"/>
  <c r="E49" i="1" s="1"/>
  <c r="B49" i="1"/>
  <c r="D48" i="1"/>
  <c r="C48" i="1"/>
  <c r="E48" i="1" s="1"/>
  <c r="B48" i="1"/>
  <c r="D47" i="1"/>
  <c r="C47" i="1"/>
  <c r="E47" i="1" s="1"/>
  <c r="B47" i="1"/>
  <c r="D46" i="1"/>
  <c r="C46" i="1"/>
  <c r="E46" i="1" s="1"/>
  <c r="B46" i="1"/>
  <c r="D45" i="1"/>
  <c r="C45" i="1"/>
  <c r="E45" i="1" s="1"/>
  <c r="B45" i="1"/>
  <c r="D44" i="1"/>
  <c r="C44" i="1"/>
  <c r="E44" i="1" s="1"/>
  <c r="B44" i="1"/>
  <c r="D43" i="1"/>
  <c r="C43" i="1"/>
  <c r="E43" i="1" s="1"/>
  <c r="B43" i="1"/>
  <c r="D42" i="1"/>
  <c r="C42" i="1"/>
  <c r="E42" i="1" s="1"/>
  <c r="B42" i="1"/>
  <c r="D41" i="1"/>
  <c r="C41" i="1"/>
  <c r="E41" i="1" s="1"/>
  <c r="B41" i="1"/>
  <c r="D40" i="1"/>
  <c r="C40" i="1"/>
  <c r="E40" i="1" s="1"/>
  <c r="B40" i="1"/>
  <c r="D39" i="1"/>
  <c r="C39" i="1"/>
  <c r="E39" i="1" s="1"/>
  <c r="B39" i="1"/>
  <c r="D38" i="1"/>
  <c r="C38" i="1"/>
  <c r="E38" i="1" s="1"/>
  <c r="B38" i="1"/>
  <c r="D37" i="1"/>
  <c r="C37" i="1"/>
  <c r="E37" i="1" s="1"/>
  <c r="B37" i="1"/>
  <c r="D36" i="1"/>
  <c r="C36" i="1"/>
  <c r="E36" i="1" s="1"/>
  <c r="B36" i="1"/>
  <c r="D35" i="1"/>
  <c r="C35" i="1"/>
  <c r="E35" i="1" s="1"/>
  <c r="B35" i="1"/>
  <c r="D34" i="1"/>
  <c r="C34" i="1"/>
  <c r="E34" i="1" s="1"/>
  <c r="B34" i="1"/>
  <c r="D33" i="1"/>
  <c r="C33" i="1"/>
  <c r="E33" i="1" s="1"/>
  <c r="B33" i="1"/>
  <c r="E32" i="1"/>
  <c r="D32" i="1"/>
  <c r="B32" i="1"/>
  <c r="C31" i="1"/>
  <c r="E31" i="1" s="1"/>
  <c r="B31" i="1"/>
  <c r="D31" i="1" s="1"/>
  <c r="C30" i="1"/>
  <c r="E30" i="1" s="1"/>
  <c r="B30" i="1"/>
  <c r="D30" i="1" s="1"/>
  <c r="C29" i="1"/>
  <c r="E29" i="1" s="1"/>
  <c r="B29" i="1"/>
  <c r="D29" i="1" s="1"/>
  <c r="C28" i="1"/>
  <c r="E28" i="1" s="1"/>
  <c r="B28" i="1"/>
  <c r="D28" i="1" s="1"/>
  <c r="C27" i="1"/>
  <c r="E27" i="1" s="1"/>
  <c r="B27" i="1"/>
  <c r="D27" i="1" s="1"/>
  <c r="C26" i="1"/>
  <c r="E26" i="1" s="1"/>
  <c r="B26" i="1"/>
  <c r="D26" i="1" s="1"/>
  <c r="C25" i="1"/>
  <c r="E25" i="1" s="1"/>
  <c r="B25" i="1"/>
  <c r="D25" i="1" s="1"/>
  <c r="C24" i="1"/>
  <c r="E24" i="1" s="1"/>
  <c r="B24" i="1"/>
  <c r="D24" i="1" s="1"/>
  <c r="C23" i="1"/>
  <c r="E23" i="1" s="1"/>
  <c r="B23" i="1"/>
  <c r="D23" i="1" s="1"/>
  <c r="C22" i="1"/>
  <c r="E22" i="1" s="1"/>
  <c r="B22" i="1"/>
  <c r="D22" i="1" s="1"/>
  <c r="E21" i="1"/>
  <c r="B21" i="1"/>
  <c r="D21" i="1" s="1"/>
  <c r="C20" i="1"/>
  <c r="B20" i="1"/>
  <c r="E20" i="1" s="1"/>
  <c r="C19" i="1"/>
  <c r="B19" i="1"/>
  <c r="E19" i="1" s="1"/>
  <c r="C18" i="1"/>
  <c r="B18" i="1"/>
  <c r="E18" i="1" s="1"/>
  <c r="C17" i="1"/>
  <c r="B17" i="1"/>
  <c r="E17" i="1" s="1"/>
  <c r="C16" i="1"/>
  <c r="B16" i="1"/>
  <c r="E16" i="1" s="1"/>
  <c r="C15" i="1"/>
  <c r="B15" i="1"/>
  <c r="E15" i="1" s="1"/>
  <c r="C14" i="1"/>
  <c r="B14" i="1"/>
  <c r="E14" i="1" s="1"/>
  <c r="C13" i="1"/>
  <c r="B13" i="1"/>
  <c r="E13" i="1" s="1"/>
  <c r="C12" i="1"/>
  <c r="B12" i="1"/>
  <c r="E12" i="1" s="1"/>
  <c r="C11" i="1"/>
  <c r="B11" i="1"/>
  <c r="E11" i="1" s="1"/>
  <c r="E10" i="1"/>
  <c r="C10" i="1"/>
  <c r="C72" i="1" s="1"/>
  <c r="B10" i="1"/>
  <c r="D10" i="1" s="1"/>
  <c r="C75" i="1" l="1"/>
  <c r="C86" i="1"/>
  <c r="B72" i="1"/>
  <c r="B85" i="1"/>
  <c r="E85" i="1" s="1"/>
  <c r="D11" i="1"/>
  <c r="D12" i="1"/>
  <c r="D13" i="1"/>
  <c r="D14" i="1"/>
  <c r="D15" i="1"/>
  <c r="D16" i="1"/>
  <c r="D17" i="1"/>
  <c r="D18" i="1"/>
  <c r="D19" i="1"/>
  <c r="D20" i="1"/>
  <c r="C76" i="1" l="1"/>
  <c r="B75" i="1"/>
  <c r="E75" i="1" s="1"/>
  <c r="D72" i="1"/>
  <c r="D85" i="1"/>
  <c r="B86" i="1"/>
  <c r="D86" i="1" s="1"/>
  <c r="E72" i="1"/>
  <c r="B76" i="1" l="1"/>
  <c r="D75" i="1"/>
  <c r="E86" i="1"/>
  <c r="C77" i="1"/>
  <c r="E76" i="1"/>
  <c r="B77" i="1" l="1"/>
  <c r="D77" i="1" s="1"/>
  <c r="D76" i="1"/>
  <c r="E77" i="1" l="1"/>
</calcChain>
</file>

<file path=xl/sharedStrings.xml><?xml version="1.0" encoding="utf-8"?>
<sst xmlns="http://schemas.openxmlformats.org/spreadsheetml/2006/main" count="89" uniqueCount="89">
  <si>
    <t>Total</t>
  </si>
  <si>
    <t>As of Nov 13, 2024</t>
  </si>
  <si>
    <t>As of Nov 13, 2023 (PY)</t>
  </si>
  <si>
    <t>Change</t>
  </si>
  <si>
    <t>% Change</t>
  </si>
  <si>
    <t>ASSETS</t>
  </si>
  <si>
    <t xml:space="preserve">   Current Assets</t>
  </si>
  <si>
    <t xml:space="preserve">      Bank Accounts</t>
  </si>
  <si>
    <t xml:space="preserve">         Umpqua Bank</t>
  </si>
  <si>
    <t xml:space="preserve">            Asian Student Union</t>
  </si>
  <si>
    <t xml:space="preserve">            Athletics</t>
  </si>
  <si>
    <t xml:space="preserve">            AVID</t>
  </si>
  <si>
    <t xml:space="preserve">            Band</t>
  </si>
  <si>
    <t xml:space="preserve">            Baseball</t>
  </si>
  <si>
    <t xml:space="preserve">            Basketball - Boys</t>
  </si>
  <si>
    <t xml:space="preserve">            Basketball - Girls</t>
  </si>
  <si>
    <t xml:space="preserve">            Black Student Union</t>
  </si>
  <si>
    <t xml:space="preserve">            Bowling</t>
  </si>
  <si>
    <t xml:space="preserve">            Cheer</t>
  </si>
  <si>
    <t xml:space="preserve">            Chess Club</t>
  </si>
  <si>
    <t xml:space="preserve">            Choir (On-Hold)</t>
  </si>
  <si>
    <t xml:space="preserve">            Class of 1974 (deleted)</t>
  </si>
  <si>
    <t xml:space="preserve">            Class of 2024 (deleted)</t>
  </si>
  <si>
    <t xml:space="preserve">            Class of 2025</t>
  </si>
  <si>
    <t xml:space="preserve">            Class of 2026</t>
  </si>
  <si>
    <t xml:space="preserve">            Cross Country</t>
  </si>
  <si>
    <t xml:space="preserve">            DECA</t>
  </si>
  <si>
    <t xml:space="preserve">            Drum Line (deleted)</t>
  </si>
  <si>
    <t xml:space="preserve">            Fastpitch Softball</t>
  </si>
  <si>
    <t xml:space="preserve">            FCCLA (On-Hold)</t>
  </si>
  <si>
    <t xml:space="preserve">            Flag Football - Girls</t>
  </si>
  <si>
    <t xml:space="preserve">            Football</t>
  </si>
  <si>
    <t xml:space="preserve">            French Class</t>
  </si>
  <si>
    <t xml:space="preserve">            Golf - Boys</t>
  </si>
  <si>
    <t xml:space="preserve">            Golf - Girls</t>
  </si>
  <si>
    <t xml:space="preserve">            Green Club</t>
  </si>
  <si>
    <t xml:space="preserve">            Gymnastics</t>
  </si>
  <si>
    <t xml:space="preserve">            IB</t>
  </si>
  <si>
    <t xml:space="preserve">            K-Pop Club</t>
  </si>
  <si>
    <t xml:space="preserve">            Key Club</t>
  </si>
  <si>
    <t xml:space="preserve">            Leadership</t>
  </si>
  <si>
    <t xml:space="preserve">            LSU - Latino Student Union</t>
  </si>
  <si>
    <t xml:space="preserve">            Math Team</t>
  </si>
  <si>
    <t xml:space="preserve">            Musical Theater (On-Hold)</t>
  </si>
  <si>
    <t xml:space="preserve">            Native American Coalition Club</t>
  </si>
  <si>
    <t xml:space="preserve">            Orchestra</t>
  </si>
  <si>
    <t xml:space="preserve">            Pacific Islanders' Student Union</t>
  </si>
  <si>
    <t xml:space="preserve">            Photography</t>
  </si>
  <si>
    <t xml:space="preserve">            Pole Vaulting</t>
  </si>
  <si>
    <t xml:space="preserve">            Pottery</t>
  </si>
  <si>
    <t xml:space="preserve">            Principal's Choice</t>
  </si>
  <si>
    <t xml:space="preserve">            Raider Reward Store</t>
  </si>
  <si>
    <t xml:space="preserve">            Raiderettes (On-Hold)</t>
  </si>
  <si>
    <t xml:space="preserve">            Robotics</t>
  </si>
  <si>
    <t xml:space="preserve">            RPM funds</t>
  </si>
  <si>
    <t xml:space="preserve">            Scholarship Liability</t>
  </si>
  <si>
    <t xml:space="preserve">            Soccer - Boys</t>
  </si>
  <si>
    <t xml:space="preserve">            Soccer - Girls</t>
  </si>
  <si>
    <t xml:space="preserve">            Speech and Debate</t>
  </si>
  <si>
    <t xml:space="preserve">            Spirit of Giving</t>
  </si>
  <si>
    <t xml:space="preserve">            Swim Team</t>
  </si>
  <si>
    <t xml:space="preserve">            Tennis</t>
  </si>
  <si>
    <t xml:space="preserve">            Tim Landry Memorial Scholarship</t>
  </si>
  <si>
    <t xml:space="preserve">            TJ Throwers</t>
  </si>
  <si>
    <t xml:space="preserve">            Track - Boys</t>
  </si>
  <si>
    <t xml:space="preserve">            Track - Girls</t>
  </si>
  <si>
    <t xml:space="preserve">            Volleyball</t>
  </si>
  <si>
    <t xml:space="preserve">            Woodshop</t>
  </si>
  <si>
    <t xml:space="preserve">            Wrestling - Boys</t>
  </si>
  <si>
    <t xml:space="preserve">            Wrestling - Girls</t>
  </si>
  <si>
    <t xml:space="preserve">         Total Umpqua Bank</t>
  </si>
  <si>
    <t xml:space="preserve">         Umpqua CD</t>
  </si>
  <si>
    <t xml:space="preserve">         Umpqua Money Market</t>
  </si>
  <si>
    <t xml:space="preserve">      Total Bank Accounts</t>
  </si>
  <si>
    <t xml:space="preserve">   Total Current Assets</t>
  </si>
  <si>
    <t>TOTAL ASSETS</t>
  </si>
  <si>
    <t>LIABILITIES AND EQUITY</t>
  </si>
  <si>
    <t xml:space="preserve">   Liabilities</t>
  </si>
  <si>
    <t xml:space="preserve">   Total Liabilities</t>
  </si>
  <si>
    <t xml:space="preserve">   Equity</t>
  </si>
  <si>
    <t xml:space="preserve">      Opening Balance Equity</t>
  </si>
  <si>
    <t xml:space="preserve">      Retained Earnings</t>
  </si>
  <si>
    <t xml:space="preserve">      Net Income</t>
  </si>
  <si>
    <t xml:space="preserve">   Total Equity</t>
  </si>
  <si>
    <t>TOTAL LIABILITIES AND EQUITY</t>
  </si>
  <si>
    <t>Wednesday, Nov 13, 2024 10:04:16 AM GMT-8 - Cash Basis</t>
  </si>
  <si>
    <t>Thomas Jefferson Raider Parent Movement</t>
  </si>
  <si>
    <t xml:space="preserve">Balance Sheet Comparison </t>
  </si>
  <si>
    <t>As of November 13,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</si>
</sst>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#,##0.00\ _€"/>
    <numFmt numFmtId="168" formatCode="_(* #,##0_);_(* \(#,##0\);_(* &quot;-&quot;??_);_(@_)"/>
  </numFmts>
  <fonts count="11" x14ac:knownFonts="1">
    <font>
      <sz val="11"/>
      <color indexed="8"/>
      <name val="Aptos Narrow"/>
      <family val="2"/>
      <scheme val="minor"/>
    </font>
    <font>
      <b/>
      <sz val="9"/>
      <color indexed="8"/>
      <name val="Arial"/>
    </font>
    <font>
      <b/>
      <sz val="8"/>
      <color indexed="8"/>
      <name val="Arial"/>
    </font>
    <font>
      <sz val="8"/>
      <color indexed="8"/>
      <name val="Arial"/>
    </font>
    <font>
      <b/>
      <sz val="14"/>
      <color indexed="8"/>
      <name val="Arial"/>
    </font>
    <font>
      <b/>
      <sz val="10"/>
      <color indexed="8"/>
      <name val="Arial"/>
    </font>
    <font>
      <sz val="11"/>
      <color indexed="8"/>
      <name val="Aptos Narrow"/>
      <family val="2"/>
      <scheme val="minor"/>
    </font>
    <font>
      <b/>
      <i/>
      <sz val="9"/>
      <color indexed="8"/>
      <name val="Arial"/>
      <family val="2"/>
    </font>
    <font>
      <i/>
      <sz val="8"/>
      <color indexed="8"/>
      <name val="Arial"/>
      <family val="2"/>
    </font>
    <font>
      <b/>
      <i/>
      <sz val="8"/>
      <color indexed="8"/>
      <name val="Arial"/>
      <family val="2"/>
    </font>
    <font>
      <i/>
      <sz val="11"/>
      <color indexed="8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28">
    <xf numFmtId="0" fontId="0" fillId="0" borderId="0" xfId="0"/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wrapText="1"/>
    </xf>
    <xf numFmtId="0" fontId="2" fillId="0" borderId="0" xfId="0" applyFont="1" applyAlignment="1">
      <alignment horizontal="left" wrapText="1"/>
    </xf>
    <xf numFmtId="164" fontId="3" fillId="0" borderId="0" xfId="0" applyNumberFormat="1" applyFont="1" applyAlignment="1">
      <alignment wrapText="1"/>
    </xf>
    <xf numFmtId="0" fontId="1" fillId="0" borderId="1" xfId="0" applyFont="1" applyBorder="1" applyAlignment="1">
      <alignment horizontal="center" wrapText="1"/>
    </xf>
    <xf numFmtId="0" fontId="0" fillId="0" borderId="0" xfId="0" applyAlignment="1">
      <alignment wrapText="1"/>
    </xf>
    <xf numFmtId="0" fontId="3" fillId="0" borderId="0" xfId="0" applyFont="1" applyAlignment="1">
      <alignment horizontal="center"/>
    </xf>
    <xf numFmtId="0" fontId="0" fillId="0" borderId="0" xfId="0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" fillId="0" borderId="4" xfId="0" applyFont="1" applyBorder="1" applyAlignment="1">
      <alignment horizontal="center" wrapText="1"/>
    </xf>
    <xf numFmtId="0" fontId="7" fillId="0" borderId="4" xfId="0" applyFont="1" applyBorder="1" applyAlignment="1">
      <alignment horizontal="center" wrapText="1"/>
    </xf>
    <xf numFmtId="164" fontId="8" fillId="0" borderId="0" xfId="0" applyNumberFormat="1" applyFont="1" applyAlignment="1">
      <alignment wrapText="1"/>
    </xf>
    <xf numFmtId="10" fontId="8" fillId="0" borderId="0" xfId="0" applyNumberFormat="1" applyFont="1" applyAlignment="1">
      <alignment horizontal="right" wrapText="1"/>
    </xf>
    <xf numFmtId="0" fontId="10" fillId="0" borderId="0" xfId="0" applyFont="1"/>
    <xf numFmtId="9" fontId="8" fillId="0" borderId="0" xfId="0" applyNumberFormat="1" applyFont="1" applyAlignment="1">
      <alignment horizontal="right" wrapText="1"/>
    </xf>
    <xf numFmtId="9" fontId="9" fillId="0" borderId="2" xfId="0" applyNumberFormat="1" applyFont="1" applyBorder="1" applyAlignment="1">
      <alignment horizontal="right" wrapText="1"/>
    </xf>
    <xf numFmtId="9" fontId="9" fillId="0" borderId="3" xfId="0" applyNumberFormat="1" applyFont="1" applyBorder="1" applyAlignment="1">
      <alignment horizontal="right" wrapText="1"/>
    </xf>
    <xf numFmtId="9" fontId="8" fillId="0" borderId="0" xfId="0" applyNumberFormat="1" applyFont="1" applyAlignment="1">
      <alignment wrapText="1"/>
    </xf>
    <xf numFmtId="168" fontId="3" fillId="0" borderId="0" xfId="1" applyNumberFormat="1" applyFont="1" applyAlignment="1">
      <alignment horizontal="right" wrapText="1"/>
    </xf>
    <xf numFmtId="168" fontId="8" fillId="0" borderId="0" xfId="1" applyNumberFormat="1" applyFont="1" applyAlignment="1">
      <alignment horizontal="right" wrapText="1"/>
    </xf>
    <xf numFmtId="168" fontId="3" fillId="0" borderId="0" xfId="1" applyNumberFormat="1" applyFont="1" applyAlignment="1">
      <alignment wrapText="1"/>
    </xf>
    <xf numFmtId="168" fontId="2" fillId="0" borderId="2" xfId="1" applyNumberFormat="1" applyFont="1" applyBorder="1" applyAlignment="1">
      <alignment horizontal="right" wrapText="1"/>
    </xf>
    <xf numFmtId="168" fontId="9" fillId="0" borderId="2" xfId="1" applyNumberFormat="1" applyFont="1" applyBorder="1" applyAlignment="1">
      <alignment horizontal="right" wrapText="1"/>
    </xf>
    <xf numFmtId="168" fontId="2" fillId="0" borderId="3" xfId="1" applyNumberFormat="1" applyFont="1" applyBorder="1" applyAlignment="1">
      <alignment horizontal="right" wrapText="1"/>
    </xf>
    <xf numFmtId="168" fontId="9" fillId="0" borderId="3" xfId="1" applyNumberFormat="1" applyFont="1" applyBorder="1" applyAlignment="1">
      <alignment horizontal="right" wrapText="1"/>
    </xf>
    <xf numFmtId="168" fontId="8" fillId="0" borderId="0" xfId="1" applyNumberFormat="1" applyFont="1" applyAlignment="1">
      <alignment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90"/>
  <sheetViews>
    <sheetView tabSelected="1" topLeftCell="A64" workbookViewId="0">
      <selection activeCell="G8" sqref="G8"/>
    </sheetView>
  </sheetViews>
  <sheetFormatPr defaultRowHeight="15" x14ac:dyDescent="0.25"/>
  <cols>
    <col min="1" max="1" width="38.7109375" customWidth="1"/>
    <col min="2" max="3" width="12.28515625" customWidth="1"/>
    <col min="4" max="5" width="12.28515625" style="15" customWidth="1"/>
  </cols>
  <sheetData>
    <row r="1" spans="1:5" ht="18" x14ac:dyDescent="0.25">
      <c r="A1" s="9" t="s">
        <v>86</v>
      </c>
      <c r="B1" s="8"/>
      <c r="C1" s="8"/>
      <c r="D1" s="8"/>
      <c r="E1" s="8"/>
    </row>
    <row r="2" spans="1:5" ht="18" x14ac:dyDescent="0.25">
      <c r="A2" s="9" t="s">
        <v>87</v>
      </c>
      <c r="B2" s="8"/>
      <c r="C2" s="8"/>
      <c r="D2" s="8"/>
      <c r="E2" s="8"/>
    </row>
    <row r="3" spans="1:5" x14ac:dyDescent="0.25">
      <c r="A3" s="10" t="s">
        <v>88</v>
      </c>
      <c r="B3" s="8"/>
      <c r="C3" s="8"/>
      <c r="D3" s="8"/>
      <c r="E3" s="8"/>
    </row>
    <row r="5" spans="1:5" x14ac:dyDescent="0.25">
      <c r="A5" s="1"/>
      <c r="B5" s="5" t="s">
        <v>0</v>
      </c>
      <c r="C5" s="6"/>
      <c r="D5" s="6"/>
      <c r="E5" s="6"/>
    </row>
    <row r="6" spans="1:5" ht="24.75" x14ac:dyDescent="0.25">
      <c r="A6" s="1"/>
      <c r="B6" s="2" t="s">
        <v>1</v>
      </c>
      <c r="C6" s="11" t="s">
        <v>2</v>
      </c>
      <c r="D6" s="12" t="s">
        <v>3</v>
      </c>
      <c r="E6" s="12" t="s">
        <v>4</v>
      </c>
    </row>
    <row r="7" spans="1:5" x14ac:dyDescent="0.25">
      <c r="A7" s="3" t="s">
        <v>5</v>
      </c>
      <c r="B7" s="4"/>
      <c r="C7" s="4"/>
      <c r="D7" s="13"/>
      <c r="E7" s="13"/>
    </row>
    <row r="8" spans="1:5" x14ac:dyDescent="0.25">
      <c r="A8" s="3" t="s">
        <v>6</v>
      </c>
      <c r="B8" s="4"/>
      <c r="C8" s="4"/>
      <c r="D8" s="13"/>
      <c r="E8" s="13"/>
    </row>
    <row r="9" spans="1:5" x14ac:dyDescent="0.25">
      <c r="A9" s="3" t="s">
        <v>7</v>
      </c>
      <c r="B9" s="4"/>
      <c r="C9" s="4"/>
      <c r="D9" s="13"/>
      <c r="E9" s="13"/>
    </row>
    <row r="10" spans="1:5" x14ac:dyDescent="0.25">
      <c r="A10" s="3" t="s">
        <v>8</v>
      </c>
      <c r="B10" s="20">
        <f>-125000</f>
        <v>-125000</v>
      </c>
      <c r="C10" s="20">
        <f>0</f>
        <v>0</v>
      </c>
      <c r="D10" s="21">
        <f t="shared" ref="D10:D41" si="0">(B10)-(C10)</f>
        <v>-125000</v>
      </c>
      <c r="E10" s="14" t="str">
        <f t="shared" ref="E10:E41" si="1">IF(ABS((C10))=0,"",((B10)-(C10))/(ABS((C10))))</f>
        <v/>
      </c>
    </row>
    <row r="11" spans="1:5" x14ac:dyDescent="0.25">
      <c r="A11" s="3" t="s">
        <v>9</v>
      </c>
      <c r="B11" s="20">
        <f>1219.08</f>
        <v>1219.08</v>
      </c>
      <c r="C11" s="20">
        <f>464.06</f>
        <v>464.06</v>
      </c>
      <c r="D11" s="21">
        <f t="shared" si="0"/>
        <v>755.02</v>
      </c>
      <c r="E11" s="16">
        <f t="shared" si="1"/>
        <v>1.6269878894970478</v>
      </c>
    </row>
    <row r="12" spans="1:5" x14ac:dyDescent="0.25">
      <c r="A12" s="3" t="s">
        <v>10</v>
      </c>
      <c r="B12" s="20">
        <f>640.76</f>
        <v>640.76</v>
      </c>
      <c r="C12" s="20">
        <f>581.01</f>
        <v>581.01</v>
      </c>
      <c r="D12" s="21">
        <f t="shared" si="0"/>
        <v>59.75</v>
      </c>
      <c r="E12" s="16">
        <f t="shared" si="1"/>
        <v>0.10283816113319909</v>
      </c>
    </row>
    <row r="13" spans="1:5" x14ac:dyDescent="0.25">
      <c r="A13" s="3" t="s">
        <v>11</v>
      </c>
      <c r="B13" s="20">
        <f>201</f>
        <v>201</v>
      </c>
      <c r="C13" s="20">
        <f>91</f>
        <v>91</v>
      </c>
      <c r="D13" s="21">
        <f t="shared" si="0"/>
        <v>110</v>
      </c>
      <c r="E13" s="16">
        <f t="shared" si="1"/>
        <v>1.2087912087912087</v>
      </c>
    </row>
    <row r="14" spans="1:5" x14ac:dyDescent="0.25">
      <c r="A14" s="3" t="s">
        <v>12</v>
      </c>
      <c r="B14" s="20">
        <f>4477.66</f>
        <v>4477.66</v>
      </c>
      <c r="C14" s="20">
        <f>8806.69</f>
        <v>8806.69</v>
      </c>
      <c r="D14" s="21">
        <f t="shared" si="0"/>
        <v>-4329.0300000000007</v>
      </c>
      <c r="E14" s="16">
        <f t="shared" si="1"/>
        <v>-0.4915615287923159</v>
      </c>
    </row>
    <row r="15" spans="1:5" x14ac:dyDescent="0.25">
      <c r="A15" s="3" t="s">
        <v>13</v>
      </c>
      <c r="B15" s="20">
        <f>8837.69</f>
        <v>8837.69</v>
      </c>
      <c r="C15" s="20">
        <f>5405.64</f>
        <v>5405.64</v>
      </c>
      <c r="D15" s="21">
        <f t="shared" si="0"/>
        <v>3432.05</v>
      </c>
      <c r="E15" s="16">
        <f t="shared" si="1"/>
        <v>0.63490169526642548</v>
      </c>
    </row>
    <row r="16" spans="1:5" x14ac:dyDescent="0.25">
      <c r="A16" s="3" t="s">
        <v>14</v>
      </c>
      <c r="B16" s="20">
        <f>1375.92</f>
        <v>1375.92</v>
      </c>
      <c r="C16" s="20">
        <f>657.73</f>
        <v>657.73</v>
      </c>
      <c r="D16" s="21">
        <f t="shared" si="0"/>
        <v>718.19</v>
      </c>
      <c r="E16" s="16">
        <f t="shared" si="1"/>
        <v>1.0919222173232177</v>
      </c>
    </row>
    <row r="17" spans="1:5" x14ac:dyDescent="0.25">
      <c r="A17" s="3" t="s">
        <v>15</v>
      </c>
      <c r="B17" s="20">
        <f>3454.36</f>
        <v>3454.36</v>
      </c>
      <c r="C17" s="20">
        <f>731.96</f>
        <v>731.96</v>
      </c>
      <c r="D17" s="21">
        <f t="shared" si="0"/>
        <v>2722.4</v>
      </c>
      <c r="E17" s="16">
        <f t="shared" si="1"/>
        <v>3.7193289250778729</v>
      </c>
    </row>
    <row r="18" spans="1:5" x14ac:dyDescent="0.25">
      <c r="A18" s="3" t="s">
        <v>16</v>
      </c>
      <c r="B18" s="20">
        <f>378.26</f>
        <v>378.26</v>
      </c>
      <c r="C18" s="20">
        <f>288.67</f>
        <v>288.67</v>
      </c>
      <c r="D18" s="21">
        <f t="shared" si="0"/>
        <v>89.589999999999975</v>
      </c>
      <c r="E18" s="16">
        <f t="shared" si="1"/>
        <v>0.31035438389856917</v>
      </c>
    </row>
    <row r="19" spans="1:5" x14ac:dyDescent="0.25">
      <c r="A19" s="3" t="s">
        <v>17</v>
      </c>
      <c r="B19" s="20">
        <f>1185.3</f>
        <v>1185.3</v>
      </c>
      <c r="C19" s="20">
        <f>600.3</f>
        <v>600.29999999999995</v>
      </c>
      <c r="D19" s="21">
        <f t="shared" si="0"/>
        <v>585</v>
      </c>
      <c r="E19" s="16">
        <f t="shared" si="1"/>
        <v>0.97451274362818596</v>
      </c>
    </row>
    <row r="20" spans="1:5" x14ac:dyDescent="0.25">
      <c r="A20" s="3" t="s">
        <v>18</v>
      </c>
      <c r="B20" s="20">
        <f>4420.4</f>
        <v>4420.3999999999996</v>
      </c>
      <c r="C20" s="20">
        <f>4375.4</f>
        <v>4375.3999999999996</v>
      </c>
      <c r="D20" s="21">
        <f t="shared" si="0"/>
        <v>45</v>
      </c>
      <c r="E20" s="16">
        <f t="shared" si="1"/>
        <v>1.0284773963523336E-2</v>
      </c>
    </row>
    <row r="21" spans="1:5" x14ac:dyDescent="0.25">
      <c r="A21" s="3" t="s">
        <v>19</v>
      </c>
      <c r="B21" s="20">
        <f>548</f>
        <v>548</v>
      </c>
      <c r="C21" s="22"/>
      <c r="D21" s="21">
        <f t="shared" si="0"/>
        <v>548</v>
      </c>
      <c r="E21" s="16" t="str">
        <f t="shared" si="1"/>
        <v/>
      </c>
    </row>
    <row r="22" spans="1:5" x14ac:dyDescent="0.25">
      <c r="A22" s="3" t="s">
        <v>20</v>
      </c>
      <c r="B22" s="20">
        <f>0</f>
        <v>0</v>
      </c>
      <c r="C22" s="20">
        <f>610</f>
        <v>610</v>
      </c>
      <c r="D22" s="21">
        <f t="shared" si="0"/>
        <v>-610</v>
      </c>
      <c r="E22" s="16">
        <f t="shared" si="1"/>
        <v>-1</v>
      </c>
    </row>
    <row r="23" spans="1:5" x14ac:dyDescent="0.25">
      <c r="A23" s="3" t="s">
        <v>21</v>
      </c>
      <c r="B23" s="20">
        <f>0</f>
        <v>0</v>
      </c>
      <c r="C23" s="20">
        <f>3750</f>
        <v>3750</v>
      </c>
      <c r="D23" s="21">
        <f t="shared" si="0"/>
        <v>-3750</v>
      </c>
      <c r="E23" s="16">
        <f t="shared" si="1"/>
        <v>-1</v>
      </c>
    </row>
    <row r="24" spans="1:5" x14ac:dyDescent="0.25">
      <c r="A24" s="3" t="s">
        <v>22</v>
      </c>
      <c r="B24" s="20">
        <f>0</f>
        <v>0</v>
      </c>
      <c r="C24" s="20">
        <f>1856.42</f>
        <v>1856.42</v>
      </c>
      <c r="D24" s="21">
        <f t="shared" si="0"/>
        <v>-1856.42</v>
      </c>
      <c r="E24" s="16">
        <f t="shared" si="1"/>
        <v>-1</v>
      </c>
    </row>
    <row r="25" spans="1:5" x14ac:dyDescent="0.25">
      <c r="A25" s="3" t="s">
        <v>23</v>
      </c>
      <c r="B25" s="20">
        <f>3923</f>
        <v>3923</v>
      </c>
      <c r="C25" s="20">
        <f>154</f>
        <v>154</v>
      </c>
      <c r="D25" s="21">
        <f t="shared" si="0"/>
        <v>3769</v>
      </c>
      <c r="E25" s="16">
        <f t="shared" si="1"/>
        <v>24.474025974025974</v>
      </c>
    </row>
    <row r="26" spans="1:5" x14ac:dyDescent="0.25">
      <c r="A26" s="3" t="s">
        <v>24</v>
      </c>
      <c r="B26" s="20">
        <f>196</f>
        <v>196</v>
      </c>
      <c r="C26" s="20">
        <f>147</f>
        <v>147</v>
      </c>
      <c r="D26" s="21">
        <f t="shared" si="0"/>
        <v>49</v>
      </c>
      <c r="E26" s="16">
        <f t="shared" si="1"/>
        <v>0.33333333333333331</v>
      </c>
    </row>
    <row r="27" spans="1:5" x14ac:dyDescent="0.25">
      <c r="A27" s="3" t="s">
        <v>25</v>
      </c>
      <c r="B27" s="20">
        <f>4475.86</f>
        <v>4475.8599999999997</v>
      </c>
      <c r="C27" s="20">
        <f>3824.1</f>
        <v>3824.1</v>
      </c>
      <c r="D27" s="21">
        <f t="shared" si="0"/>
        <v>651.75999999999976</v>
      </c>
      <c r="E27" s="16">
        <f t="shared" si="1"/>
        <v>0.17043487356502177</v>
      </c>
    </row>
    <row r="28" spans="1:5" x14ac:dyDescent="0.25">
      <c r="A28" s="3" t="s">
        <v>26</v>
      </c>
      <c r="B28" s="20">
        <f>703.46</f>
        <v>703.46</v>
      </c>
      <c r="C28" s="20">
        <f>233.56</f>
        <v>233.56</v>
      </c>
      <c r="D28" s="21">
        <f t="shared" si="0"/>
        <v>469.90000000000003</v>
      </c>
      <c r="E28" s="16">
        <f t="shared" si="1"/>
        <v>2.011902723069019</v>
      </c>
    </row>
    <row r="29" spans="1:5" x14ac:dyDescent="0.25">
      <c r="A29" s="3" t="s">
        <v>27</v>
      </c>
      <c r="B29" s="20">
        <f>0</f>
        <v>0</v>
      </c>
      <c r="C29" s="20">
        <f>125</f>
        <v>125</v>
      </c>
      <c r="D29" s="21">
        <f t="shared" si="0"/>
        <v>-125</v>
      </c>
      <c r="E29" s="16">
        <f t="shared" si="1"/>
        <v>-1</v>
      </c>
    </row>
    <row r="30" spans="1:5" x14ac:dyDescent="0.25">
      <c r="A30" s="3" t="s">
        <v>28</v>
      </c>
      <c r="B30" s="20">
        <f>4917.23</f>
        <v>4917.2299999999996</v>
      </c>
      <c r="C30" s="20">
        <f>0.84</f>
        <v>0.84</v>
      </c>
      <c r="D30" s="21">
        <f t="shared" si="0"/>
        <v>4916.3899999999994</v>
      </c>
      <c r="E30" s="16">
        <f t="shared" si="1"/>
        <v>5852.8452380952376</v>
      </c>
    </row>
    <row r="31" spans="1:5" x14ac:dyDescent="0.25">
      <c r="A31" s="3" t="s">
        <v>29</v>
      </c>
      <c r="B31" s="20">
        <f>0</f>
        <v>0</v>
      </c>
      <c r="C31" s="20">
        <f>0</f>
        <v>0</v>
      </c>
      <c r="D31" s="21">
        <f t="shared" si="0"/>
        <v>0</v>
      </c>
      <c r="E31" s="16" t="str">
        <f t="shared" si="1"/>
        <v/>
      </c>
    </row>
    <row r="32" spans="1:5" x14ac:dyDescent="0.25">
      <c r="A32" s="3" t="s">
        <v>30</v>
      </c>
      <c r="B32" s="20">
        <f>342.51</f>
        <v>342.51</v>
      </c>
      <c r="C32" s="22"/>
      <c r="D32" s="21">
        <f t="shared" si="0"/>
        <v>342.51</v>
      </c>
      <c r="E32" s="16" t="str">
        <f t="shared" si="1"/>
        <v/>
      </c>
    </row>
    <row r="33" spans="1:5" x14ac:dyDescent="0.25">
      <c r="A33" s="3" t="s">
        <v>31</v>
      </c>
      <c r="B33" s="20">
        <f>2934.38</f>
        <v>2934.38</v>
      </c>
      <c r="C33" s="20">
        <f>1098.66</f>
        <v>1098.6600000000001</v>
      </c>
      <c r="D33" s="21">
        <f t="shared" si="0"/>
        <v>1835.72</v>
      </c>
      <c r="E33" s="16">
        <f t="shared" si="1"/>
        <v>1.6708717892705658</v>
      </c>
    </row>
    <row r="34" spans="1:5" x14ac:dyDescent="0.25">
      <c r="A34" s="3" t="s">
        <v>32</v>
      </c>
      <c r="B34" s="20">
        <f>490.52</f>
        <v>490.52</v>
      </c>
      <c r="C34" s="20">
        <f>460.52</f>
        <v>460.52</v>
      </c>
      <c r="D34" s="21">
        <f t="shared" si="0"/>
        <v>30</v>
      </c>
      <c r="E34" s="16">
        <f t="shared" si="1"/>
        <v>6.5143750542864587E-2</v>
      </c>
    </row>
    <row r="35" spans="1:5" x14ac:dyDescent="0.25">
      <c r="A35" s="3" t="s">
        <v>33</v>
      </c>
      <c r="B35" s="20">
        <f>1346.48</f>
        <v>1346.48</v>
      </c>
      <c r="C35" s="20">
        <f>808.48</f>
        <v>808.48</v>
      </c>
      <c r="D35" s="21">
        <f t="shared" si="0"/>
        <v>538</v>
      </c>
      <c r="E35" s="16">
        <f t="shared" si="1"/>
        <v>0.6654462695428458</v>
      </c>
    </row>
    <row r="36" spans="1:5" x14ac:dyDescent="0.25">
      <c r="A36" s="3" t="s">
        <v>34</v>
      </c>
      <c r="B36" s="20">
        <f>554.85</f>
        <v>554.85</v>
      </c>
      <c r="C36" s="20">
        <f>554.85</f>
        <v>554.85</v>
      </c>
      <c r="D36" s="21">
        <f t="shared" si="0"/>
        <v>0</v>
      </c>
      <c r="E36" s="16">
        <f t="shared" si="1"/>
        <v>0</v>
      </c>
    </row>
    <row r="37" spans="1:5" x14ac:dyDescent="0.25">
      <c r="A37" s="3" t="s">
        <v>35</v>
      </c>
      <c r="B37" s="20">
        <f>1063.97</f>
        <v>1063.97</v>
      </c>
      <c r="C37" s="20">
        <f>1324.18</f>
        <v>1324.18</v>
      </c>
      <c r="D37" s="21">
        <f t="shared" si="0"/>
        <v>-260.21000000000004</v>
      </c>
      <c r="E37" s="16">
        <f t="shared" si="1"/>
        <v>-0.19650651724085852</v>
      </c>
    </row>
    <row r="38" spans="1:5" x14ac:dyDescent="0.25">
      <c r="A38" s="3" t="s">
        <v>36</v>
      </c>
      <c r="B38" s="20">
        <f>2964.41</f>
        <v>2964.41</v>
      </c>
      <c r="C38" s="20">
        <f>2992.86</f>
        <v>2992.86</v>
      </c>
      <c r="D38" s="21">
        <f t="shared" si="0"/>
        <v>-28.450000000000273</v>
      </c>
      <c r="E38" s="16">
        <f t="shared" si="1"/>
        <v>-9.5059575122124901E-3</v>
      </c>
    </row>
    <row r="39" spans="1:5" x14ac:dyDescent="0.25">
      <c r="A39" s="3" t="s">
        <v>37</v>
      </c>
      <c r="B39" s="20">
        <f>2942.56</f>
        <v>2942.56</v>
      </c>
      <c r="C39" s="20">
        <f>2798.56</f>
        <v>2798.56</v>
      </c>
      <c r="D39" s="21">
        <f t="shared" si="0"/>
        <v>144</v>
      </c>
      <c r="E39" s="16">
        <f t="shared" si="1"/>
        <v>5.1455034017494711E-2</v>
      </c>
    </row>
    <row r="40" spans="1:5" x14ac:dyDescent="0.25">
      <c r="A40" s="3" t="s">
        <v>38</v>
      </c>
      <c r="B40" s="20">
        <f>40.5</f>
        <v>40.5</v>
      </c>
      <c r="C40" s="20">
        <f>40.5</f>
        <v>40.5</v>
      </c>
      <c r="D40" s="21">
        <f t="shared" si="0"/>
        <v>0</v>
      </c>
      <c r="E40" s="16">
        <f t="shared" si="1"/>
        <v>0</v>
      </c>
    </row>
    <row r="41" spans="1:5" x14ac:dyDescent="0.25">
      <c r="A41" s="3" t="s">
        <v>39</v>
      </c>
      <c r="B41" s="20">
        <f>652.8</f>
        <v>652.79999999999995</v>
      </c>
      <c r="C41" s="20">
        <f>652.8</f>
        <v>652.79999999999995</v>
      </c>
      <c r="D41" s="21">
        <f t="shared" si="0"/>
        <v>0</v>
      </c>
      <c r="E41" s="16">
        <f t="shared" si="1"/>
        <v>0</v>
      </c>
    </row>
    <row r="42" spans="1:5" x14ac:dyDescent="0.25">
      <c r="A42" s="3" t="s">
        <v>40</v>
      </c>
      <c r="B42" s="20">
        <f>1238.23</f>
        <v>1238.23</v>
      </c>
      <c r="C42" s="20">
        <f>2179.61</f>
        <v>2179.61</v>
      </c>
      <c r="D42" s="21">
        <f t="shared" ref="D42:D73" si="2">(B42)-(C42)</f>
        <v>-941.38000000000011</v>
      </c>
      <c r="E42" s="16">
        <f t="shared" ref="E42:E77" si="3">IF(ABS((C42))=0,"",((B42)-(C42))/(ABS((C42))))</f>
        <v>-0.43190295511582349</v>
      </c>
    </row>
    <row r="43" spans="1:5" x14ac:dyDescent="0.25">
      <c r="A43" s="3" t="s">
        <v>41</v>
      </c>
      <c r="B43" s="20">
        <f>757.44</f>
        <v>757.44</v>
      </c>
      <c r="C43" s="20">
        <f>332.79</f>
        <v>332.79</v>
      </c>
      <c r="D43" s="21">
        <f t="shared" si="2"/>
        <v>424.65000000000003</v>
      </c>
      <c r="E43" s="16">
        <f t="shared" si="3"/>
        <v>1.2760299287839179</v>
      </c>
    </row>
    <row r="44" spans="1:5" x14ac:dyDescent="0.25">
      <c r="A44" s="3" t="s">
        <v>42</v>
      </c>
      <c r="B44" s="20">
        <f>0.1</f>
        <v>0.1</v>
      </c>
      <c r="C44" s="20">
        <f>30.1</f>
        <v>30.1</v>
      </c>
      <c r="D44" s="21">
        <f t="shared" si="2"/>
        <v>-30</v>
      </c>
      <c r="E44" s="16">
        <f t="shared" si="3"/>
        <v>-0.99667774086378735</v>
      </c>
    </row>
    <row r="45" spans="1:5" x14ac:dyDescent="0.25">
      <c r="A45" s="3" t="s">
        <v>43</v>
      </c>
      <c r="B45" s="20">
        <f>0</f>
        <v>0</v>
      </c>
      <c r="C45" s="20">
        <f>0</f>
        <v>0</v>
      </c>
      <c r="D45" s="21">
        <f t="shared" si="2"/>
        <v>0</v>
      </c>
      <c r="E45" s="16" t="str">
        <f t="shared" si="3"/>
        <v/>
      </c>
    </row>
    <row r="46" spans="1:5" x14ac:dyDescent="0.25">
      <c r="A46" s="3" t="s">
        <v>44</v>
      </c>
      <c r="B46" s="20">
        <f>491.71</f>
        <v>491.71</v>
      </c>
      <c r="C46" s="20">
        <f>739.11</f>
        <v>739.11</v>
      </c>
      <c r="D46" s="21">
        <f t="shared" si="2"/>
        <v>-247.40000000000003</v>
      </c>
      <c r="E46" s="16">
        <f t="shared" si="3"/>
        <v>-0.33472690127315291</v>
      </c>
    </row>
    <row r="47" spans="1:5" x14ac:dyDescent="0.25">
      <c r="A47" s="3" t="s">
        <v>45</v>
      </c>
      <c r="B47" s="20">
        <f>6524.65</f>
        <v>6524.65</v>
      </c>
      <c r="C47" s="20">
        <f>5859.77</f>
        <v>5859.77</v>
      </c>
      <c r="D47" s="21">
        <f t="shared" si="2"/>
        <v>664.8799999999992</v>
      </c>
      <c r="E47" s="16">
        <f t="shared" si="3"/>
        <v>0.11346520426569628</v>
      </c>
    </row>
    <row r="48" spans="1:5" x14ac:dyDescent="0.25">
      <c r="A48" s="3" t="s">
        <v>46</v>
      </c>
      <c r="B48" s="20">
        <f>1465.62</f>
        <v>1465.62</v>
      </c>
      <c r="C48" s="20">
        <f>673.11</f>
        <v>673.11</v>
      </c>
      <c r="D48" s="21">
        <f t="shared" si="2"/>
        <v>792.50999999999988</v>
      </c>
      <c r="E48" s="16">
        <f t="shared" si="3"/>
        <v>1.1773855684806345</v>
      </c>
    </row>
    <row r="49" spans="1:5" x14ac:dyDescent="0.25">
      <c r="A49" s="3" t="s">
        <v>47</v>
      </c>
      <c r="B49" s="20">
        <f>237.58</f>
        <v>237.58</v>
      </c>
      <c r="C49" s="20">
        <f>204.67</f>
        <v>204.67</v>
      </c>
      <c r="D49" s="21">
        <f t="shared" si="2"/>
        <v>32.910000000000025</v>
      </c>
      <c r="E49" s="16">
        <f t="shared" si="3"/>
        <v>0.1607954267845802</v>
      </c>
    </row>
    <row r="50" spans="1:5" x14ac:dyDescent="0.25">
      <c r="A50" s="3" t="s">
        <v>48</v>
      </c>
      <c r="B50" s="20">
        <f>1064.04</f>
        <v>1064.04</v>
      </c>
      <c r="C50" s="20">
        <f>1049.04</f>
        <v>1049.04</v>
      </c>
      <c r="D50" s="21">
        <f t="shared" si="2"/>
        <v>15</v>
      </c>
      <c r="E50" s="16">
        <f t="shared" si="3"/>
        <v>1.4298787462823153E-2</v>
      </c>
    </row>
    <row r="51" spans="1:5" x14ac:dyDescent="0.25">
      <c r="A51" s="3" t="s">
        <v>49</v>
      </c>
      <c r="B51" s="20">
        <f>2083.27</f>
        <v>2083.27</v>
      </c>
      <c r="C51" s="20">
        <f>3007.7</f>
        <v>3007.7</v>
      </c>
      <c r="D51" s="21">
        <f t="shared" si="2"/>
        <v>-924.42999999999984</v>
      </c>
      <c r="E51" s="16">
        <f t="shared" si="3"/>
        <v>-0.30735445689397212</v>
      </c>
    </row>
    <row r="52" spans="1:5" x14ac:dyDescent="0.25">
      <c r="A52" s="3" t="s">
        <v>50</v>
      </c>
      <c r="B52" s="20">
        <f>4108.47</f>
        <v>4108.47</v>
      </c>
      <c r="C52" s="20">
        <f>4458.47</f>
        <v>4458.47</v>
      </c>
      <c r="D52" s="21">
        <f t="shared" si="2"/>
        <v>-350</v>
      </c>
      <c r="E52" s="16">
        <f t="shared" si="3"/>
        <v>-7.8502266472579157E-2</v>
      </c>
    </row>
    <row r="53" spans="1:5" x14ac:dyDescent="0.25">
      <c r="A53" s="3" t="s">
        <v>51</v>
      </c>
      <c r="B53" s="20">
        <f>250</f>
        <v>250</v>
      </c>
      <c r="C53" s="20">
        <f>0</f>
        <v>0</v>
      </c>
      <c r="D53" s="21">
        <f t="shared" si="2"/>
        <v>250</v>
      </c>
      <c r="E53" s="16" t="str">
        <f t="shared" si="3"/>
        <v/>
      </c>
    </row>
    <row r="54" spans="1:5" x14ac:dyDescent="0.25">
      <c r="A54" s="3" t="s">
        <v>52</v>
      </c>
      <c r="B54" s="20">
        <f>3120.6</f>
        <v>3120.6</v>
      </c>
      <c r="C54" s="20">
        <f>3120.6</f>
        <v>3120.6</v>
      </c>
      <c r="D54" s="21">
        <f t="shared" si="2"/>
        <v>0</v>
      </c>
      <c r="E54" s="16">
        <f t="shared" si="3"/>
        <v>0</v>
      </c>
    </row>
    <row r="55" spans="1:5" x14ac:dyDescent="0.25">
      <c r="A55" s="3" t="s">
        <v>53</v>
      </c>
      <c r="B55" s="20">
        <f>6663.24</f>
        <v>6663.24</v>
      </c>
      <c r="C55" s="20">
        <f>9960.38</f>
        <v>9960.3799999999992</v>
      </c>
      <c r="D55" s="21">
        <f t="shared" si="2"/>
        <v>-3297.1399999999994</v>
      </c>
      <c r="E55" s="16">
        <f t="shared" si="3"/>
        <v>-0.33102552312261174</v>
      </c>
    </row>
    <row r="56" spans="1:5" x14ac:dyDescent="0.25">
      <c r="A56" s="3" t="s">
        <v>54</v>
      </c>
      <c r="B56" s="20">
        <f>29064.76</f>
        <v>29064.76</v>
      </c>
      <c r="C56" s="20">
        <f>20807.81</f>
        <v>20807.810000000001</v>
      </c>
      <c r="D56" s="21">
        <f t="shared" si="2"/>
        <v>8256.9499999999971</v>
      </c>
      <c r="E56" s="16">
        <f t="shared" si="3"/>
        <v>0.39681975181434265</v>
      </c>
    </row>
    <row r="57" spans="1:5" x14ac:dyDescent="0.25">
      <c r="A57" s="3" t="s">
        <v>55</v>
      </c>
      <c r="B57" s="20">
        <f>500</f>
        <v>500</v>
      </c>
      <c r="C57" s="22"/>
      <c r="D57" s="21">
        <f t="shared" si="2"/>
        <v>500</v>
      </c>
      <c r="E57" s="16" t="str">
        <f t="shared" si="3"/>
        <v/>
      </c>
    </row>
    <row r="58" spans="1:5" x14ac:dyDescent="0.25">
      <c r="A58" s="3" t="s">
        <v>56</v>
      </c>
      <c r="B58" s="20">
        <f>2422.74</f>
        <v>2422.7399999999998</v>
      </c>
      <c r="C58" s="20">
        <f>3710.97</f>
        <v>3710.97</v>
      </c>
      <c r="D58" s="21">
        <f t="shared" si="2"/>
        <v>-1288.23</v>
      </c>
      <c r="E58" s="16">
        <f t="shared" si="3"/>
        <v>-0.34714104398580425</v>
      </c>
    </row>
    <row r="59" spans="1:5" x14ac:dyDescent="0.25">
      <c r="A59" s="3" t="s">
        <v>57</v>
      </c>
      <c r="B59" s="20">
        <f>3702.11</f>
        <v>3702.11</v>
      </c>
      <c r="C59" s="20">
        <f>8346.89</f>
        <v>8346.89</v>
      </c>
      <c r="D59" s="21">
        <f t="shared" si="2"/>
        <v>-4644.7799999999988</v>
      </c>
      <c r="E59" s="16">
        <f t="shared" si="3"/>
        <v>-0.5564683373088658</v>
      </c>
    </row>
    <row r="60" spans="1:5" x14ac:dyDescent="0.25">
      <c r="A60" s="3" t="s">
        <v>58</v>
      </c>
      <c r="B60" s="20">
        <f>2320.43</f>
        <v>2320.4299999999998</v>
      </c>
      <c r="C60" s="20">
        <f>2666.74</f>
        <v>2666.74</v>
      </c>
      <c r="D60" s="21">
        <f t="shared" si="2"/>
        <v>-346.30999999999995</v>
      </c>
      <c r="E60" s="16">
        <f t="shared" si="3"/>
        <v>-0.12986267877633365</v>
      </c>
    </row>
    <row r="61" spans="1:5" x14ac:dyDescent="0.25">
      <c r="A61" s="3" t="s">
        <v>59</v>
      </c>
      <c r="B61" s="20">
        <f>9215.8</f>
        <v>9215.7999999999993</v>
      </c>
      <c r="C61" s="20">
        <f>6901.64</f>
        <v>6901.64</v>
      </c>
      <c r="D61" s="21">
        <f t="shared" si="2"/>
        <v>2314.1599999999989</v>
      </c>
      <c r="E61" s="16">
        <f t="shared" si="3"/>
        <v>0.33530581137236931</v>
      </c>
    </row>
    <row r="62" spans="1:5" x14ac:dyDescent="0.25">
      <c r="A62" s="3" t="s">
        <v>60</v>
      </c>
      <c r="B62" s="20">
        <f>4722.57</f>
        <v>4722.57</v>
      </c>
      <c r="C62" s="20">
        <f>3570.57</f>
        <v>3570.57</v>
      </c>
      <c r="D62" s="21">
        <f t="shared" si="2"/>
        <v>1151.9999999999995</v>
      </c>
      <c r="E62" s="16">
        <f t="shared" si="3"/>
        <v>0.32263756206992145</v>
      </c>
    </row>
    <row r="63" spans="1:5" x14ac:dyDescent="0.25">
      <c r="A63" s="3" t="s">
        <v>61</v>
      </c>
      <c r="B63" s="20">
        <f>902.24</f>
        <v>902.24</v>
      </c>
      <c r="C63" s="20">
        <f>1578.04</f>
        <v>1578.04</v>
      </c>
      <c r="D63" s="21">
        <f t="shared" si="2"/>
        <v>-675.8</v>
      </c>
      <c r="E63" s="16">
        <f t="shared" si="3"/>
        <v>-0.42825276925806693</v>
      </c>
    </row>
    <row r="64" spans="1:5" x14ac:dyDescent="0.25">
      <c r="A64" s="3" t="s">
        <v>62</v>
      </c>
      <c r="B64" s="20">
        <f>0</f>
        <v>0</v>
      </c>
      <c r="C64" s="20">
        <f>931</f>
        <v>931</v>
      </c>
      <c r="D64" s="21">
        <f t="shared" si="2"/>
        <v>-931</v>
      </c>
      <c r="E64" s="16">
        <f t="shared" si="3"/>
        <v>-1</v>
      </c>
    </row>
    <row r="65" spans="1:5" x14ac:dyDescent="0.25">
      <c r="A65" s="3" t="s">
        <v>63</v>
      </c>
      <c r="B65" s="20">
        <f>6311.54</f>
        <v>6311.54</v>
      </c>
      <c r="C65" s="20">
        <f>2233.94</f>
        <v>2233.94</v>
      </c>
      <c r="D65" s="21">
        <f t="shared" si="2"/>
        <v>4077.6</v>
      </c>
      <c r="E65" s="16">
        <f t="shared" si="3"/>
        <v>1.8252952183138311</v>
      </c>
    </row>
    <row r="66" spans="1:5" x14ac:dyDescent="0.25">
      <c r="A66" s="3" t="s">
        <v>64</v>
      </c>
      <c r="B66" s="20">
        <f>3192.77</f>
        <v>3192.77</v>
      </c>
      <c r="C66" s="20">
        <f>1729.18</f>
        <v>1729.18</v>
      </c>
      <c r="D66" s="21">
        <f t="shared" si="2"/>
        <v>1463.59</v>
      </c>
      <c r="E66" s="16">
        <f t="shared" si="3"/>
        <v>0.84640696746434718</v>
      </c>
    </row>
    <row r="67" spans="1:5" x14ac:dyDescent="0.25">
      <c r="A67" s="3" t="s">
        <v>65</v>
      </c>
      <c r="B67" s="20">
        <f>1302.5</f>
        <v>1302.5</v>
      </c>
      <c r="C67" s="20">
        <f>339.35</f>
        <v>339.35</v>
      </c>
      <c r="D67" s="21">
        <f t="shared" si="2"/>
        <v>963.15</v>
      </c>
      <c r="E67" s="16">
        <f t="shared" si="3"/>
        <v>2.8382201267128333</v>
      </c>
    </row>
    <row r="68" spans="1:5" x14ac:dyDescent="0.25">
      <c r="A68" s="3" t="s">
        <v>66</v>
      </c>
      <c r="B68" s="20">
        <f>7295.99</f>
        <v>7295.99</v>
      </c>
      <c r="C68" s="20">
        <f>8989.31</f>
        <v>8989.31</v>
      </c>
      <c r="D68" s="21">
        <f t="shared" si="2"/>
        <v>-1693.3199999999997</v>
      </c>
      <c r="E68" s="16">
        <f t="shared" si="3"/>
        <v>-0.18837040885229231</v>
      </c>
    </row>
    <row r="69" spans="1:5" x14ac:dyDescent="0.25">
      <c r="A69" s="3" t="s">
        <v>67</v>
      </c>
      <c r="B69" s="20">
        <f>4322.32</f>
        <v>4322.32</v>
      </c>
      <c r="C69" s="20">
        <f>3861.32</f>
        <v>3861.32</v>
      </c>
      <c r="D69" s="21">
        <f t="shared" si="2"/>
        <v>460.99999999999955</v>
      </c>
      <c r="E69" s="16">
        <f t="shared" si="3"/>
        <v>0.11938922441030517</v>
      </c>
    </row>
    <row r="70" spans="1:5" x14ac:dyDescent="0.25">
      <c r="A70" s="3" t="s">
        <v>68</v>
      </c>
      <c r="B70" s="20">
        <f>2377.2</f>
        <v>2377.1999999999998</v>
      </c>
      <c r="C70" s="20">
        <f>4503.62</f>
        <v>4503.62</v>
      </c>
      <c r="D70" s="21">
        <f t="shared" si="2"/>
        <v>-2126.42</v>
      </c>
      <c r="E70" s="16">
        <f t="shared" si="3"/>
        <v>-0.47215795293563845</v>
      </c>
    </row>
    <row r="71" spans="1:5" x14ac:dyDescent="0.25">
      <c r="A71" s="3" t="s">
        <v>69</v>
      </c>
      <c r="B71" s="20">
        <f>3839.66</f>
        <v>3839.66</v>
      </c>
      <c r="C71" s="20">
        <f>4089.82</f>
        <v>4089.82</v>
      </c>
      <c r="D71" s="21">
        <f t="shared" si="2"/>
        <v>-250.16000000000031</v>
      </c>
      <c r="E71" s="16">
        <f t="shared" si="3"/>
        <v>-6.1166506105403244E-2</v>
      </c>
    </row>
    <row r="72" spans="1:5" x14ac:dyDescent="0.25">
      <c r="A72" s="3" t="s">
        <v>70</v>
      </c>
      <c r="B72" s="23">
        <f>(((((((((((((((((((((((((((((((((((((((((((((((((((((((((((((B10)+(B11))+(B12))+(B13))+(B14))+(B15))+(B16))+(B17))+(B18))+(B19))+(B20))+(B21))+(B22))+(B23))+(B24))+(B25))+(B26))+(B27))+(B28))+(B29))+(B30))+(B31))+(B32))+(B33))+(B34))+(B35))+(B36))+(B37))+(B38))+(B39))+(B40))+(B41))+(B42))+(B43))+(B44))+(B45))+(B46))+(B47))+(B48))+(B49))+(B50))+(B51))+(B52))+(B53))+(B54))+(B55))+(B56))+(B57))+(B58))+(B59))+(B60))+(B61))+(B62))+(B63))+(B64))+(B65))+(B66))+(B67))+(B68))+(B69))+(B70))+(B71)</f>
        <v>38784.540000000008</v>
      </c>
      <c r="C72" s="23">
        <f>(((((((((((((((((((((((((((((((((((((((((((((((((((((((((((((C10)+(C11))+(C12))+(C13))+(C14))+(C15))+(C16))+(C17))+(C18))+(C19))+(C20))+(C21))+(C22))+(C23))+(C24))+(C25))+(C26))+(C27))+(C28))+(C29))+(C30))+(C31))+(C32))+(C33))+(C34))+(C35))+(C36))+(C37))+(C38))+(C39))+(C40))+(C41))+(C42))+(C43))+(C44))+(C45))+(C46))+(C47))+(C48))+(C49))+(C50))+(C51))+(C52))+(C53))+(C54))+(C55))+(C56))+(C57))+(C58))+(C59))+(C60))+(C61))+(C62))+(C63))+(C64))+(C65))+(C66))+(C67))+(C68))+(C69))+(C70))+(C71)</f>
        <v>149310.34000000003</v>
      </c>
      <c r="D72" s="24">
        <f t="shared" si="2"/>
        <v>-110525.80000000002</v>
      </c>
      <c r="E72" s="17">
        <f t="shared" si="3"/>
        <v>-0.74024210245586475</v>
      </c>
    </row>
    <row r="73" spans="1:5" x14ac:dyDescent="0.25">
      <c r="A73" s="3" t="s">
        <v>71</v>
      </c>
      <c r="B73" s="20">
        <f>25000</f>
        <v>25000</v>
      </c>
      <c r="C73" s="22"/>
      <c r="D73" s="21">
        <f t="shared" si="2"/>
        <v>25000</v>
      </c>
      <c r="E73" s="16" t="str">
        <f t="shared" si="3"/>
        <v/>
      </c>
    </row>
    <row r="74" spans="1:5" x14ac:dyDescent="0.25">
      <c r="A74" s="3" t="s">
        <v>72</v>
      </c>
      <c r="B74" s="20">
        <f>100283.07</f>
        <v>100283.07</v>
      </c>
      <c r="C74" s="22"/>
      <c r="D74" s="21">
        <f t="shared" ref="D74:D105" si="4">(B74)-(C74)</f>
        <v>100283.07</v>
      </c>
      <c r="E74" s="16" t="str">
        <f t="shared" si="3"/>
        <v/>
      </c>
    </row>
    <row r="75" spans="1:5" x14ac:dyDescent="0.25">
      <c r="A75" s="3" t="s">
        <v>73</v>
      </c>
      <c r="B75" s="23">
        <f>((B72)+(B73))+(B74)</f>
        <v>164067.61000000002</v>
      </c>
      <c r="C75" s="23">
        <f>((C72)+(C73))+(C74)</f>
        <v>149310.34000000003</v>
      </c>
      <c r="D75" s="24">
        <f t="shared" si="4"/>
        <v>14757.26999999999</v>
      </c>
      <c r="E75" s="17">
        <f t="shared" si="3"/>
        <v>9.8836222595166459E-2</v>
      </c>
    </row>
    <row r="76" spans="1:5" x14ac:dyDescent="0.25">
      <c r="A76" s="3" t="s">
        <v>74</v>
      </c>
      <c r="B76" s="23">
        <f>B75</f>
        <v>164067.61000000002</v>
      </c>
      <c r="C76" s="23">
        <f>C75</f>
        <v>149310.34000000003</v>
      </c>
      <c r="D76" s="24">
        <f t="shared" si="4"/>
        <v>14757.26999999999</v>
      </c>
      <c r="E76" s="17">
        <f t="shared" si="3"/>
        <v>9.8836222595166459E-2</v>
      </c>
    </row>
    <row r="77" spans="1:5" x14ac:dyDescent="0.25">
      <c r="A77" s="3" t="s">
        <v>75</v>
      </c>
      <c r="B77" s="25">
        <f>B76</f>
        <v>164067.61000000002</v>
      </c>
      <c r="C77" s="25">
        <f>C76</f>
        <v>149310.34000000003</v>
      </c>
      <c r="D77" s="26">
        <f t="shared" si="4"/>
        <v>14757.26999999999</v>
      </c>
      <c r="E77" s="18">
        <f t="shared" si="3"/>
        <v>9.8836222595166459E-2</v>
      </c>
    </row>
    <row r="78" spans="1:5" x14ac:dyDescent="0.25">
      <c r="A78" s="3" t="s">
        <v>76</v>
      </c>
      <c r="B78" s="22"/>
      <c r="C78" s="22"/>
      <c r="D78" s="27"/>
      <c r="E78" s="19"/>
    </row>
    <row r="79" spans="1:5" x14ac:dyDescent="0.25">
      <c r="A79" s="3" t="s">
        <v>77</v>
      </c>
      <c r="B79" s="22"/>
      <c r="C79" s="22"/>
      <c r="D79" s="27"/>
      <c r="E79" s="19"/>
    </row>
    <row r="80" spans="1:5" x14ac:dyDescent="0.25">
      <c r="A80" s="3" t="s">
        <v>78</v>
      </c>
      <c r="B80" s="22"/>
      <c r="C80" s="22"/>
      <c r="D80" s="24">
        <f>(B80)-(C80)</f>
        <v>0</v>
      </c>
      <c r="E80" s="17" t="str">
        <f>IF(ABS((C80))=0,"",((B80)-(C80))/(ABS((C80))))</f>
        <v/>
      </c>
    </row>
    <row r="81" spans="1:5" x14ac:dyDescent="0.25">
      <c r="A81" s="3" t="s">
        <v>79</v>
      </c>
      <c r="B81" s="22"/>
      <c r="C81" s="22"/>
      <c r="D81" s="27"/>
      <c r="E81" s="19"/>
    </row>
    <row r="82" spans="1:5" x14ac:dyDescent="0.25">
      <c r="A82" s="3" t="s">
        <v>80</v>
      </c>
      <c r="B82" s="20">
        <f>69648.41</f>
        <v>69648.41</v>
      </c>
      <c r="C82" s="20">
        <f>69648.41</f>
        <v>69648.41</v>
      </c>
      <c r="D82" s="21">
        <f>(B82)-(C82)</f>
        <v>0</v>
      </c>
      <c r="E82" s="16">
        <f>IF(ABS((C82))=0,"",((B82)-(C82))/(ABS((C82))))</f>
        <v>0</v>
      </c>
    </row>
    <row r="83" spans="1:5" x14ac:dyDescent="0.25">
      <c r="A83" s="3" t="s">
        <v>81</v>
      </c>
      <c r="B83" s="20">
        <f>95721.37</f>
        <v>95721.37</v>
      </c>
      <c r="C83" s="20">
        <f>110381.81</f>
        <v>110381.81</v>
      </c>
      <c r="D83" s="21">
        <f>(B83)-(C83)</f>
        <v>-14660.440000000002</v>
      </c>
      <c r="E83" s="16">
        <f>IF(ABS((C83))=0,"",((B83)-(C83))/(ABS((C83))))</f>
        <v>-0.13281572389508745</v>
      </c>
    </row>
    <row r="84" spans="1:5" x14ac:dyDescent="0.25">
      <c r="A84" s="3" t="s">
        <v>82</v>
      </c>
      <c r="B84" s="20">
        <f>-1302.17</f>
        <v>-1302.17</v>
      </c>
      <c r="C84" s="20">
        <f>-30719.88</f>
        <v>-30719.88</v>
      </c>
      <c r="D84" s="21">
        <f>(B84)-(C84)</f>
        <v>29417.71</v>
      </c>
      <c r="E84" s="16">
        <f>IF(ABS((C84))=0,"",((B84)-(C84))/(ABS((C84))))</f>
        <v>0.9576114880657085</v>
      </c>
    </row>
    <row r="85" spans="1:5" x14ac:dyDescent="0.25">
      <c r="A85" s="3" t="s">
        <v>83</v>
      </c>
      <c r="B85" s="23">
        <f>((B82)+(B83))+(B84)</f>
        <v>164067.60999999999</v>
      </c>
      <c r="C85" s="23">
        <f>((C82)+(C83))+(C84)</f>
        <v>149310.34</v>
      </c>
      <c r="D85" s="24">
        <f>(B85)-(C85)</f>
        <v>14757.26999999999</v>
      </c>
      <c r="E85" s="17">
        <f>IF(ABS((C85))=0,"",((B85)-(C85))/(ABS((C85))))</f>
        <v>9.8836222595166487E-2</v>
      </c>
    </row>
    <row r="86" spans="1:5" x14ac:dyDescent="0.25">
      <c r="A86" s="3" t="s">
        <v>84</v>
      </c>
      <c r="B86" s="25">
        <f>(B80)+(B85)</f>
        <v>164067.60999999999</v>
      </c>
      <c r="C86" s="25">
        <f>(C80)+(C85)</f>
        <v>149310.34</v>
      </c>
      <c r="D86" s="26">
        <f>(B86)-(C86)</f>
        <v>14757.26999999999</v>
      </c>
      <c r="E86" s="18">
        <f>IF(ABS((C86))=0,"",((B86)-(C86))/(ABS((C86))))</f>
        <v>9.8836222595166487E-2</v>
      </c>
    </row>
    <row r="87" spans="1:5" x14ac:dyDescent="0.25">
      <c r="A87" s="3"/>
      <c r="B87" s="4"/>
      <c r="C87" s="4"/>
      <c r="D87" s="13"/>
      <c r="E87" s="13"/>
    </row>
    <row r="90" spans="1:5" x14ac:dyDescent="0.25">
      <c r="A90" s="7" t="s">
        <v>85</v>
      </c>
      <c r="B90" s="8"/>
      <c r="C90" s="8"/>
      <c r="D90" s="8"/>
      <c r="E90" s="8"/>
    </row>
  </sheetData>
  <mergeCells count="5">
    <mergeCell ref="B5:E5"/>
    <mergeCell ref="A90:E90"/>
    <mergeCell ref="A1:E1"/>
    <mergeCell ref="A2:E2"/>
    <mergeCell ref="A3:E3"/>
  </mergeCells>
  <printOptions horizontalCentered="1" gridLines="1"/>
  <pageMargins left="0.45" right="0.45" top="0.5" bottom="0.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Balance Sheet Comparison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Tara Zuehl</cp:lastModifiedBy>
  <cp:lastPrinted>2024-11-13T18:10:14Z</cp:lastPrinted>
  <dcterms:created xsi:type="dcterms:W3CDTF">2024-11-13T18:04:16Z</dcterms:created>
  <dcterms:modified xsi:type="dcterms:W3CDTF">2024-11-13T18:10:49Z</dcterms:modified>
</cp:coreProperties>
</file>