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9440" windowHeight="9210" tabRatio="683" activeTab="2"/>
  </bookViews>
  <sheets>
    <sheet name=" Summary Price Comparisons" sheetId="1" r:id="rId1"/>
    <sheet name=" Summary " sheetId="2" r:id="rId2"/>
    <sheet name="Phase I Prospects Both" sheetId="3" r:id="rId3"/>
    <sheet name="Follow Ons both" sheetId="4" r:id="rId4"/>
    <sheet name="Partner Phase I Prospects )" sheetId="5" r:id="rId5"/>
    <sheet name="Investor Phase I Prospects" sheetId="6" r:id="rId6"/>
    <sheet name="Partner Follow Ons" sheetId="7" r:id="rId7"/>
    <sheet name="Investor Follow on Prospects " sheetId="8" r:id="rId8"/>
    <sheet name="Phase II Prospects" sheetId="9" r:id="rId9"/>
    <sheet name="Investor Phase II  Prospects" sheetId="10" r:id="rId10"/>
    <sheet name="Summary Partner Inv" sheetId="11" r:id="rId11"/>
    <sheet name=" Summary Price Comparisons (2)" sheetId="12" r:id="rId12"/>
  </sheets>
  <externalReferences>
    <externalReference r:id="rId15"/>
  </externalReferences>
  <definedNames>
    <definedName name="_xlfn._FV" hidden="1">#NAME?</definedName>
    <definedName name="_xlfn.ANCHORARRAY" hidden="1">#NAME?</definedName>
    <definedName name="_xlfn.SINGLE" hidden="1">#NAME?</definedName>
    <definedName name="_xlnm.Print_Area" localSheetId="3">'Follow Ons both'!$A$1:$S$41</definedName>
    <definedName name="_xlnm.Print_Area" localSheetId="7">'Investor Follow on Prospects '!$A$1:$S$35</definedName>
    <definedName name="_xlnm.Print_Area" localSheetId="5">'Investor Phase I Prospects'!$A$1:$S$35</definedName>
    <definedName name="_xlnm.Print_Area" localSheetId="9">'Investor Phase II  Prospects'!$A$1:$S$35</definedName>
    <definedName name="_xlnm.Print_Area" localSheetId="6">'Partner Follow Ons'!$A$1:$S$34</definedName>
    <definedName name="_xlnm.Print_Area" localSheetId="4">'Partner Phase I Prospects )'!$A$1:$S$34</definedName>
    <definedName name="_xlnm.Print_Area" localSheetId="2">'Phase I Prospects Both'!$A$1:$S$41</definedName>
    <definedName name="_xlnm.Print_Area" localSheetId="8">'Phase II Prospects'!$A$1:$P$34</definedName>
  </definedNames>
  <calcPr fullCalcOnLoad="1"/>
</workbook>
</file>

<file path=xl/sharedStrings.xml><?xml version="1.0" encoding="utf-8"?>
<sst xmlns="http://schemas.openxmlformats.org/spreadsheetml/2006/main" count="1398" uniqueCount="142">
  <si>
    <t>IRR</t>
  </si>
  <si>
    <t>PV10</t>
  </si>
  <si>
    <t>(%)</t>
  </si>
  <si>
    <t>(#)</t>
  </si>
  <si>
    <t>(MM$)</t>
  </si>
  <si>
    <t>Year</t>
  </si>
  <si>
    <t>ROI</t>
  </si>
  <si>
    <t>PV15</t>
  </si>
  <si>
    <t>Debt</t>
  </si>
  <si>
    <t>15% IRR</t>
  </si>
  <si>
    <t>Service</t>
  </si>
  <si>
    <t>Cumulative</t>
  </si>
  <si>
    <t>PV20</t>
  </si>
  <si>
    <t xml:space="preserve">PV15 </t>
  </si>
  <si>
    <t>INV</t>
  </si>
  <si>
    <t>Cash Flows</t>
  </si>
  <si>
    <t>YR.</t>
  </si>
  <si>
    <t>DrillCo 80% APO</t>
  </si>
  <si>
    <t xml:space="preserve">Sale @ Year 3 </t>
  </si>
  <si>
    <t>Net $</t>
  </si>
  <si>
    <t>Industry 1/3rd for 1/4th</t>
  </si>
  <si>
    <t>2nd Investor</t>
  </si>
  <si>
    <t>Partner</t>
  </si>
  <si>
    <t>2nd Investor 15% IRR</t>
  </si>
  <si>
    <t>Partner's  BPO</t>
  </si>
  <si>
    <t>Partner's Total (BPO+APO)</t>
  </si>
  <si>
    <t>Assets are sold at end of Year #3</t>
  </si>
  <si>
    <t>Cost</t>
  </si>
  <si>
    <t>Phase I Follow ons</t>
  </si>
  <si>
    <t>Completion</t>
  </si>
  <si>
    <t>Phase II Prospects</t>
  </si>
  <si>
    <t>EPV10</t>
  </si>
  <si>
    <t>Total</t>
  </si>
  <si>
    <t>EPV15</t>
  </si>
  <si>
    <t>EPV20</t>
  </si>
  <si>
    <t>Newco's APO</t>
  </si>
  <si>
    <t>Investor  Cost</t>
  </si>
  <si>
    <t>Seismic</t>
  </si>
  <si>
    <t>Leases</t>
  </si>
  <si>
    <t>Overhead</t>
  </si>
  <si>
    <t>Partner's - 50% of APO</t>
  </si>
  <si>
    <t>25% APO + Upfront Reimbursement</t>
  </si>
  <si>
    <t>25% APO Interest Only</t>
  </si>
  <si>
    <t>Phase I Prospects (15)</t>
  </si>
  <si>
    <t>PHASE I PROSPECTS</t>
  </si>
  <si>
    <t>PHASE II PROSPECTS</t>
  </si>
  <si>
    <t xml:space="preserve">Phase II Prospects </t>
  </si>
  <si>
    <t>reimb</t>
  </si>
  <si>
    <t>Oil Prices    = 40 $/BBL Flat</t>
  </si>
  <si>
    <t>Gas Prices = 2.50 $/MCF Flat</t>
  </si>
  <si>
    <t>2nd Investor Funding</t>
  </si>
  <si>
    <t>BPO Newco</t>
  </si>
  <si>
    <t>Net Value @ 100% Payout +IRR</t>
  </si>
  <si>
    <t>2nd Investor Payout</t>
  </si>
  <si>
    <t>SKH</t>
  </si>
  <si>
    <t>20% -10%</t>
  </si>
  <si>
    <t>Partner's IRR</t>
  </si>
  <si>
    <t>Partner's ROI</t>
  </si>
  <si>
    <t xml:space="preserve">DrillCo </t>
  </si>
  <si>
    <t>Newco's Interest after 2nd Financing</t>
  </si>
  <si>
    <t>20% BPO and 80% BPO APO + 15% IRR</t>
  </si>
  <si>
    <t>Standard Industry 1/3rd for 1/4th</t>
  </si>
  <si>
    <t>25% Carried Working Interest</t>
  </si>
  <si>
    <t>Standard Industry 1/4th Back -In Only</t>
  </si>
  <si>
    <t>25% APO WI + Upfront Reimbursement</t>
  </si>
  <si>
    <t>2nd Round Financing Type</t>
  </si>
  <si>
    <t xml:space="preserve"> UNDER VARIOUS 2ND ROUND FINANCING STRUCTURES</t>
  </si>
  <si>
    <t xml:space="preserve"> Partner's 50% Interest in Newco </t>
  </si>
  <si>
    <t>SKH's Total (BPO+APO)</t>
  </si>
  <si>
    <t>2nd Investor Total (APO+BPO)</t>
  </si>
  <si>
    <t>20%-10%</t>
  </si>
  <si>
    <r>
      <rPr>
        <b/>
        <sz val="14"/>
        <color indexed="10"/>
        <rFont val="Arial"/>
        <family val="2"/>
      </rPr>
      <t>2nd Round Investor</t>
    </r>
    <r>
      <rPr>
        <b/>
        <sz val="14"/>
        <rFont val="Arial"/>
        <family val="2"/>
      </rPr>
      <t xml:space="preserve"> Economics</t>
    </r>
  </si>
  <si>
    <t>Phase I Follow On Prospects</t>
  </si>
  <si>
    <t>2nd Round Investor</t>
  </si>
  <si>
    <t>25% APO + Upfront Cash</t>
  </si>
  <si>
    <t>2nd Round Financing</t>
  </si>
  <si>
    <t>Follow On Prospects</t>
  </si>
  <si>
    <t>SKH Conventional Onshore E&amp;P</t>
  </si>
  <si>
    <t>Initial Partners and 2nd Round Investor Economics</t>
  </si>
  <si>
    <t>Prospect Group</t>
  </si>
  <si>
    <t xml:space="preserve">2nd Round Investor (DrillCo) </t>
  </si>
  <si>
    <t xml:space="preserve">2nd Round Investor </t>
  </si>
  <si>
    <t>25% APO WI</t>
  </si>
  <si>
    <t>Upside Case</t>
  </si>
  <si>
    <t>Downside Case</t>
  </si>
  <si>
    <t>80% BPO + 15% IRR and 20% APO</t>
  </si>
  <si>
    <t>20% BPO and 80% APO + 15% IRR</t>
  </si>
  <si>
    <t>Drillco</t>
  </si>
  <si>
    <t>25% APO Interest only</t>
  </si>
  <si>
    <t>Risk Adjusted Expected Profit</t>
  </si>
  <si>
    <t>Partner's ROI (EPV10 Profit / $35 MM)</t>
  </si>
  <si>
    <t>Future Value</t>
  </si>
  <si>
    <t xml:space="preserve">Partner's ROI </t>
  </si>
  <si>
    <t>Partner's ROI *</t>
  </si>
  <si>
    <t xml:space="preserve"> Partner's 50% Interest in Newco's </t>
  </si>
  <si>
    <t>100% BPO and 75% APO</t>
  </si>
  <si>
    <t>Std Ind Upfront cash + 1/4th Back-In</t>
  </si>
  <si>
    <t>Newco's Int after 2nd Financing</t>
  </si>
  <si>
    <t>Assets sold at end of Year #3</t>
  </si>
  <si>
    <t>Reimb Costs + 1/4th Back-In</t>
  </si>
  <si>
    <t>Stard Industry 1/3rd for 1/4th</t>
  </si>
  <si>
    <t>25% APO WI + Upfront Reimb</t>
  </si>
  <si>
    <t xml:space="preserve"> 1/4th Back-In Only</t>
  </si>
  <si>
    <r>
      <t xml:space="preserve">VALUATION OF </t>
    </r>
    <r>
      <rPr>
        <b/>
        <sz val="24"/>
        <color indexed="10"/>
        <rFont val="Arial"/>
        <family val="2"/>
      </rPr>
      <t>PARTNER'S 50% INTEREST</t>
    </r>
    <r>
      <rPr>
        <b/>
        <sz val="24"/>
        <rFont val="Arial"/>
        <family val="2"/>
      </rPr>
      <t xml:space="preserve"> IN NEWCO</t>
    </r>
  </si>
  <si>
    <t>20% BPO, 80% BPO APO+15% IRR</t>
  </si>
  <si>
    <t xml:space="preserve"> Upfront cash + 1/4th Back In</t>
  </si>
  <si>
    <t xml:space="preserve"> 1/4th Back In Only</t>
  </si>
  <si>
    <t>Net Value APO + 15% IRR</t>
  </si>
  <si>
    <r>
      <t>VALUATION OF</t>
    </r>
    <r>
      <rPr>
        <b/>
        <sz val="24"/>
        <color indexed="10"/>
        <rFont val="Arial"/>
        <family val="2"/>
      </rPr>
      <t xml:space="preserve"> PARTNER'S 50% INTEREST</t>
    </r>
    <r>
      <rPr>
        <b/>
        <sz val="24"/>
        <rFont val="Arial"/>
        <family val="2"/>
      </rPr>
      <t xml:space="preserve"> IN NEWCO</t>
    </r>
  </si>
  <si>
    <r>
      <t xml:space="preserve">VALUATION OF </t>
    </r>
    <r>
      <rPr>
        <b/>
        <sz val="24"/>
        <color indexed="10"/>
        <rFont val="Arial"/>
        <family val="2"/>
      </rPr>
      <t>2ND ROUND INVESTOR</t>
    </r>
  </si>
  <si>
    <r>
      <t xml:space="preserve">VALUATION OF 2ND </t>
    </r>
    <r>
      <rPr>
        <b/>
        <sz val="24"/>
        <color indexed="10"/>
        <rFont val="Arial"/>
        <family val="2"/>
      </rPr>
      <t>ROUND INVESTOR</t>
    </r>
  </si>
  <si>
    <t>Std Ind Upfront Cash + 1/4th Back-In</t>
  </si>
  <si>
    <t>Risked Future Value-Phase I Prospects</t>
  </si>
  <si>
    <t>Std Industry 1/3rd for 1/4th</t>
  </si>
  <si>
    <t xml:space="preserve"> Upfront cash + 1/4th Back-In</t>
  </si>
  <si>
    <t>25% APO WI + Cost Reimburse</t>
  </si>
  <si>
    <t>1/4th Back-In Only</t>
  </si>
  <si>
    <t>Newco's Int. after 2nd Financing</t>
  </si>
  <si>
    <t>Risked Future Value - Phase II Prospects</t>
  </si>
  <si>
    <t>Future Value - Follow On Prospects</t>
  </si>
  <si>
    <t>25% APO WI + Cost Reimbursement</t>
  </si>
  <si>
    <r>
      <t xml:space="preserve">*   ROI = Future Value Profit / Investment, for the </t>
    </r>
    <r>
      <rPr>
        <b/>
        <sz val="14"/>
        <color indexed="10"/>
        <rFont val="Arial"/>
        <family val="2"/>
      </rPr>
      <t>Partner's ROI we conservatively used ROI = PV10 Profit / Investment</t>
    </r>
  </si>
  <si>
    <t xml:space="preserve">Phase I Prospects </t>
  </si>
  <si>
    <t>FV</t>
  </si>
  <si>
    <t>Phase I Prospects</t>
  </si>
  <si>
    <t>2nd Round Investor's IRR</t>
  </si>
  <si>
    <t>2nd Round Investor's ROI</t>
  </si>
  <si>
    <t>FOLLOW ON PROSPECTS</t>
  </si>
  <si>
    <r>
      <t xml:space="preserve">VALUATION OF </t>
    </r>
    <r>
      <rPr>
        <b/>
        <sz val="24"/>
        <color indexed="10"/>
        <rFont val="Arial"/>
        <family val="2"/>
      </rPr>
      <t>PARTNER'S 50% INTEREST</t>
    </r>
    <r>
      <rPr>
        <b/>
        <sz val="24"/>
        <rFont val="Arial"/>
        <family val="2"/>
      </rPr>
      <t xml:space="preserve"> IN NEWCO AND </t>
    </r>
    <r>
      <rPr>
        <b/>
        <sz val="24"/>
        <color indexed="40"/>
        <rFont val="Arial"/>
        <family val="2"/>
      </rPr>
      <t>2ND ROUND INVESTOR'S INTEREST</t>
    </r>
  </si>
  <si>
    <t>2.50 $/MCF Flat and 40 $/BBl Flat</t>
  </si>
  <si>
    <t>25% APO only</t>
  </si>
  <si>
    <t>2.50 $/MCF and 40 $/BBl  (2021)</t>
  </si>
  <si>
    <t xml:space="preserve"> Escalated at 5 % per year to max 55 $/BBL and 3 $/MCF</t>
  </si>
  <si>
    <r>
      <t xml:space="preserve">*   ROI = Future Value Profit / Investment, for the </t>
    </r>
    <r>
      <rPr>
        <b/>
        <sz val="14"/>
        <color indexed="10"/>
        <rFont val="Arial"/>
        <family val="2"/>
      </rPr>
      <t>Partner's ROI we conservatively used ROI = PV10 Profit / Investment</t>
    </r>
  </si>
  <si>
    <r>
      <t xml:space="preserve">** IRR calculated from inv and annual cash flows, the </t>
    </r>
    <r>
      <rPr>
        <b/>
        <sz val="14"/>
        <color indexed="10"/>
        <rFont val="Arial"/>
        <family val="2"/>
      </rPr>
      <t>Partner's IRR is conservatively calculated from inv and PV10 cash flows</t>
    </r>
  </si>
  <si>
    <t>Initial Partner's and 2nd Round Investor's Economics</t>
  </si>
  <si>
    <r>
      <t xml:space="preserve">** IRR calculated from invest and annual cash flows, for </t>
    </r>
    <r>
      <rPr>
        <b/>
        <sz val="14"/>
        <color indexed="10"/>
        <rFont val="Arial"/>
        <family val="2"/>
      </rPr>
      <t>Partner's IRR we conservatively use invest and PV10 cash flows</t>
    </r>
  </si>
  <si>
    <r>
      <t xml:space="preserve">VALUATION OF </t>
    </r>
    <r>
      <rPr>
        <b/>
        <sz val="24"/>
        <color indexed="10"/>
        <rFont val="Arial"/>
        <family val="2"/>
      </rPr>
      <t>PARTNER'S 50% INTEREST</t>
    </r>
    <r>
      <rPr>
        <b/>
        <sz val="24"/>
        <rFont val="Arial"/>
        <family val="2"/>
      </rPr>
      <t xml:space="preserve"> IN NEWCO AND </t>
    </r>
    <r>
      <rPr>
        <b/>
        <sz val="24"/>
        <color indexed="40"/>
        <rFont val="Arial"/>
        <family val="2"/>
      </rPr>
      <t>SECOND ROUND INVESTOR'S</t>
    </r>
    <r>
      <rPr>
        <b/>
        <sz val="24"/>
        <rFont val="Arial"/>
        <family val="2"/>
      </rPr>
      <t xml:space="preserve"> INTEREST</t>
    </r>
  </si>
  <si>
    <t>$250 MM FINANCING PHASE I PROSPECTS</t>
  </si>
  <si>
    <t>$250 MM Phase I Prospects</t>
  </si>
  <si>
    <t>$250 MM 2nd Round Fund</t>
  </si>
  <si>
    <r>
      <t xml:space="preserve">** IRR calculated from inv and annual cash flows, the </t>
    </r>
    <r>
      <rPr>
        <b/>
        <sz val="14"/>
        <color indexed="10"/>
        <rFont val="Arial"/>
        <family val="2"/>
      </rPr>
      <t>Partner's IRR is conservatively from inv and PV10 cash flows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</si>
</sst>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;[Red]#,##0"/>
    <numFmt numFmtId="167" formatCode="&quot;$&quot;#,##0.00"/>
    <numFmt numFmtId="168" formatCode="0_);\(0\)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(* #,##0.000_);_(* \(#,##0.000\);_(* &quot;-&quot;???_);_(@_)"/>
    <numFmt numFmtId="173" formatCode="[$-409]dddd\,\ mmmm\ dd\,\ yyyy"/>
    <numFmt numFmtId="174" formatCode="[$-409]h:mm:ss\ AM/PM"/>
    <numFmt numFmtId="175" formatCode="0.00000"/>
    <numFmt numFmtId="176" formatCode="0.000000"/>
    <numFmt numFmtId="177" formatCode="_(* #,##0.0000_);_(* \(#,##0.0000\);_(* &quot;-&quot;_);_(@_)"/>
    <numFmt numFmtId="178" formatCode="#,##0.0;[Red]#,##0.0"/>
    <numFmt numFmtId="179" formatCode="#,##0.00;[Red]#,##0.00"/>
    <numFmt numFmtId="180" formatCode="#,##0.000;[Red]#,##0.0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_);\(#,##0.0\)"/>
    <numFmt numFmtId="191" formatCode="0;[Red]0"/>
    <numFmt numFmtId="192" formatCode="#,##0.000_);\(#,##0.000\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0.0000000000"/>
    <numFmt numFmtId="196" formatCode="0.000000000"/>
    <numFmt numFmtId="197" formatCode="0.00000000"/>
    <numFmt numFmtId="198" formatCode="_(* #,##0.0000_);_(* \(#,##0.0000\);_(* &quot;-&quot;????_);_(@_)"/>
    <numFmt numFmtId="199" formatCode="0.0%"/>
    <numFmt numFmtId="200" formatCode="0.0;[Red]0.0"/>
    <numFmt numFmtId="201" formatCode="_(* #,##0.0000_);_(* \(#,##0.0000\);_(* &quot;-&quot;??_);_(@_)"/>
    <numFmt numFmtId="202" formatCode="0.0E+00"/>
    <numFmt numFmtId="203" formatCode="0E+00"/>
    <numFmt numFmtId="204" formatCode="0.000E+00"/>
    <numFmt numFmtId="205" formatCode="0.00;[Red]0.00"/>
    <numFmt numFmtId="206" formatCode="0.00_);\(0.00\)"/>
    <numFmt numFmtId="207" formatCode="_(* #,##0.0_);_(* \(#,##0.0\);_(* &quot;-&quot;?_);_(@_)"/>
    <numFmt numFmtId="208" formatCode="0.0_);\(0.0\)"/>
    <numFmt numFmtId="209" formatCode="&quot;$&quot;#,##0"/>
    <numFmt numFmtId="210" formatCode="&quot;$&quot;#,##0.0"/>
    <numFmt numFmtId="211" formatCode="&quot;$&quot;#,##0.000"/>
    <numFmt numFmtId="212" formatCode="&quot;$&quot;#,##0.0000"/>
    <numFmt numFmtId="213" formatCode="#,##0.0"/>
    <numFmt numFmtId="214" formatCode="_(&quot;$&quot;* #,##0.000_);_(&quot;$&quot;* \(#,##0.000\);_(&quot;$&quot;* &quot;-&quot;???_);_(@_)"/>
  </numFmts>
  <fonts count="8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 val="single"/>
      <sz val="24"/>
      <name val="Arial"/>
      <family val="2"/>
    </font>
    <font>
      <b/>
      <sz val="24"/>
      <color indexed="10"/>
      <name val="Arial"/>
      <family val="2"/>
    </font>
    <font>
      <b/>
      <sz val="24"/>
      <color indexed="40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40"/>
      <name val="Arial"/>
      <family val="2"/>
    </font>
    <font>
      <b/>
      <sz val="16"/>
      <color indexed="40"/>
      <name val="Arial"/>
      <family val="2"/>
    </font>
    <font>
      <b/>
      <sz val="24"/>
      <color indexed="17"/>
      <name val="Arial"/>
      <family val="2"/>
    </font>
    <font>
      <b/>
      <sz val="14"/>
      <name val="Calibri"/>
      <family val="2"/>
    </font>
    <font>
      <sz val="24"/>
      <name val="Calibri"/>
      <family val="2"/>
    </font>
    <font>
      <b/>
      <sz val="14"/>
      <color indexed="17"/>
      <name val="Arial"/>
      <family val="2"/>
    </font>
    <font>
      <sz val="24"/>
      <color indexed="17"/>
      <name val="Arial"/>
      <family val="2"/>
    </font>
    <font>
      <sz val="20"/>
      <name val="Calibri"/>
      <family val="2"/>
    </font>
    <font>
      <sz val="14"/>
      <name val="Calibri"/>
      <family val="2"/>
    </font>
    <font>
      <b/>
      <sz val="20"/>
      <color indexed="17"/>
      <name val="Arial"/>
      <family val="2"/>
    </font>
    <font>
      <b/>
      <sz val="3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00B0F0"/>
      <name val="Arial"/>
      <family val="2"/>
    </font>
    <font>
      <b/>
      <sz val="16"/>
      <color rgb="FF00B0F0"/>
      <name val="Arial"/>
      <family val="2"/>
    </font>
    <font>
      <b/>
      <sz val="24"/>
      <color rgb="FF00B050"/>
      <name val="Arial"/>
      <family val="2"/>
    </font>
    <font>
      <b/>
      <sz val="14"/>
      <color rgb="FF00B050"/>
      <name val="Arial"/>
      <family val="2"/>
    </font>
    <font>
      <sz val="24"/>
      <color rgb="FF00B050"/>
      <name val="Arial"/>
      <family val="2"/>
    </font>
    <font>
      <b/>
      <sz val="36"/>
      <color theme="1"/>
      <name val="Arial"/>
      <family val="2"/>
    </font>
    <font>
      <b/>
      <sz val="20"/>
      <color rgb="FF00B050"/>
      <name val="Arial"/>
      <family val="2"/>
    </font>
    <font>
      <b/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left"/>
    </xf>
    <xf numFmtId="9" fontId="5" fillId="0" borderId="10" xfId="0" applyNumberFormat="1" applyFont="1" applyBorder="1" applyAlignment="1">
      <alignment/>
    </xf>
    <xf numFmtId="199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" fontId="69" fillId="0" borderId="14" xfId="0" applyNumberFormat="1" applyFont="1" applyBorder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69" fillId="0" borderId="17" xfId="0" applyFont="1" applyBorder="1" applyAlignment="1">
      <alignment horizontal="center"/>
    </xf>
    <xf numFmtId="18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9" fillId="0" borderId="19" xfId="0" applyFont="1" applyBorder="1" applyAlignment="1">
      <alignment horizontal="center"/>
    </xf>
    <xf numFmtId="18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8" borderId="0" xfId="0" applyFont="1" applyFill="1" applyAlignment="1">
      <alignment/>
    </xf>
    <xf numFmtId="0" fontId="4" fillId="8" borderId="0" xfId="0" applyFont="1" applyFill="1" applyAlignment="1">
      <alignment horizontal="right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9" fillId="0" borderId="22" xfId="0" applyFont="1" applyBorder="1" applyAlignment="1">
      <alignment horizontal="center"/>
    </xf>
    <xf numFmtId="18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3" xfId="0" applyBorder="1" applyAlignment="1">
      <alignment/>
    </xf>
    <xf numFmtId="1" fontId="5" fillId="0" borderId="23" xfId="0" applyNumberFormat="1" applyFont="1" applyBorder="1" applyAlignment="1">
      <alignment/>
    </xf>
    <xf numFmtId="1" fontId="69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9" fontId="69" fillId="0" borderId="10" xfId="0" applyNumberFormat="1" applyFont="1" applyBorder="1" applyAlignment="1">
      <alignment/>
    </xf>
    <xf numFmtId="9" fontId="69" fillId="0" borderId="23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2" fontId="69" fillId="0" borderId="23" xfId="0" applyNumberFormat="1" applyFont="1" applyBorder="1" applyAlignment="1">
      <alignment/>
    </xf>
    <xf numFmtId="184" fontId="69" fillId="0" borderId="15" xfId="0" applyNumberFormat="1" applyFont="1" applyBorder="1" applyAlignment="1">
      <alignment horizontal="center"/>
    </xf>
    <xf numFmtId="9" fontId="69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70" fillId="0" borderId="14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35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9" fontId="5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7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5" fillId="0" borderId="3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2" borderId="10" xfId="0" applyFont="1" applyFill="1" applyBorder="1" applyAlignment="1">
      <alignment/>
    </xf>
    <xf numFmtId="2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5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164" fontId="5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99" fontId="3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/>
    </xf>
    <xf numFmtId="1" fontId="72" fillId="0" borderId="23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72" fillId="0" borderId="10" xfId="0" applyNumberFormat="1" applyFont="1" applyBorder="1" applyAlignment="1">
      <alignment/>
    </xf>
    <xf numFmtId="9" fontId="72" fillId="0" borderId="23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2" fontId="7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3" xfId="0" applyFont="1" applyBorder="1" applyAlignment="1">
      <alignment horizontal="left"/>
    </xf>
    <xf numFmtId="10" fontId="5" fillId="0" borderId="13" xfId="0" applyNumberFormat="1" applyFont="1" applyBorder="1" applyAlignment="1">
      <alignment horizontal="left"/>
    </xf>
    <xf numFmtId="0" fontId="69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23" xfId="0" applyFont="1" applyBorder="1" applyAlignment="1">
      <alignment/>
    </xf>
    <xf numFmtId="164" fontId="5" fillId="34" borderId="10" xfId="0" applyNumberFormat="1" applyFont="1" applyFill="1" applyBorder="1" applyAlignment="1">
      <alignment horizontal="right"/>
    </xf>
    <xf numFmtId="164" fontId="5" fillId="35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1" fontId="69" fillId="0" borderId="0" xfId="0" applyNumberFormat="1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9" fontId="6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9" fillId="0" borderId="0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69" fillId="0" borderId="13" xfId="0" applyFont="1" applyBorder="1" applyAlignment="1">
      <alignment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/>
    </xf>
    <xf numFmtId="0" fontId="73" fillId="0" borderId="10" xfId="0" applyFont="1" applyBorder="1" applyAlignment="1">
      <alignment/>
    </xf>
    <xf numFmtId="9" fontId="73" fillId="0" borderId="10" xfId="0" applyNumberFormat="1" applyFont="1" applyBorder="1" applyAlignment="1">
      <alignment/>
    </xf>
    <xf numFmtId="9" fontId="73" fillId="0" borderId="23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2" fontId="73" fillId="0" borderId="23" xfId="0" applyNumberFormat="1" applyFont="1" applyBorder="1" applyAlignment="1">
      <alignment/>
    </xf>
    <xf numFmtId="0" fontId="73" fillId="0" borderId="13" xfId="0" applyFont="1" applyBorder="1" applyAlignment="1">
      <alignment horizontal="right"/>
    </xf>
    <xf numFmtId="0" fontId="74" fillId="0" borderId="10" xfId="0" applyFont="1" applyBorder="1" applyAlignment="1">
      <alignment/>
    </xf>
    <xf numFmtId="1" fontId="74" fillId="0" borderId="10" xfId="0" applyNumberFormat="1" applyFont="1" applyBorder="1" applyAlignment="1">
      <alignment/>
    </xf>
    <xf numFmtId="1" fontId="74" fillId="0" borderId="23" xfId="0" applyNumberFormat="1" applyFont="1" applyBorder="1" applyAlignment="1">
      <alignment/>
    </xf>
    <xf numFmtId="0" fontId="5" fillId="0" borderId="40" xfId="0" applyFont="1" applyFill="1" applyBorder="1" applyAlignment="1">
      <alignment/>
    </xf>
    <xf numFmtId="0" fontId="73" fillId="0" borderId="16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/>
    </xf>
    <xf numFmtId="164" fontId="5" fillId="0" borderId="41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69" fillId="0" borderId="0" xfId="0" applyNumberFormat="1" applyFont="1" applyBorder="1" applyAlignment="1">
      <alignment/>
    </xf>
    <xf numFmtId="0" fontId="69" fillId="0" borderId="13" xfId="0" applyFont="1" applyBorder="1" applyAlignment="1">
      <alignment horizontal="left"/>
    </xf>
    <xf numFmtId="0" fontId="5" fillId="0" borderId="31" xfId="0" applyFont="1" applyFill="1" applyBorder="1" applyAlignment="1">
      <alignment/>
    </xf>
    <xf numFmtId="0" fontId="75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5" fillId="34" borderId="0" xfId="0" applyFont="1" applyFill="1" applyBorder="1" applyAlignment="1">
      <alignment horizontal="center"/>
    </xf>
    <xf numFmtId="0" fontId="69" fillId="0" borderId="34" xfId="0" applyFont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" fontId="76" fillId="0" borderId="0" xfId="0" applyNumberFormat="1" applyFont="1" applyBorder="1" applyAlignment="1">
      <alignment horizontal="center"/>
    </xf>
    <xf numFmtId="4" fontId="76" fillId="0" borderId="0" xfId="0" applyNumberFormat="1" applyFont="1" applyBorder="1" applyAlignment="1">
      <alignment horizontal="center"/>
    </xf>
    <xf numFmtId="9" fontId="76" fillId="0" borderId="35" xfId="0" applyNumberFormat="1" applyFont="1" applyBorder="1" applyAlignment="1">
      <alignment horizontal="center"/>
    </xf>
    <xf numFmtId="2" fontId="76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1" fontId="70" fillId="0" borderId="0" xfId="0" applyNumberFormat="1" applyFont="1" applyBorder="1" applyAlignment="1">
      <alignment horizontal="center"/>
    </xf>
    <xf numFmtId="4" fontId="70" fillId="0" borderId="0" xfId="0" applyNumberFormat="1" applyFont="1" applyBorder="1" applyAlignment="1">
      <alignment horizontal="center"/>
    </xf>
    <xf numFmtId="9" fontId="70" fillId="0" borderId="3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42" xfId="0" applyFont="1" applyBorder="1" applyAlignment="1">
      <alignment/>
    </xf>
    <xf numFmtId="0" fontId="5" fillId="33" borderId="42" xfId="0" applyFont="1" applyFill="1" applyBorder="1" applyAlignment="1">
      <alignment horizontal="center"/>
    </xf>
    <xf numFmtId="9" fontId="5" fillId="0" borderId="42" xfId="0" applyNumberFormat="1" applyFont="1" applyBorder="1" applyAlignment="1">
      <alignment horizontal="center"/>
    </xf>
    <xf numFmtId="9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34" borderId="44" xfId="0" applyFont="1" applyFill="1" applyBorder="1" applyAlignment="1">
      <alignment horizontal="center"/>
    </xf>
    <xf numFmtId="0" fontId="69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36" xfId="0" applyFont="1" applyBorder="1" applyAlignment="1">
      <alignment/>
    </xf>
    <xf numFmtId="0" fontId="77" fillId="0" borderId="33" xfId="0" applyFont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/>
    </xf>
    <xf numFmtId="1" fontId="69" fillId="0" borderId="0" xfId="0" applyNumberFormat="1" applyFont="1" applyAlignment="1">
      <alignment horizontal="center"/>
    </xf>
    <xf numFmtId="2" fontId="69" fillId="0" borderId="0" xfId="0" applyNumberFormat="1" applyFont="1" applyAlignment="1">
      <alignment horizontal="center"/>
    </xf>
    <xf numFmtId="9" fontId="69" fillId="0" borderId="0" xfId="0" applyNumberFormat="1" applyFont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35" xfId="0" applyFont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80" fillId="0" borderId="4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35" xfId="0" applyFont="1" applyBorder="1" applyAlignment="1" quotePrefix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0" fillId="0" borderId="60" xfId="0" applyFont="1" applyBorder="1" applyAlignment="1">
      <alignment horizontal="center"/>
    </xf>
    <xf numFmtId="0" fontId="75" fillId="0" borderId="61" xfId="0" applyFont="1" applyBorder="1" applyAlignment="1">
      <alignment horizontal="center"/>
    </xf>
    <xf numFmtId="0" fontId="79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3" borderId="65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ul_Sigmund\35%20MM%20Presentation\35%20MM%20with%202.50%20Flat%20gas%2040%20oil%20flat\Investor%20Model%20Partner%20Spreadsheet%20250%20MM%20w%206%20CP%20Escalated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ummary by Inv type"/>
      <sheetName val="Phase I Prospects Both"/>
      <sheetName val="Follow Ons both"/>
      <sheetName val="Follow Ons both New"/>
      <sheetName val="Partner Phase I Prospects )"/>
      <sheetName val="Investor Phase I Prospects"/>
      <sheetName val="Partner Follow Ons"/>
      <sheetName val="Investor Follow on Prospects "/>
      <sheetName val="Phase II Prospects"/>
      <sheetName val="Investor Phase II  Prospects"/>
      <sheetName val="Summary Partner Inv"/>
    </sheetNames>
    <sheetDataSet>
      <sheetData sheetId="4">
        <row r="19">
          <cell r="D19">
            <v>3424.2000000000003</v>
          </cell>
          <cell r="E19">
            <v>1683.4</v>
          </cell>
          <cell r="V19">
            <v>1095.375</v>
          </cell>
          <cell r="W19">
            <v>551.375</v>
          </cell>
        </row>
        <row r="29">
          <cell r="E29">
            <v>2.7616138749427983</v>
          </cell>
          <cell r="W29">
            <v>1.6137959848335455</v>
          </cell>
        </row>
        <row r="30">
          <cell r="E30">
            <v>48.09714285714286</v>
          </cell>
          <cell r="W30">
            <v>15.753571428571428</v>
          </cell>
        </row>
      </sheetData>
      <sheetData sheetId="5">
        <row r="22">
          <cell r="D22">
            <v>2059.6000000000004</v>
          </cell>
          <cell r="E22">
            <v>1189.2</v>
          </cell>
          <cell r="V22">
            <v>6717.25</v>
          </cell>
          <cell r="W22">
            <v>3453.25</v>
          </cell>
        </row>
        <row r="30">
          <cell r="D30">
            <v>1.1538815761677537</v>
          </cell>
          <cell r="V30">
            <v>2.1217670159800983</v>
          </cell>
        </row>
        <row r="31">
          <cell r="D31">
            <v>8.238400000000002</v>
          </cell>
          <cell r="V31">
            <v>26.869</v>
          </cell>
        </row>
      </sheetData>
      <sheetData sheetId="6">
        <row r="19">
          <cell r="D19">
            <v>2065.0737500000005</v>
          </cell>
          <cell r="E19">
            <v>754.2737500000001</v>
          </cell>
          <cell r="V19">
            <v>651.15</v>
          </cell>
          <cell r="W19">
            <v>241.525</v>
          </cell>
        </row>
        <row r="29">
          <cell r="E29">
            <v>4.41749471271834</v>
          </cell>
          <cell r="W29">
            <v>2.6760333891161983</v>
          </cell>
        </row>
        <row r="30">
          <cell r="E30">
            <v>141.78078007518798</v>
          </cell>
          <cell r="W30">
            <v>45.399436090225564</v>
          </cell>
        </row>
      </sheetData>
      <sheetData sheetId="7">
        <row r="22">
          <cell r="D22">
            <v>1138.1525000000001</v>
          </cell>
          <cell r="E22">
            <v>482.7525</v>
          </cell>
          <cell r="V22">
            <v>3966</v>
          </cell>
          <cell r="W22">
            <v>1508.25</v>
          </cell>
        </row>
        <row r="30">
          <cell r="D30">
            <v>1.6017504119899266</v>
          </cell>
          <cell r="V30">
            <v>2.864001935817037</v>
          </cell>
        </row>
        <row r="31">
          <cell r="D31">
            <v>15.175366666666669</v>
          </cell>
          <cell r="V31">
            <v>52.88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75" zoomScaleNormal="75" zoomScalePageLayoutView="0" workbookViewId="0" topLeftCell="A4">
      <selection activeCell="P13" sqref="P13"/>
    </sheetView>
  </sheetViews>
  <sheetFormatPr defaultColWidth="9.140625" defaultRowHeight="12.75"/>
  <cols>
    <col min="1" max="1" width="31.8515625" style="0" customWidth="1"/>
    <col min="2" max="2" width="8.28125" style="0" customWidth="1"/>
    <col min="3" max="7" width="9.7109375" style="0" customWidth="1"/>
    <col min="8" max="8" width="8.28125" style="0" customWidth="1"/>
    <col min="9" max="13" width="9.7109375" style="0" customWidth="1"/>
    <col min="14" max="14" width="8.28125" style="0" customWidth="1"/>
    <col min="15" max="19" width="9.7109375" style="0" customWidth="1"/>
    <col min="20" max="20" width="8.28125" style="0" customWidth="1"/>
    <col min="21" max="25" width="9.7109375" style="0" customWidth="1"/>
  </cols>
  <sheetData>
    <row r="1" spans="1:25" ht="60">
      <c r="A1" s="286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8"/>
    </row>
    <row r="2" spans="1:25" ht="45">
      <c r="A2" s="289" t="s">
        <v>135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1"/>
    </row>
    <row r="3" spans="1:25" ht="30.75" thickBot="1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5"/>
    </row>
    <row r="4" spans="1:27" ht="30">
      <c r="A4" s="118"/>
      <c r="B4" s="226"/>
      <c r="C4" s="306" t="s">
        <v>129</v>
      </c>
      <c r="D4" s="307"/>
      <c r="E4" s="307"/>
      <c r="F4" s="307"/>
      <c r="G4" s="307"/>
      <c r="H4" s="307"/>
      <c r="I4" s="307"/>
      <c r="J4" s="307"/>
      <c r="K4" s="307"/>
      <c r="L4" s="307"/>
      <c r="M4" s="308"/>
      <c r="N4" s="227"/>
      <c r="O4" s="294" t="s">
        <v>131</v>
      </c>
      <c r="P4" s="295"/>
      <c r="Q4" s="295"/>
      <c r="R4" s="295"/>
      <c r="S4" s="295"/>
      <c r="T4" s="295"/>
      <c r="U4" s="295"/>
      <c r="V4" s="295"/>
      <c r="W4" s="295"/>
      <c r="X4" s="295"/>
      <c r="Y4" s="296"/>
      <c r="Z4" s="211"/>
      <c r="AA4" s="211"/>
    </row>
    <row r="5" spans="1:27" ht="30.75" thickBot="1">
      <c r="A5" s="228"/>
      <c r="B5" s="229"/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30"/>
      <c r="N5" s="227"/>
      <c r="O5" s="297" t="s">
        <v>132</v>
      </c>
      <c r="P5" s="298"/>
      <c r="Q5" s="298"/>
      <c r="R5" s="298"/>
      <c r="S5" s="298"/>
      <c r="T5" s="298"/>
      <c r="U5" s="298"/>
      <c r="V5" s="298"/>
      <c r="W5" s="298"/>
      <c r="X5" s="298"/>
      <c r="Y5" s="299"/>
      <c r="Z5" s="211"/>
      <c r="AA5" s="211"/>
    </row>
    <row r="6" spans="1:25" ht="27" thickBot="1">
      <c r="A6" s="115" t="s">
        <v>83</v>
      </c>
      <c r="B6" s="231"/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3"/>
      <c r="N6" s="227"/>
      <c r="O6" s="279"/>
      <c r="P6" s="280"/>
      <c r="Q6" s="280"/>
      <c r="R6" s="280"/>
      <c r="S6" s="280"/>
      <c r="T6" s="280"/>
      <c r="U6" s="280"/>
      <c r="V6" s="280"/>
      <c r="W6" s="280"/>
      <c r="X6" s="280"/>
      <c r="Y6" s="281"/>
    </row>
    <row r="7" spans="1:25" ht="26.25">
      <c r="A7" s="114" t="s">
        <v>87</v>
      </c>
      <c r="B7" s="95"/>
      <c r="C7" s="282" t="s">
        <v>94</v>
      </c>
      <c r="D7" s="283"/>
      <c r="E7" s="283"/>
      <c r="F7" s="283"/>
      <c r="G7" s="283"/>
      <c r="H7" s="95"/>
      <c r="I7" s="284" t="s">
        <v>80</v>
      </c>
      <c r="J7" s="284"/>
      <c r="K7" s="284"/>
      <c r="L7" s="284"/>
      <c r="M7" s="285"/>
      <c r="N7" s="213"/>
      <c r="O7" s="282" t="s">
        <v>94</v>
      </c>
      <c r="P7" s="283"/>
      <c r="Q7" s="283"/>
      <c r="R7" s="283"/>
      <c r="S7" s="283"/>
      <c r="T7" s="95"/>
      <c r="U7" s="284" t="s">
        <v>80</v>
      </c>
      <c r="V7" s="284"/>
      <c r="W7" s="284"/>
      <c r="X7" s="284"/>
      <c r="Y7" s="285"/>
    </row>
    <row r="8" spans="1:25" ht="18">
      <c r="A8" s="116"/>
      <c r="B8" s="97"/>
      <c r="C8" s="275" t="s">
        <v>86</v>
      </c>
      <c r="D8" s="276"/>
      <c r="E8" s="276"/>
      <c r="F8" s="276"/>
      <c r="G8" s="276"/>
      <c r="H8" s="97"/>
      <c r="I8" s="292" t="s">
        <v>85</v>
      </c>
      <c r="J8" s="292"/>
      <c r="K8" s="292"/>
      <c r="L8" s="292"/>
      <c r="M8" s="293"/>
      <c r="N8" s="213"/>
      <c r="O8" s="275" t="s">
        <v>86</v>
      </c>
      <c r="P8" s="276"/>
      <c r="Q8" s="276"/>
      <c r="R8" s="276"/>
      <c r="S8" s="276"/>
      <c r="T8" s="97"/>
      <c r="U8" s="292" t="s">
        <v>85</v>
      </c>
      <c r="V8" s="292"/>
      <c r="W8" s="292"/>
      <c r="X8" s="292"/>
      <c r="Y8" s="293"/>
    </row>
    <row r="9" spans="1:25" ht="18">
      <c r="A9" s="243"/>
      <c r="B9" s="97"/>
      <c r="C9" s="102"/>
      <c r="D9" s="97"/>
      <c r="E9" s="97"/>
      <c r="F9" s="97"/>
      <c r="G9" s="97"/>
      <c r="H9" s="97"/>
      <c r="I9" s="97"/>
      <c r="J9" s="97"/>
      <c r="K9" s="97"/>
      <c r="L9" s="97"/>
      <c r="M9" s="98"/>
      <c r="N9" s="213"/>
      <c r="O9" s="102"/>
      <c r="P9" s="97"/>
      <c r="Q9" s="97"/>
      <c r="R9" s="97"/>
      <c r="S9" s="97"/>
      <c r="T9" s="97"/>
      <c r="U9" s="97"/>
      <c r="V9" s="97"/>
      <c r="W9" s="97"/>
      <c r="X9" s="97"/>
      <c r="Y9" s="98"/>
    </row>
    <row r="10" spans="1:25" ht="18">
      <c r="A10" s="99" t="s">
        <v>79</v>
      </c>
      <c r="B10" s="97"/>
      <c r="C10" s="220" t="s">
        <v>14</v>
      </c>
      <c r="D10" s="221" t="s">
        <v>123</v>
      </c>
      <c r="E10" s="221" t="s">
        <v>1</v>
      </c>
      <c r="F10" s="221" t="s">
        <v>6</v>
      </c>
      <c r="G10" s="221" t="s">
        <v>0</v>
      </c>
      <c r="H10" s="186"/>
      <c r="I10" s="100" t="s">
        <v>14</v>
      </c>
      <c r="J10" s="100" t="s">
        <v>123</v>
      </c>
      <c r="K10" s="100" t="s">
        <v>1</v>
      </c>
      <c r="L10" s="100" t="s">
        <v>6</v>
      </c>
      <c r="M10" s="101" t="s">
        <v>0</v>
      </c>
      <c r="N10" s="213"/>
      <c r="O10" s="268" t="s">
        <v>14</v>
      </c>
      <c r="P10" s="269" t="s">
        <v>123</v>
      </c>
      <c r="Q10" s="269" t="s">
        <v>1</v>
      </c>
      <c r="R10" s="269" t="s">
        <v>6</v>
      </c>
      <c r="S10" s="269" t="s">
        <v>0</v>
      </c>
      <c r="T10" s="186"/>
      <c r="U10" s="100" t="s">
        <v>14</v>
      </c>
      <c r="V10" s="100" t="s">
        <v>123</v>
      </c>
      <c r="W10" s="100" t="s">
        <v>1</v>
      </c>
      <c r="X10" s="100" t="s">
        <v>6</v>
      </c>
      <c r="Y10" s="101" t="s">
        <v>0</v>
      </c>
    </row>
    <row r="11" spans="1:25" ht="18">
      <c r="A11" s="243"/>
      <c r="B11" s="97"/>
      <c r="C11" s="220" t="s">
        <v>4</v>
      </c>
      <c r="D11" s="221" t="s">
        <v>4</v>
      </c>
      <c r="E11" s="221" t="s">
        <v>4</v>
      </c>
      <c r="F11" s="221" t="s">
        <v>3</v>
      </c>
      <c r="G11" s="221" t="s">
        <v>2</v>
      </c>
      <c r="H11" s="186"/>
      <c r="I11" s="100" t="s">
        <v>4</v>
      </c>
      <c r="J11" s="100" t="s">
        <v>4</v>
      </c>
      <c r="K11" s="100" t="s">
        <v>4</v>
      </c>
      <c r="L11" s="100" t="s">
        <v>3</v>
      </c>
      <c r="M11" s="101" t="s">
        <v>2</v>
      </c>
      <c r="N11" s="213"/>
      <c r="O11" s="268" t="s">
        <v>4</v>
      </c>
      <c r="P11" s="269" t="s">
        <v>4</v>
      </c>
      <c r="Q11" s="269" t="s">
        <v>4</v>
      </c>
      <c r="R11" s="269" t="s">
        <v>3</v>
      </c>
      <c r="S11" s="269" t="s">
        <v>2</v>
      </c>
      <c r="T11" s="186"/>
      <c r="U11" s="100" t="s">
        <v>4</v>
      </c>
      <c r="V11" s="100" t="s">
        <v>4</v>
      </c>
      <c r="W11" s="100" t="s">
        <v>4</v>
      </c>
      <c r="X11" s="100" t="s">
        <v>3</v>
      </c>
      <c r="Y11" s="101" t="s">
        <v>2</v>
      </c>
    </row>
    <row r="12" spans="1:25" ht="18">
      <c r="A12" s="243"/>
      <c r="B12" s="97"/>
      <c r="C12" s="102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213"/>
      <c r="O12" s="102"/>
      <c r="P12" s="97"/>
      <c r="Q12" s="97"/>
      <c r="R12" s="97"/>
      <c r="S12" s="97"/>
      <c r="T12" s="97"/>
      <c r="U12" s="97"/>
      <c r="V12" s="97"/>
      <c r="W12" s="97"/>
      <c r="X12" s="97"/>
      <c r="Y12" s="98"/>
    </row>
    <row r="13" spans="1:25" ht="18">
      <c r="A13" s="102" t="s">
        <v>124</v>
      </c>
      <c r="B13" s="97"/>
      <c r="C13" s="219">
        <v>40</v>
      </c>
      <c r="D13" s="187">
        <f>'Partner Phase I Prospects )'!$D$19</f>
        <v>2817</v>
      </c>
      <c r="E13" s="183">
        <f>'Partner Phase I Prospects )'!$E$19</f>
        <v>1394.2</v>
      </c>
      <c r="F13" s="183">
        <f>'Partner Phase I Prospects )'!$E$30</f>
        <v>34.855000000000004</v>
      </c>
      <c r="G13" s="185">
        <f>'Partner Phase I Prospects )'!$E$29</f>
        <v>2.3833054554898117</v>
      </c>
      <c r="H13" s="104"/>
      <c r="I13" s="103">
        <v>250</v>
      </c>
      <c r="J13" s="103">
        <f>'Investor Phase I Prospects'!$D$22</f>
        <v>1756</v>
      </c>
      <c r="K13" s="103">
        <f>'Investor Phase I Prospects'!$E$22</f>
        <v>1044.6</v>
      </c>
      <c r="L13" s="181">
        <f>'Investor Phase I Prospects'!$D$31</f>
        <v>7.024</v>
      </c>
      <c r="M13" s="106">
        <f>'Investor Phase I Prospects'!$D$30</f>
        <v>1.0504395771420492</v>
      </c>
      <c r="N13" s="213"/>
      <c r="O13" s="219">
        <v>40</v>
      </c>
      <c r="P13" s="187">
        <f>'[1]Partner Phase I Prospects )'!$D$19</f>
        <v>3424.2000000000003</v>
      </c>
      <c r="Q13" s="183">
        <f>'[1]Partner Phase I Prospects )'!$E$19</f>
        <v>1683.4</v>
      </c>
      <c r="R13" s="183">
        <f>'[1]Partner Phase I Prospects )'!$E$30</f>
        <v>48.09714285714286</v>
      </c>
      <c r="S13" s="185">
        <f>'[1]Partner Phase I Prospects )'!$E$29</f>
        <v>2.7616138749427983</v>
      </c>
      <c r="T13" s="104"/>
      <c r="U13" s="103">
        <v>250</v>
      </c>
      <c r="V13" s="103">
        <f>'[1]Investor Phase I Prospects'!$D$22</f>
        <v>2059.6000000000004</v>
      </c>
      <c r="W13" s="103">
        <f>'[1]Investor Phase I Prospects'!$E$22</f>
        <v>1189.2</v>
      </c>
      <c r="X13" s="181">
        <f>'[1]Investor Phase I Prospects'!$D$31</f>
        <v>8.238400000000002</v>
      </c>
      <c r="Y13" s="106">
        <f>'[1]Investor Phase I Prospects'!$D$30</f>
        <v>1.1538815761677537</v>
      </c>
    </row>
    <row r="14" spans="1:25" ht="18">
      <c r="A14" s="243"/>
      <c r="B14" s="97"/>
      <c r="C14" s="102"/>
      <c r="D14" s="97"/>
      <c r="E14" s="103"/>
      <c r="F14" s="103"/>
      <c r="G14" s="105"/>
      <c r="H14" s="104"/>
      <c r="I14" s="103"/>
      <c r="J14" s="103"/>
      <c r="K14" s="103"/>
      <c r="L14" s="104"/>
      <c r="M14" s="106"/>
      <c r="N14" s="213"/>
      <c r="O14" s="102"/>
      <c r="P14" s="97"/>
      <c r="Q14" s="103"/>
      <c r="R14" s="103"/>
      <c r="S14" s="105"/>
      <c r="T14" s="104"/>
      <c r="U14" s="103"/>
      <c r="V14" s="103"/>
      <c r="W14" s="103"/>
      <c r="X14" s="104"/>
      <c r="Y14" s="106"/>
    </row>
    <row r="15" spans="1:25" ht="18.75" thickBot="1">
      <c r="A15" s="107" t="s">
        <v>76</v>
      </c>
      <c r="B15" s="108"/>
      <c r="C15" s="107">
        <v>5</v>
      </c>
      <c r="D15" s="188">
        <f>'Partner Follow Ons'!$D$19</f>
        <v>1706.0500000000002</v>
      </c>
      <c r="E15" s="109">
        <f>'Partner Follow Ons'!$E$19</f>
        <v>633.25</v>
      </c>
      <c r="F15" s="109">
        <f>'Partner Follow Ons'!$E$30</f>
        <v>119.03195488721803</v>
      </c>
      <c r="G15" s="110">
        <f>'Partner Follow Ons'!$E$29</f>
        <v>4.194615955817978</v>
      </c>
      <c r="H15" s="111"/>
      <c r="I15" s="109">
        <v>100</v>
      </c>
      <c r="J15" s="109">
        <f>'Investor Follow on Prospects '!$D$22</f>
        <v>994.2</v>
      </c>
      <c r="K15" s="109">
        <f>'Investor Follow on Prospects '!$E$22</f>
        <v>457.8</v>
      </c>
      <c r="L15" s="111">
        <f>'Investor Follow on Prospects '!$D$31</f>
        <v>9.942</v>
      </c>
      <c r="M15" s="112">
        <f>'Investor Follow on Prospects '!$D$30</f>
        <v>1.2825012214794116</v>
      </c>
      <c r="N15" s="213"/>
      <c r="O15" s="107">
        <v>5</v>
      </c>
      <c r="P15" s="188">
        <f>'[1]Partner Follow Ons'!$D$19</f>
        <v>2065.0737500000005</v>
      </c>
      <c r="Q15" s="109">
        <f>'[1]Partner Follow Ons'!$E$19</f>
        <v>754.2737500000001</v>
      </c>
      <c r="R15" s="109">
        <f>'[1]Partner Follow Ons'!$E$30</f>
        <v>141.78078007518798</v>
      </c>
      <c r="S15" s="110">
        <f>'[1]Partner Follow Ons'!$E$29</f>
        <v>4.41749471271834</v>
      </c>
      <c r="T15" s="111"/>
      <c r="U15" s="109">
        <v>75</v>
      </c>
      <c r="V15" s="109">
        <f>'[1]Investor Follow on Prospects '!$D$22</f>
        <v>1138.1525000000001</v>
      </c>
      <c r="W15" s="109">
        <f>'[1]Investor Follow on Prospects '!$E$22</f>
        <v>482.7525</v>
      </c>
      <c r="X15" s="111">
        <f>'[1]Investor Follow on Prospects '!$D$31</f>
        <v>15.175366666666669</v>
      </c>
      <c r="Y15" s="112">
        <f>'[1]Investor Follow on Prospects '!$D$30</f>
        <v>1.6017504119899266</v>
      </c>
    </row>
    <row r="16" spans="1:25" ht="49.5" customHeight="1" thickBot="1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</row>
    <row r="17" spans="1:25" ht="27" thickBot="1">
      <c r="A17" s="115" t="s">
        <v>84</v>
      </c>
      <c r="B17" s="250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13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9"/>
    </row>
    <row r="18" spans="1:25" ht="26.25">
      <c r="A18" s="114" t="s">
        <v>130</v>
      </c>
      <c r="B18" s="244"/>
      <c r="C18" s="282" t="s">
        <v>94</v>
      </c>
      <c r="D18" s="283"/>
      <c r="E18" s="283"/>
      <c r="F18" s="283"/>
      <c r="G18" s="283"/>
      <c r="H18" s="95"/>
      <c r="I18" s="284" t="s">
        <v>81</v>
      </c>
      <c r="J18" s="284"/>
      <c r="K18" s="284"/>
      <c r="L18" s="284"/>
      <c r="M18" s="285"/>
      <c r="N18" s="213"/>
      <c r="O18" s="282" t="s">
        <v>94</v>
      </c>
      <c r="P18" s="283"/>
      <c r="Q18" s="283"/>
      <c r="R18" s="283"/>
      <c r="S18" s="283"/>
      <c r="T18" s="95"/>
      <c r="U18" s="284" t="s">
        <v>81</v>
      </c>
      <c r="V18" s="284"/>
      <c r="W18" s="284"/>
      <c r="X18" s="284"/>
      <c r="Y18" s="285"/>
    </row>
    <row r="19" spans="1:25" ht="18">
      <c r="A19" s="116"/>
      <c r="B19" s="97"/>
      <c r="C19" s="275" t="s">
        <v>82</v>
      </c>
      <c r="D19" s="276"/>
      <c r="E19" s="276"/>
      <c r="F19" s="276"/>
      <c r="G19" s="276"/>
      <c r="H19" s="104"/>
      <c r="I19" s="277" t="s">
        <v>95</v>
      </c>
      <c r="J19" s="277"/>
      <c r="K19" s="277"/>
      <c r="L19" s="277"/>
      <c r="M19" s="278"/>
      <c r="N19" s="213"/>
      <c r="O19" s="275" t="s">
        <v>82</v>
      </c>
      <c r="P19" s="276"/>
      <c r="Q19" s="276"/>
      <c r="R19" s="276"/>
      <c r="S19" s="276"/>
      <c r="T19" s="104"/>
      <c r="U19" s="277" t="s">
        <v>95</v>
      </c>
      <c r="V19" s="277"/>
      <c r="W19" s="277"/>
      <c r="X19" s="277"/>
      <c r="Y19" s="278"/>
    </row>
    <row r="20" spans="1:25" ht="18">
      <c r="A20" s="243"/>
      <c r="B20" s="97"/>
      <c r="C20" s="102"/>
      <c r="D20" s="97"/>
      <c r="E20" s="103"/>
      <c r="F20" s="104"/>
      <c r="G20" s="105"/>
      <c r="H20" s="104"/>
      <c r="I20" s="104"/>
      <c r="J20" s="104"/>
      <c r="K20" s="103"/>
      <c r="L20" s="104"/>
      <c r="M20" s="106"/>
      <c r="N20" s="213"/>
      <c r="O20" s="102"/>
      <c r="P20" s="97"/>
      <c r="Q20" s="103"/>
      <c r="R20" s="104"/>
      <c r="S20" s="105"/>
      <c r="T20" s="104"/>
      <c r="U20" s="104"/>
      <c r="V20" s="104"/>
      <c r="W20" s="103"/>
      <c r="X20" s="104"/>
      <c r="Y20" s="106"/>
    </row>
    <row r="21" spans="1:25" ht="18">
      <c r="A21" s="99" t="s">
        <v>79</v>
      </c>
      <c r="B21" s="97"/>
      <c r="C21" s="220" t="s">
        <v>14</v>
      </c>
      <c r="D21" s="221" t="s">
        <v>123</v>
      </c>
      <c r="E21" s="221" t="s">
        <v>1</v>
      </c>
      <c r="F21" s="221" t="s">
        <v>6</v>
      </c>
      <c r="G21" s="221" t="s">
        <v>0</v>
      </c>
      <c r="H21" s="186"/>
      <c r="I21" s="100" t="s">
        <v>14</v>
      </c>
      <c r="J21" s="100" t="s">
        <v>123</v>
      </c>
      <c r="K21" s="100" t="s">
        <v>1</v>
      </c>
      <c r="L21" s="100" t="s">
        <v>6</v>
      </c>
      <c r="M21" s="101" t="s">
        <v>0</v>
      </c>
      <c r="N21" s="213"/>
      <c r="O21" s="268" t="s">
        <v>14</v>
      </c>
      <c r="P21" s="269" t="s">
        <v>123</v>
      </c>
      <c r="Q21" s="269" t="s">
        <v>1</v>
      </c>
      <c r="R21" s="269" t="s">
        <v>6</v>
      </c>
      <c r="S21" s="269" t="s">
        <v>0</v>
      </c>
      <c r="T21" s="186"/>
      <c r="U21" s="100" t="s">
        <v>14</v>
      </c>
      <c r="V21" s="100" t="s">
        <v>123</v>
      </c>
      <c r="W21" s="100" t="s">
        <v>1</v>
      </c>
      <c r="X21" s="100" t="s">
        <v>6</v>
      </c>
      <c r="Y21" s="101" t="s">
        <v>0</v>
      </c>
    </row>
    <row r="22" spans="1:25" ht="18">
      <c r="A22" s="243"/>
      <c r="B22" s="97"/>
      <c r="C22" s="220" t="s">
        <v>4</v>
      </c>
      <c r="D22" s="221" t="s">
        <v>4</v>
      </c>
      <c r="E22" s="221" t="s">
        <v>4</v>
      </c>
      <c r="F22" s="221" t="s">
        <v>3</v>
      </c>
      <c r="G22" s="221" t="s">
        <v>2</v>
      </c>
      <c r="H22" s="186"/>
      <c r="I22" s="100" t="s">
        <v>4</v>
      </c>
      <c r="J22" s="100" t="s">
        <v>4</v>
      </c>
      <c r="K22" s="100" t="s">
        <v>4</v>
      </c>
      <c r="L22" s="100" t="s">
        <v>3</v>
      </c>
      <c r="M22" s="101" t="s">
        <v>2</v>
      </c>
      <c r="N22" s="213"/>
      <c r="O22" s="268" t="s">
        <v>4</v>
      </c>
      <c r="P22" s="269" t="s">
        <v>4</v>
      </c>
      <c r="Q22" s="269" t="s">
        <v>4</v>
      </c>
      <c r="R22" s="269" t="s">
        <v>3</v>
      </c>
      <c r="S22" s="269" t="s">
        <v>2</v>
      </c>
      <c r="T22" s="186"/>
      <c r="U22" s="100" t="s">
        <v>4</v>
      </c>
      <c r="V22" s="100" t="s">
        <v>4</v>
      </c>
      <c r="W22" s="100" t="s">
        <v>4</v>
      </c>
      <c r="X22" s="100" t="s">
        <v>3</v>
      </c>
      <c r="Y22" s="101" t="s">
        <v>2</v>
      </c>
    </row>
    <row r="23" spans="1:25" ht="18">
      <c r="A23" s="243"/>
      <c r="B23" s="97"/>
      <c r="C23" s="102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213"/>
      <c r="O23" s="102"/>
      <c r="P23" s="97"/>
      <c r="Q23" s="97"/>
      <c r="R23" s="97"/>
      <c r="S23" s="97"/>
      <c r="T23" s="97"/>
      <c r="U23" s="97"/>
      <c r="V23" s="97"/>
      <c r="W23" s="97"/>
      <c r="X23" s="97"/>
      <c r="Y23" s="98"/>
    </row>
    <row r="24" spans="1:25" ht="18">
      <c r="A24" s="102" t="s">
        <v>124</v>
      </c>
      <c r="B24" s="97"/>
      <c r="C24" s="219">
        <v>40</v>
      </c>
      <c r="D24" s="187">
        <f>'Partner Phase I Prospects )'!$V$19</f>
        <v>908.125</v>
      </c>
      <c r="E24" s="183">
        <f>'Partner Phase I Prospects )'!$W$19</f>
        <v>463.5</v>
      </c>
      <c r="F24" s="184">
        <f>'Partner Phase I Prospects )'!$W$30</f>
        <v>11.5875</v>
      </c>
      <c r="G24" s="185">
        <f>'Partner Phase I Prospects )'!$W$29</f>
        <v>1.3651148140290692</v>
      </c>
      <c r="H24" s="104"/>
      <c r="I24" s="103">
        <v>250</v>
      </c>
      <c r="J24" s="103">
        <f>'Investor Phase I Prospects'!$V$22</f>
        <v>5578.75</v>
      </c>
      <c r="K24" s="103">
        <f>'Investor Phase I Prospects'!$W$22</f>
        <v>2911</v>
      </c>
      <c r="L24" s="104">
        <f>'Investor Phase I Prospects'!$V$31</f>
        <v>22.315</v>
      </c>
      <c r="M24" s="106">
        <f>'Investor Phase I Prospects'!$V$30</f>
        <v>1.9462652864642327</v>
      </c>
      <c r="N24" s="213"/>
      <c r="O24" s="219">
        <v>40</v>
      </c>
      <c r="P24" s="187">
        <f>'[1]Partner Phase I Prospects )'!$V$19</f>
        <v>1095.375</v>
      </c>
      <c r="Q24" s="183">
        <f>'[1]Partner Phase I Prospects )'!$W$19</f>
        <v>551.375</v>
      </c>
      <c r="R24" s="184">
        <f>'[1]Partner Phase I Prospects )'!$W$30</f>
        <v>15.753571428571428</v>
      </c>
      <c r="S24" s="185">
        <f>'[1]Partner Phase I Prospects )'!$W$29</f>
        <v>1.6137959848335455</v>
      </c>
      <c r="T24" s="104"/>
      <c r="U24" s="103">
        <v>250</v>
      </c>
      <c r="V24" s="103">
        <f>'[1]Investor Phase I Prospects'!$V$22</f>
        <v>6717.25</v>
      </c>
      <c r="W24" s="103">
        <f>'[1]Investor Phase I Prospects'!$W$22</f>
        <v>3453.25</v>
      </c>
      <c r="X24" s="104">
        <f>'[1]Investor Phase I Prospects'!$V$31</f>
        <v>26.869</v>
      </c>
      <c r="Y24" s="106">
        <f>'[1]Investor Phase I Prospects'!$V$30</f>
        <v>2.1217670159800983</v>
      </c>
    </row>
    <row r="25" spans="1:25" ht="18">
      <c r="A25" s="243"/>
      <c r="B25" s="97"/>
      <c r="C25" s="102"/>
      <c r="D25" s="97"/>
      <c r="E25" s="103"/>
      <c r="F25" s="103"/>
      <c r="G25" s="105"/>
      <c r="H25" s="104"/>
      <c r="I25" s="103"/>
      <c r="J25" s="103"/>
      <c r="K25" s="103"/>
      <c r="L25" s="104"/>
      <c r="M25" s="106"/>
      <c r="N25" s="213"/>
      <c r="O25" s="102"/>
      <c r="P25" s="97"/>
      <c r="Q25" s="103"/>
      <c r="R25" s="103"/>
      <c r="S25" s="105"/>
      <c r="T25" s="104"/>
      <c r="U25" s="103"/>
      <c r="V25" s="103"/>
      <c r="W25" s="103"/>
      <c r="X25" s="104"/>
      <c r="Y25" s="106"/>
    </row>
    <row r="26" spans="1:25" ht="18.75" thickBot="1">
      <c r="A26" s="107" t="s">
        <v>76</v>
      </c>
      <c r="B26" s="108"/>
      <c r="C26" s="107">
        <v>5</v>
      </c>
      <c r="D26" s="188">
        <f>'Partner Follow Ons'!$V$19</f>
        <v>540.275</v>
      </c>
      <c r="E26" s="109">
        <f>'Partner Follow Ons'!$W$19</f>
        <v>205.025</v>
      </c>
      <c r="F26" s="111">
        <f>'Partner Follow Ons'!$W$30</f>
        <v>38.53853383458647</v>
      </c>
      <c r="G26" s="110">
        <f>'Partner Follow Ons'!$W$29</f>
        <v>2.527209041000696</v>
      </c>
      <c r="H26" s="111"/>
      <c r="I26" s="109">
        <v>100</v>
      </c>
      <c r="J26" s="109">
        <f>'Investor Follow on Prospects '!$V$22</f>
        <v>3325.75</v>
      </c>
      <c r="K26" s="109">
        <f>'Investor Follow on Prospects '!$W$22</f>
        <v>1314.25</v>
      </c>
      <c r="L26" s="111">
        <f>'Investor Follow on Prospects '!$V$31</f>
        <v>33.2575</v>
      </c>
      <c r="M26" s="112">
        <f>'Investor Follow on Prospects '!$V$30</f>
        <v>2.337396438572665</v>
      </c>
      <c r="N26" s="213"/>
      <c r="O26" s="107">
        <v>5</v>
      </c>
      <c r="P26" s="188">
        <f>'[1]Partner Follow Ons'!$V$19</f>
        <v>651.15</v>
      </c>
      <c r="Q26" s="109">
        <f>'[1]Partner Follow Ons'!$W$19</f>
        <v>241.525</v>
      </c>
      <c r="R26" s="111">
        <f>'[1]Partner Follow Ons'!$W$30</f>
        <v>45.399436090225564</v>
      </c>
      <c r="S26" s="110">
        <f>'[1]Partner Follow Ons'!$W$29</f>
        <v>2.6760333891161983</v>
      </c>
      <c r="T26" s="111"/>
      <c r="U26" s="109">
        <v>75</v>
      </c>
      <c r="V26" s="109">
        <f>'[1]Investor Follow on Prospects '!$V$22</f>
        <v>3966</v>
      </c>
      <c r="W26" s="109">
        <f>'[1]Investor Follow on Prospects '!$W$22</f>
        <v>1508.25</v>
      </c>
      <c r="X26" s="111">
        <f>'[1]Investor Follow on Prospects '!$V$31</f>
        <v>52.88</v>
      </c>
      <c r="Y26" s="112">
        <f>'[1]Investor Follow on Prospects '!$V$30</f>
        <v>2.864001935817037</v>
      </c>
    </row>
    <row r="27" spans="1:28" ht="19.5" customHeight="1">
      <c r="A27" s="235"/>
      <c r="B27" s="236"/>
      <c r="C27" s="214"/>
      <c r="D27" s="214"/>
      <c r="E27" s="214"/>
      <c r="F27" s="214"/>
      <c r="G27" s="227"/>
      <c r="H27" s="214"/>
      <c r="I27" s="214"/>
      <c r="J27" s="227"/>
      <c r="K27" s="214"/>
      <c r="L27" s="227"/>
      <c r="M27" s="214"/>
      <c r="N27" s="214"/>
      <c r="O27" s="227"/>
      <c r="P27" s="237"/>
      <c r="Q27" s="237"/>
      <c r="R27" s="237"/>
      <c r="S27" s="237"/>
      <c r="T27" s="237"/>
      <c r="U27" s="237"/>
      <c r="V27" s="237"/>
      <c r="W27" s="237"/>
      <c r="X27" s="237"/>
      <c r="Y27" s="238"/>
      <c r="Z27" s="212"/>
      <c r="AA27" s="212"/>
      <c r="AB27" s="212"/>
    </row>
    <row r="28" spans="1:25" ht="18">
      <c r="A28" s="102" t="s">
        <v>133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39"/>
    </row>
    <row r="29" spans="1:25" ht="18">
      <c r="A29" s="102" t="s">
        <v>134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39"/>
    </row>
    <row r="30" spans="1:25" ht="13.5" thickBo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2"/>
    </row>
  </sheetData>
  <sheetProtection/>
  <mergeCells count="24">
    <mergeCell ref="O5:Y5"/>
    <mergeCell ref="A16:Y16"/>
    <mergeCell ref="A3:Y3"/>
    <mergeCell ref="U7:Y7"/>
    <mergeCell ref="O8:S8"/>
    <mergeCell ref="U8:Y8"/>
    <mergeCell ref="C4:M4"/>
    <mergeCell ref="A1:Y1"/>
    <mergeCell ref="A2:Y2"/>
    <mergeCell ref="C18:G18"/>
    <mergeCell ref="I18:M18"/>
    <mergeCell ref="C7:G7"/>
    <mergeCell ref="I7:M7"/>
    <mergeCell ref="O18:S18"/>
    <mergeCell ref="C8:G8"/>
    <mergeCell ref="I8:M8"/>
    <mergeCell ref="O4:Y4"/>
    <mergeCell ref="O19:S19"/>
    <mergeCell ref="U19:Y19"/>
    <mergeCell ref="C19:G19"/>
    <mergeCell ref="I19:M19"/>
    <mergeCell ref="O6:Y6"/>
    <mergeCell ref="O7:S7"/>
    <mergeCell ref="U18:Y18"/>
  </mergeCells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PageLayoutView="0" workbookViewId="0" topLeftCell="A1">
      <selection activeCell="A1" sqref="A1:Y35"/>
    </sheetView>
  </sheetViews>
  <sheetFormatPr defaultColWidth="9.140625" defaultRowHeight="12.75"/>
  <cols>
    <col min="1" max="1" width="41.28125" style="0" customWidth="1"/>
    <col min="2" max="2" width="5.57421875" style="0" customWidth="1"/>
    <col min="3" max="3" width="9.57421875" style="0" customWidth="1"/>
    <col min="4" max="4" width="12.00390625" style="0" customWidth="1"/>
    <col min="5" max="7" width="10.7109375" style="0" customWidth="1"/>
    <col min="8" max="8" width="5.7109375" style="0" customWidth="1"/>
    <col min="9" max="9" width="9.57421875" style="0" customWidth="1"/>
    <col min="10" max="10" width="11.42187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57421875" style="0" customWidth="1"/>
    <col min="23" max="23" width="11.7109375" style="0" customWidth="1"/>
    <col min="24" max="24" width="10.7109375" style="0" customWidth="1"/>
    <col min="25" max="25" width="11.8515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109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1" customHeight="1" thickBot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3" ht="21" customHeight="1">
      <c r="A5" s="122" t="s">
        <v>65</v>
      </c>
      <c r="B5" s="123"/>
      <c r="C5" s="340" t="s">
        <v>58</v>
      </c>
      <c r="D5" s="341"/>
      <c r="E5" s="341"/>
      <c r="F5" s="341"/>
      <c r="G5" s="342"/>
      <c r="H5" s="123"/>
      <c r="I5" s="343" t="s">
        <v>61</v>
      </c>
      <c r="J5" s="344"/>
      <c r="K5" s="344"/>
      <c r="L5" s="344"/>
      <c r="M5" s="345"/>
      <c r="N5" s="123"/>
      <c r="O5" s="346" t="s">
        <v>96</v>
      </c>
      <c r="P5" s="347"/>
      <c r="Q5" s="347"/>
      <c r="R5" s="347"/>
      <c r="S5" s="348"/>
      <c r="T5" s="123"/>
      <c r="U5" s="352" t="s">
        <v>63</v>
      </c>
      <c r="V5" s="353"/>
      <c r="W5" s="353"/>
      <c r="X5" s="353"/>
      <c r="Y5" s="354"/>
      <c r="Z5" s="7"/>
      <c r="AA5" s="337" t="s">
        <v>46</v>
      </c>
      <c r="AB5" s="338"/>
      <c r="AC5" s="338"/>
      <c r="AD5" s="339"/>
      <c r="AE5" s="7"/>
      <c r="AF5" s="7"/>
      <c r="AG5" s="7"/>
    </row>
    <row r="6" spans="1:33" ht="21" customHeight="1">
      <c r="A6" s="122" t="s">
        <v>59</v>
      </c>
      <c r="B6" s="15"/>
      <c r="C6" s="340" t="s">
        <v>60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64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358" t="s">
        <v>71</v>
      </c>
      <c r="AB6" s="350"/>
      <c r="AC6" s="350"/>
      <c r="AD6" s="351"/>
      <c r="AE6" s="7"/>
      <c r="AF6" s="7"/>
      <c r="AG6" s="7"/>
    </row>
    <row r="7" spans="1:43" ht="21" customHeight="1" thickBot="1">
      <c r="A7" s="126"/>
      <c r="B7" s="15"/>
      <c r="C7" s="127"/>
      <c r="D7" s="127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30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34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37" t="s">
        <v>91</v>
      </c>
      <c r="W7" s="138" t="s">
        <v>1</v>
      </c>
      <c r="X7" s="138" t="s">
        <v>13</v>
      </c>
      <c r="Y7" s="139" t="s">
        <v>12</v>
      </c>
      <c r="Z7" s="7"/>
      <c r="AA7" s="358"/>
      <c r="AB7" s="350"/>
      <c r="AC7" s="350"/>
      <c r="AD7" s="351"/>
      <c r="AE7" s="7"/>
      <c r="AF7" s="7"/>
      <c r="AG7" s="7"/>
      <c r="AO7" s="1"/>
      <c r="AP7" s="1"/>
      <c r="AQ7" s="1"/>
    </row>
    <row r="8" spans="1:45" ht="21" customHeight="1" thickBot="1">
      <c r="A8" s="126"/>
      <c r="B8" s="15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27"/>
      <c r="AB8" s="28" t="s">
        <v>19</v>
      </c>
      <c r="AC8" s="29" t="s">
        <v>6</v>
      </c>
      <c r="AD8" s="28" t="s">
        <v>0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61"/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30" t="s">
        <v>18</v>
      </c>
      <c r="AB9" s="28" t="s">
        <v>4</v>
      </c>
      <c r="AC9" s="29" t="s">
        <v>3</v>
      </c>
      <c r="AD9" s="28" t="s">
        <v>2</v>
      </c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26" t="s">
        <v>118</v>
      </c>
      <c r="B10" s="13"/>
      <c r="C10" s="26"/>
      <c r="D10" s="15">
        <v>1098</v>
      </c>
      <c r="E10" s="26"/>
      <c r="F10" s="26"/>
      <c r="G10" s="26"/>
      <c r="H10" s="26"/>
      <c r="I10" s="26"/>
      <c r="J10" s="15">
        <v>1098</v>
      </c>
      <c r="K10" s="26"/>
      <c r="L10" s="26"/>
      <c r="M10" s="26"/>
      <c r="N10" s="26"/>
      <c r="O10" s="26"/>
      <c r="P10" s="15">
        <v>1098</v>
      </c>
      <c r="Q10" s="26"/>
      <c r="R10" s="26"/>
      <c r="S10" s="26"/>
      <c r="T10" s="26"/>
      <c r="U10" s="26"/>
      <c r="V10" s="15">
        <v>1098</v>
      </c>
      <c r="W10" s="26"/>
      <c r="X10" s="26"/>
      <c r="Y10" s="62"/>
      <c r="Z10" s="7"/>
      <c r="AA10" s="117"/>
      <c r="AB10" s="43"/>
      <c r="AC10" s="34"/>
      <c r="AD10" s="43"/>
      <c r="AE10" s="7"/>
      <c r="AF10" s="7"/>
      <c r="AG10" s="10"/>
      <c r="AH10" s="10"/>
      <c r="AI10" s="10"/>
      <c r="AJ10" s="10"/>
      <c r="AK10" s="10"/>
      <c r="AO10" s="10"/>
      <c r="AP10" s="10"/>
      <c r="AQ10" s="10"/>
      <c r="AR10" s="10"/>
      <c r="AS10" s="10"/>
    </row>
    <row r="11" spans="1:45" ht="21" customHeight="1">
      <c r="A11" s="162" t="s">
        <v>89</v>
      </c>
      <c r="B11" s="14"/>
      <c r="C11" s="15"/>
      <c r="D11" s="16"/>
      <c r="E11" s="16">
        <v>601</v>
      </c>
      <c r="F11" s="16">
        <v>468</v>
      </c>
      <c r="G11" s="16">
        <v>373</v>
      </c>
      <c r="H11" s="16"/>
      <c r="I11" s="16"/>
      <c r="J11" s="16"/>
      <c r="K11" s="16">
        <v>601</v>
      </c>
      <c r="L11" s="16">
        <v>468</v>
      </c>
      <c r="M11" s="16">
        <v>373</v>
      </c>
      <c r="N11" s="16"/>
      <c r="O11" s="16"/>
      <c r="P11" s="16"/>
      <c r="Q11" s="16">
        <v>601</v>
      </c>
      <c r="R11" s="16">
        <v>468</v>
      </c>
      <c r="S11" s="16">
        <v>373</v>
      </c>
      <c r="T11" s="16"/>
      <c r="U11" s="16"/>
      <c r="V11" s="16"/>
      <c r="W11" s="16">
        <v>601</v>
      </c>
      <c r="X11" s="16">
        <v>468</v>
      </c>
      <c r="Y11" s="63">
        <v>373</v>
      </c>
      <c r="Z11" s="7"/>
      <c r="AA11" s="48" t="s">
        <v>17</v>
      </c>
      <c r="AB11" s="31"/>
      <c r="AC11" s="32"/>
      <c r="AD11" s="33"/>
      <c r="AE11" s="7"/>
      <c r="AF11" s="7"/>
      <c r="AG11" s="10" t="s">
        <v>4</v>
      </c>
      <c r="AH11" s="10"/>
      <c r="AI11" s="10" t="s">
        <v>2</v>
      </c>
      <c r="AJ11" s="10" t="s">
        <v>4</v>
      </c>
      <c r="AK11" s="10" t="s">
        <v>4</v>
      </c>
      <c r="AO11" s="10" t="s">
        <v>4</v>
      </c>
      <c r="AP11" s="10"/>
      <c r="AQ11" s="10" t="s">
        <v>2</v>
      </c>
      <c r="AR11" s="10" t="s">
        <v>4</v>
      </c>
      <c r="AS11" s="10" t="s">
        <v>4</v>
      </c>
    </row>
    <row r="12" spans="1:45" ht="21" customHeight="1">
      <c r="A12" s="162" t="s">
        <v>50</v>
      </c>
      <c r="B12" s="14"/>
      <c r="C12" s="15"/>
      <c r="D12" s="16">
        <v>100</v>
      </c>
      <c r="E12" s="16">
        <v>100</v>
      </c>
      <c r="F12" s="16">
        <v>100</v>
      </c>
      <c r="G12" s="16">
        <v>100</v>
      </c>
      <c r="H12" s="16"/>
      <c r="I12" s="16"/>
      <c r="J12" s="16">
        <v>100</v>
      </c>
      <c r="K12" s="16">
        <v>100</v>
      </c>
      <c r="L12" s="16">
        <v>100</v>
      </c>
      <c r="M12" s="16">
        <v>100</v>
      </c>
      <c r="N12" s="16"/>
      <c r="O12" s="16"/>
      <c r="P12" s="16">
        <v>100</v>
      </c>
      <c r="Q12" s="16">
        <v>100</v>
      </c>
      <c r="R12" s="16">
        <v>100</v>
      </c>
      <c r="S12" s="16">
        <v>100</v>
      </c>
      <c r="T12" s="16"/>
      <c r="U12" s="16"/>
      <c r="V12" s="16">
        <v>100</v>
      </c>
      <c r="W12" s="16">
        <v>100</v>
      </c>
      <c r="X12" s="16">
        <v>100</v>
      </c>
      <c r="Y12" s="63">
        <v>100</v>
      </c>
      <c r="Z12" s="7"/>
      <c r="AA12" s="34" t="s">
        <v>91</v>
      </c>
      <c r="AB12" s="81">
        <f>D22</f>
        <v>333.6675</v>
      </c>
      <c r="AC12" s="79">
        <f>D31</f>
        <v>3.336675</v>
      </c>
      <c r="AD12" s="80">
        <f>D30</f>
        <v>0.8892595273691037</v>
      </c>
      <c r="AE12" s="7"/>
      <c r="AF12" s="7"/>
      <c r="AG12" s="5">
        <v>150</v>
      </c>
      <c r="AH12" s="5">
        <v>1</v>
      </c>
      <c r="AI12" s="6">
        <v>0.15</v>
      </c>
      <c r="AJ12" s="4">
        <f>$AG$12*AI12</f>
        <v>22.5</v>
      </c>
      <c r="AK12" s="2">
        <f>AJ12</f>
        <v>22.5</v>
      </c>
      <c r="AO12" s="5">
        <v>150</v>
      </c>
      <c r="AP12" s="5">
        <v>1</v>
      </c>
      <c r="AQ12" s="6">
        <v>0.15</v>
      </c>
      <c r="AR12" s="4">
        <f>$AO$12*AQ12</f>
        <v>22.5</v>
      </c>
      <c r="AS12" s="2">
        <f>AR12</f>
        <v>22.5</v>
      </c>
    </row>
    <row r="13" spans="1:45" ht="21" customHeight="1">
      <c r="A13" s="162" t="s">
        <v>23</v>
      </c>
      <c r="B13" s="14"/>
      <c r="C13" s="15"/>
      <c r="D13" s="16">
        <v>52.09</v>
      </c>
      <c r="E13" s="16">
        <v>52.09</v>
      </c>
      <c r="F13" s="16">
        <v>52.09</v>
      </c>
      <c r="G13" s="16">
        <v>52.09</v>
      </c>
      <c r="H13" s="16"/>
      <c r="I13" s="17"/>
      <c r="J13" s="16"/>
      <c r="K13" s="16"/>
      <c r="L13" s="16"/>
      <c r="M13" s="16"/>
      <c r="N13" s="16"/>
      <c r="O13" s="17"/>
      <c r="P13" s="16"/>
      <c r="Q13" s="16"/>
      <c r="R13" s="16"/>
      <c r="S13" s="16"/>
      <c r="T13" s="16"/>
      <c r="U13" s="17"/>
      <c r="V13" s="16"/>
      <c r="W13" s="16"/>
      <c r="X13" s="16"/>
      <c r="Y13" s="63"/>
      <c r="Z13" s="7"/>
      <c r="AA13" s="34" t="s">
        <v>1</v>
      </c>
      <c r="AB13" s="35">
        <f>E22</f>
        <v>234.2675</v>
      </c>
      <c r="AC13" s="36">
        <f>E31</f>
        <v>2.3426750000000003</v>
      </c>
      <c r="AD13" s="37">
        <f>E30</f>
        <v>0.6347137122887196</v>
      </c>
      <c r="AE13" s="7"/>
      <c r="AF13" s="7"/>
      <c r="AG13" s="3"/>
      <c r="AH13" s="5">
        <v>2</v>
      </c>
      <c r="AI13" s="6">
        <f>AI12*1.15</f>
        <v>0.1725</v>
      </c>
      <c r="AJ13" s="4">
        <f>$AG$12*AI13</f>
        <v>25.874999999999996</v>
      </c>
      <c r="AK13" s="2">
        <f>AK12+AJ13</f>
        <v>48.375</v>
      </c>
      <c r="AO13" s="3"/>
      <c r="AP13" s="5">
        <v>2</v>
      </c>
      <c r="AQ13" s="6">
        <f>AQ12*1.15</f>
        <v>0.1725</v>
      </c>
      <c r="AR13" s="4">
        <f>$AO$12*AQ13</f>
        <v>25.874999999999996</v>
      </c>
      <c r="AS13" s="2">
        <f>AS12+AR13</f>
        <v>48.375</v>
      </c>
    </row>
    <row r="14" spans="1:45" ht="21" customHeight="1">
      <c r="A14" s="162" t="s">
        <v>53</v>
      </c>
      <c r="B14" s="14"/>
      <c r="C14" s="15"/>
      <c r="D14" s="16">
        <f>(D12+D13)/0.8</f>
        <v>190.11249999999998</v>
      </c>
      <c r="E14" s="16">
        <f>(E12+E13)/0.8</f>
        <v>190.11249999999998</v>
      </c>
      <c r="F14" s="16">
        <f>(F12+F13)/0.8</f>
        <v>190.11249999999998</v>
      </c>
      <c r="G14" s="16">
        <f>(G12+G13)/0.8</f>
        <v>190.11249999999998</v>
      </c>
      <c r="H14" s="16"/>
      <c r="I14" s="17"/>
      <c r="J14" s="16"/>
      <c r="K14" s="16"/>
      <c r="L14" s="16"/>
      <c r="M14" s="16"/>
      <c r="N14" s="16"/>
      <c r="O14" s="17"/>
      <c r="P14" s="16">
        <v>100</v>
      </c>
      <c r="Q14" s="16">
        <v>100</v>
      </c>
      <c r="R14" s="16">
        <v>100</v>
      </c>
      <c r="S14" s="16">
        <v>100</v>
      </c>
      <c r="T14" s="16"/>
      <c r="U14" s="17"/>
      <c r="V14" s="16">
        <v>100</v>
      </c>
      <c r="W14" s="16">
        <v>100</v>
      </c>
      <c r="X14" s="16">
        <v>100</v>
      </c>
      <c r="Y14" s="63">
        <v>100</v>
      </c>
      <c r="Z14" s="7"/>
      <c r="AA14" s="34" t="s">
        <v>7</v>
      </c>
      <c r="AB14" s="81">
        <f>F22</f>
        <v>207.66750000000002</v>
      </c>
      <c r="AC14" s="36">
        <f>F31</f>
        <v>2.0766750000000003</v>
      </c>
      <c r="AD14" s="37">
        <f>F30</f>
        <v>0.5031558606149522</v>
      </c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51</v>
      </c>
      <c r="B15" s="14"/>
      <c r="C15" s="173">
        <v>0.2</v>
      </c>
      <c r="D15" s="16">
        <f>D14*0.2</f>
        <v>38.0225</v>
      </c>
      <c r="E15" s="16">
        <f>E14*0.2</f>
        <v>38.0225</v>
      </c>
      <c r="F15" s="16">
        <f>F14*0.2</f>
        <v>38.0225</v>
      </c>
      <c r="G15" s="16">
        <f>G14*0.2</f>
        <v>38.0225</v>
      </c>
      <c r="H15" s="16"/>
      <c r="J15" s="16">
        <f>(J12)*0.25</f>
        <v>25</v>
      </c>
      <c r="K15" s="16">
        <f>(K12)*0.25</f>
        <v>25</v>
      </c>
      <c r="L15" s="16">
        <f>(L12)*0.25</f>
        <v>25</v>
      </c>
      <c r="M15" s="16">
        <f>(M12)*0.25</f>
        <v>25</v>
      </c>
      <c r="N15" s="16"/>
      <c r="O15" s="22">
        <v>0</v>
      </c>
      <c r="P15" s="16"/>
      <c r="Q15" s="16"/>
      <c r="R15" s="16"/>
      <c r="S15" s="16"/>
      <c r="T15" s="16"/>
      <c r="U15" s="22">
        <v>0</v>
      </c>
      <c r="V15" s="16"/>
      <c r="W15" s="16"/>
      <c r="X15" s="16"/>
      <c r="Y15" s="63"/>
      <c r="Z15" s="7"/>
      <c r="AA15" s="34" t="s">
        <v>12</v>
      </c>
      <c r="AB15" s="81">
        <f>G22</f>
        <v>188.66750000000002</v>
      </c>
      <c r="AC15" s="36">
        <f>G31</f>
        <v>1.886675</v>
      </c>
      <c r="AD15" s="37">
        <f>G30</f>
        <v>0.4258544095276888</v>
      </c>
      <c r="AE15" s="7"/>
      <c r="AF15" s="7"/>
      <c r="AG15" s="3"/>
      <c r="AH15" s="5"/>
      <c r="AI15" s="6"/>
      <c r="AJ15" s="4"/>
      <c r="AK15" s="2"/>
      <c r="AO15" s="3"/>
      <c r="AP15" s="5"/>
      <c r="AQ15" s="6"/>
      <c r="AR15" s="4"/>
      <c r="AS15" s="2"/>
    </row>
    <row r="16" spans="1:45" ht="21" customHeight="1">
      <c r="A16" s="162" t="s">
        <v>52</v>
      </c>
      <c r="B16" s="14"/>
      <c r="C16" s="15"/>
      <c r="D16" s="16">
        <f>D10-D14</f>
        <v>907.8875</v>
      </c>
      <c r="E16" s="16">
        <f>E11-E14</f>
        <v>410.88750000000005</v>
      </c>
      <c r="F16" s="16">
        <f>F11-F14</f>
        <v>277.88750000000005</v>
      </c>
      <c r="G16" s="16">
        <f>G11-G14</f>
        <v>182.88750000000002</v>
      </c>
      <c r="H16" s="16"/>
      <c r="I16" s="18"/>
      <c r="J16" s="16"/>
      <c r="K16" s="16"/>
      <c r="L16" s="16"/>
      <c r="M16" s="16"/>
      <c r="N16" s="16"/>
      <c r="O16" s="18"/>
      <c r="P16" s="16">
        <f>P10-P12-P13</f>
        <v>998</v>
      </c>
      <c r="Q16" s="16">
        <f>Q11-Q12-Q13</f>
        <v>501</v>
      </c>
      <c r="R16" s="16">
        <f>R11-R12-R13</f>
        <v>368</v>
      </c>
      <c r="S16" s="16">
        <f>S11-S12-S13</f>
        <v>273</v>
      </c>
      <c r="T16" s="16"/>
      <c r="U16" s="18"/>
      <c r="V16" s="16">
        <f>V10-V12-V13</f>
        <v>998</v>
      </c>
      <c r="W16" s="16">
        <f>W11-W12-W13</f>
        <v>501</v>
      </c>
      <c r="X16" s="16">
        <f>X11-X12-X13</f>
        <v>368</v>
      </c>
      <c r="Y16" s="63">
        <f>Y11-Y12-Y13</f>
        <v>273</v>
      </c>
      <c r="Z16" s="7"/>
      <c r="AA16" s="38"/>
      <c r="AB16" s="39"/>
      <c r="AC16" s="40"/>
      <c r="AD16" s="41"/>
      <c r="AE16" s="7"/>
      <c r="AF16" s="7"/>
      <c r="AG16" s="3"/>
      <c r="AH16" s="5">
        <v>3</v>
      </c>
      <c r="AI16" s="6">
        <f>AI13*1.15</f>
        <v>0.19837499999999997</v>
      </c>
      <c r="AJ16" s="4">
        <f>$AG$12*AI16</f>
        <v>29.756249999999994</v>
      </c>
      <c r="AK16" s="2">
        <f>AK13+AJ16</f>
        <v>78.13125</v>
      </c>
      <c r="AO16" s="3"/>
      <c r="AP16" s="5">
        <v>3</v>
      </c>
      <c r="AQ16" s="6">
        <f>AQ13*1.15</f>
        <v>0.19837499999999997</v>
      </c>
      <c r="AR16" s="4">
        <f>$AO$12*AQ16</f>
        <v>29.756249999999994</v>
      </c>
      <c r="AS16" s="2">
        <f>AS13+AR16</f>
        <v>78.13125</v>
      </c>
    </row>
    <row r="17" spans="1:45" ht="21" customHeight="1">
      <c r="A17" s="163" t="s">
        <v>24</v>
      </c>
      <c r="B17" s="19"/>
      <c r="C17" s="20">
        <v>0.2</v>
      </c>
      <c r="D17" s="16">
        <f>10+(D15-10)/2</f>
        <v>24.01125</v>
      </c>
      <c r="E17" s="16">
        <f>10+(E15-10)/2</f>
        <v>24.01125</v>
      </c>
      <c r="F17" s="16">
        <f>10+(F15-10)/2</f>
        <v>24.01125</v>
      </c>
      <c r="G17" s="16">
        <f>10+(G15-10)/2</f>
        <v>24.01125</v>
      </c>
      <c r="H17" s="16"/>
      <c r="I17" s="22">
        <v>0.25</v>
      </c>
      <c r="J17" s="16">
        <f>(J15-10)/2+10</f>
        <v>17.5</v>
      </c>
      <c r="K17" s="16">
        <f>(K15-10)/2+10</f>
        <v>17.5</v>
      </c>
      <c r="L17" s="16">
        <f>(L15-10)/2+10</f>
        <v>17.5</v>
      </c>
      <c r="M17" s="16">
        <f>(M15-10)/2+10</f>
        <v>17.5</v>
      </c>
      <c r="N17" s="16"/>
      <c r="O17" s="22" t="s">
        <v>47</v>
      </c>
      <c r="P17" s="16">
        <v>10</v>
      </c>
      <c r="Q17" s="16">
        <v>10</v>
      </c>
      <c r="R17" s="16">
        <v>10</v>
      </c>
      <c r="S17" s="16">
        <v>10</v>
      </c>
      <c r="T17" s="16"/>
      <c r="U17" s="22">
        <v>0</v>
      </c>
      <c r="V17" s="16"/>
      <c r="W17" s="16"/>
      <c r="X17" s="16"/>
      <c r="Y17" s="63"/>
      <c r="Z17" s="7"/>
      <c r="AA17" s="49" t="s">
        <v>20</v>
      </c>
      <c r="AB17" s="42"/>
      <c r="AC17" s="36"/>
      <c r="AD17" s="43"/>
      <c r="AE17" s="7"/>
      <c r="AF17" s="7"/>
      <c r="AG17" s="3"/>
      <c r="AH17" s="5">
        <v>4</v>
      </c>
      <c r="AI17" s="6">
        <f>AI16*1.15</f>
        <v>0.22813124999999995</v>
      </c>
      <c r="AJ17" s="4">
        <f>$AG$12*AI17</f>
        <v>34.21968749999999</v>
      </c>
      <c r="AK17" s="2">
        <f>AK16+AJ17</f>
        <v>112.35093749999999</v>
      </c>
      <c r="AO17" s="3"/>
      <c r="AP17" s="5">
        <v>4</v>
      </c>
      <c r="AQ17" s="6">
        <f>AQ16*1.15</f>
        <v>0.22813124999999995</v>
      </c>
      <c r="AR17" s="4">
        <f>$AO$12*AQ17</f>
        <v>34.21968749999999</v>
      </c>
      <c r="AS17" s="2">
        <f>AS16+AR17</f>
        <v>112.35093749999999</v>
      </c>
    </row>
    <row r="18" spans="1:33" ht="21" customHeight="1">
      <c r="A18" s="163" t="s">
        <v>35</v>
      </c>
      <c r="B18" s="19"/>
      <c r="C18" s="20">
        <v>0.8</v>
      </c>
      <c r="D18" s="16">
        <f>D16*0.8</f>
        <v>726.3100000000001</v>
      </c>
      <c r="E18" s="16">
        <f>E16*0.8</f>
        <v>328.71000000000004</v>
      </c>
      <c r="F18" s="16">
        <f>F16*0.8</f>
        <v>222.31000000000006</v>
      </c>
      <c r="G18" s="16">
        <f>G16*0.8</f>
        <v>146.31000000000003</v>
      </c>
      <c r="H18" s="16"/>
      <c r="I18" s="22">
        <v>0.25</v>
      </c>
      <c r="J18" s="16">
        <f>(J10-J12)*0.25</f>
        <v>249.5</v>
      </c>
      <c r="K18" s="16">
        <f>(K11-K12)*0.25</f>
        <v>125.25</v>
      </c>
      <c r="L18" s="16">
        <f>(L11-L12)*0.25</f>
        <v>92</v>
      </c>
      <c r="M18" s="16">
        <f>(M11-M12)*0.25</f>
        <v>68.25</v>
      </c>
      <c r="N18" s="16"/>
      <c r="O18" s="22">
        <v>0.25</v>
      </c>
      <c r="P18" s="16">
        <f>P16*0.25</f>
        <v>249.5</v>
      </c>
      <c r="Q18" s="16">
        <f>Q16*0.25</f>
        <v>125.25</v>
      </c>
      <c r="R18" s="16">
        <f>R16*0.25</f>
        <v>92</v>
      </c>
      <c r="S18" s="16">
        <f>S16*0.25</f>
        <v>68.25</v>
      </c>
      <c r="T18" s="16"/>
      <c r="U18" s="22">
        <v>0.25</v>
      </c>
      <c r="V18" s="16">
        <f>V16*0.25</f>
        <v>249.5</v>
      </c>
      <c r="W18" s="16">
        <f>W16*0.25</f>
        <v>125.25</v>
      </c>
      <c r="X18" s="16">
        <f>X16*0.25</f>
        <v>92</v>
      </c>
      <c r="Y18" s="63">
        <f>Y16*0.25</f>
        <v>68.25</v>
      </c>
      <c r="Z18" s="7"/>
      <c r="AA18" s="34" t="s">
        <v>91</v>
      </c>
      <c r="AB18" s="81">
        <f>J22</f>
        <v>823.5</v>
      </c>
      <c r="AC18" s="79">
        <f>J31</f>
        <v>8.235</v>
      </c>
      <c r="AD18" s="80">
        <f>J30</f>
        <v>1.1447920594894097</v>
      </c>
      <c r="AE18" s="7"/>
      <c r="AF18" s="7"/>
      <c r="AG18" s="7"/>
    </row>
    <row r="19" spans="1:33" ht="21" customHeight="1">
      <c r="A19" s="163" t="s">
        <v>40</v>
      </c>
      <c r="B19" s="19"/>
      <c r="C19" s="20">
        <v>0.4</v>
      </c>
      <c r="D19" s="16">
        <f>D18/2</f>
        <v>363.15500000000003</v>
      </c>
      <c r="E19" s="16">
        <f>E18/2</f>
        <v>164.35500000000002</v>
      </c>
      <c r="F19" s="16">
        <f>F18/2</f>
        <v>111.15500000000003</v>
      </c>
      <c r="G19" s="16">
        <f>G18/2</f>
        <v>73.15500000000002</v>
      </c>
      <c r="H19" s="16"/>
      <c r="I19" s="21">
        <v>0.125</v>
      </c>
      <c r="J19" s="16">
        <f>J18/2</f>
        <v>124.75</v>
      </c>
      <c r="K19" s="16">
        <f>K18/2</f>
        <v>62.625</v>
      </c>
      <c r="L19" s="16">
        <f>L18/2</f>
        <v>46</v>
      </c>
      <c r="M19" s="16">
        <f>M18/2</f>
        <v>34.125</v>
      </c>
      <c r="N19" s="16"/>
      <c r="O19" s="21">
        <v>0.125</v>
      </c>
      <c r="P19" s="16">
        <f>P18/2</f>
        <v>124.75</v>
      </c>
      <c r="Q19" s="16">
        <f>Q18/2</f>
        <v>62.625</v>
      </c>
      <c r="R19" s="16">
        <f>R18/2</f>
        <v>46</v>
      </c>
      <c r="S19" s="16">
        <f>S18/2</f>
        <v>34.125</v>
      </c>
      <c r="T19" s="16"/>
      <c r="U19" s="21">
        <v>0.125</v>
      </c>
      <c r="V19" s="16">
        <f>(V18-10)/2+10</f>
        <v>129.75</v>
      </c>
      <c r="W19" s="16">
        <f>(W18-10)/2+10</f>
        <v>67.625</v>
      </c>
      <c r="X19" s="16">
        <f>(X18-10)/2+10</f>
        <v>51</v>
      </c>
      <c r="Y19" s="63">
        <f>(Y18-10)/2+10</f>
        <v>39.125</v>
      </c>
      <c r="Z19" s="7"/>
      <c r="AA19" s="34" t="s">
        <v>1</v>
      </c>
      <c r="AB19" s="35">
        <f>K22</f>
        <v>450.75</v>
      </c>
      <c r="AC19" s="36">
        <f>K31</f>
        <v>4.5075</v>
      </c>
      <c r="AD19" s="37">
        <f>K30</f>
        <v>0.7774273749129341</v>
      </c>
      <c r="AE19" s="7"/>
      <c r="AF19" s="7"/>
      <c r="AG19" s="7"/>
    </row>
    <row r="20" spans="1:33" ht="21" customHeight="1">
      <c r="A20" s="165" t="s">
        <v>25</v>
      </c>
      <c r="B20" s="15"/>
      <c r="C20" s="15"/>
      <c r="D20" s="16">
        <f>D19+D17</f>
        <v>387.16625000000005</v>
      </c>
      <c r="E20" s="16">
        <f>E19+E17</f>
        <v>188.36625</v>
      </c>
      <c r="F20" s="16">
        <f>F19+F17</f>
        <v>135.16625000000002</v>
      </c>
      <c r="G20" s="16">
        <f>G19+G17</f>
        <v>97.16625000000002</v>
      </c>
      <c r="H20" s="16"/>
      <c r="I20" s="16"/>
      <c r="J20" s="16">
        <f>J17+J19</f>
        <v>142.25</v>
      </c>
      <c r="K20" s="16">
        <f>K17+K19</f>
        <v>80.125</v>
      </c>
      <c r="L20" s="16">
        <f>L17+L19</f>
        <v>63.5</v>
      </c>
      <c r="M20" s="16">
        <f>M17+M19</f>
        <v>51.625</v>
      </c>
      <c r="N20" s="16"/>
      <c r="O20" s="16"/>
      <c r="P20" s="16">
        <f>P17+P19</f>
        <v>134.75</v>
      </c>
      <c r="Q20" s="16">
        <f>Q17+Q19</f>
        <v>72.625</v>
      </c>
      <c r="R20" s="16">
        <f>R17+R19</f>
        <v>56</v>
      </c>
      <c r="S20" s="16">
        <f>S17+S19</f>
        <v>44.125</v>
      </c>
      <c r="T20" s="16"/>
      <c r="U20" s="16"/>
      <c r="V20" s="16">
        <f>V19</f>
        <v>129.75</v>
      </c>
      <c r="W20" s="16">
        <f>W19</f>
        <v>67.625</v>
      </c>
      <c r="X20" s="16">
        <f>X19</f>
        <v>51</v>
      </c>
      <c r="Y20" s="63">
        <f>Y19</f>
        <v>39.125</v>
      </c>
      <c r="Z20" s="7"/>
      <c r="AA20" s="34" t="s">
        <v>7</v>
      </c>
      <c r="AB20" s="81">
        <f>L22</f>
        <v>351</v>
      </c>
      <c r="AC20" s="36">
        <f>L31</f>
        <v>3.51</v>
      </c>
      <c r="AD20" s="37">
        <f>L30</f>
        <v>0.6416620614952955</v>
      </c>
      <c r="AE20" s="7"/>
      <c r="AF20" s="7"/>
      <c r="AG20" s="7"/>
    </row>
    <row r="21" spans="1:33" ht="21" customHeight="1">
      <c r="A21" s="165" t="s">
        <v>68</v>
      </c>
      <c r="B21" s="15"/>
      <c r="C21" s="15"/>
      <c r="D21" s="16">
        <f>D19+(D15-D17)</f>
        <v>377.16625000000005</v>
      </c>
      <c r="E21" s="16">
        <f>E19+(E15-E17)</f>
        <v>178.36625</v>
      </c>
      <c r="F21" s="16">
        <f>F19+(F15-F17)</f>
        <v>125.16625000000003</v>
      </c>
      <c r="G21" s="16">
        <f>G19+(G15-G17)</f>
        <v>87.16625000000002</v>
      </c>
      <c r="H21" s="23"/>
      <c r="I21" s="23"/>
      <c r="J21" s="16">
        <f>J10*0.125-10/2</f>
        <v>132.25</v>
      </c>
      <c r="K21" s="16">
        <f>K11*0.125-10/2</f>
        <v>70.125</v>
      </c>
      <c r="L21" s="16">
        <f>L11*0.125-10/2</f>
        <v>53.5</v>
      </c>
      <c r="M21" s="16">
        <f>M11*0.125-10/2</f>
        <v>41.625</v>
      </c>
      <c r="N21" s="23"/>
      <c r="O21" s="23"/>
      <c r="P21" s="16">
        <f>P18*0.5</f>
        <v>124.75</v>
      </c>
      <c r="Q21" s="16">
        <f>Q18*0.5</f>
        <v>62.625</v>
      </c>
      <c r="R21" s="16">
        <f>R18*0.5</f>
        <v>46</v>
      </c>
      <c r="S21" s="16">
        <f>S18*0.5</f>
        <v>34.125</v>
      </c>
      <c r="T21" s="23"/>
      <c r="U21" s="23"/>
      <c r="V21" s="16">
        <f>(V18-10)/2</f>
        <v>119.75</v>
      </c>
      <c r="W21" s="16">
        <f>(W18-10)/2</f>
        <v>57.625</v>
      </c>
      <c r="X21" s="16">
        <f>(X18-10)/2</f>
        <v>41</v>
      </c>
      <c r="Y21" s="63">
        <f>(Y18-10)/2</f>
        <v>29.125</v>
      </c>
      <c r="Z21" s="7"/>
      <c r="AA21" s="34" t="s">
        <v>12</v>
      </c>
      <c r="AB21" s="81">
        <f>M22</f>
        <v>279.75</v>
      </c>
      <c r="AC21" s="36">
        <f>M31</f>
        <v>2.7975</v>
      </c>
      <c r="AD21" s="37">
        <f>M30</f>
        <v>0.5248282994714906</v>
      </c>
      <c r="AE21" s="7"/>
      <c r="AF21" s="7"/>
      <c r="AG21" s="7"/>
    </row>
    <row r="22" spans="1:33" ht="21" customHeight="1" thickBot="1">
      <c r="A22" s="164" t="s">
        <v>69</v>
      </c>
      <c r="B22" s="85"/>
      <c r="C22" s="85"/>
      <c r="D22" s="23">
        <f>D12+D13+(D16*0.2)</f>
        <v>333.6675</v>
      </c>
      <c r="E22" s="23">
        <f>E12+E13+(E16*0.2)</f>
        <v>234.2675</v>
      </c>
      <c r="F22" s="23">
        <f>F12+F13+(F16*0.2)</f>
        <v>207.66750000000002</v>
      </c>
      <c r="G22" s="23">
        <f>G12+G13+(G16*0.2)</f>
        <v>188.66750000000002</v>
      </c>
      <c r="H22" s="23"/>
      <c r="I22" s="23"/>
      <c r="J22" s="23">
        <f>0.75*J10</f>
        <v>823.5</v>
      </c>
      <c r="K22" s="23">
        <f>0.75*K11</f>
        <v>450.75</v>
      </c>
      <c r="L22" s="23">
        <f>0.75*L11</f>
        <v>351</v>
      </c>
      <c r="M22" s="23">
        <f>0.75*M11</f>
        <v>279.75</v>
      </c>
      <c r="N22" s="23"/>
      <c r="O22" s="23"/>
      <c r="P22" s="23">
        <f>P12+(P16*0.75)-10</f>
        <v>838.5</v>
      </c>
      <c r="Q22" s="23">
        <f>Q12+(Q16*0.75)-10</f>
        <v>465.75</v>
      </c>
      <c r="R22" s="23">
        <f>R12+(R16*0.75)-10</f>
        <v>366</v>
      </c>
      <c r="S22" s="23">
        <f>S12+(S16*0.75)-10</f>
        <v>294.75</v>
      </c>
      <c r="T22" s="23"/>
      <c r="U22" s="23"/>
      <c r="V22" s="23">
        <f>V12+(V16*0.75)</f>
        <v>848.5</v>
      </c>
      <c r="W22" s="23">
        <f>W12+(W16*0.75)</f>
        <v>475.75</v>
      </c>
      <c r="X22" s="23">
        <f>X12+(X16*0.75)</f>
        <v>376</v>
      </c>
      <c r="Y22" s="64">
        <f>Y12+(Y16*0.75)</f>
        <v>304.75</v>
      </c>
      <c r="Z22" s="7"/>
      <c r="AA22" s="44"/>
      <c r="AB22" s="45"/>
      <c r="AC22" s="46"/>
      <c r="AD22" s="47"/>
      <c r="AE22" s="7"/>
      <c r="AF22" s="7"/>
      <c r="AG22" s="7"/>
    </row>
    <row r="23" spans="1:33" ht="21" customHeight="1" thickTop="1">
      <c r="A23" s="165" t="s">
        <v>32</v>
      </c>
      <c r="B23" s="15"/>
      <c r="C23" s="15"/>
      <c r="D23" s="16">
        <f>SUM(D20:D22)</f>
        <v>1098</v>
      </c>
      <c r="E23" s="16">
        <f>SUM(E20:E22)</f>
        <v>601</v>
      </c>
      <c r="F23" s="16">
        <f>SUM(F20:F22)</f>
        <v>468.00000000000006</v>
      </c>
      <c r="G23" s="16">
        <f>SUM(G20:G22)</f>
        <v>373.00000000000006</v>
      </c>
      <c r="H23" s="23"/>
      <c r="I23" s="23"/>
      <c r="J23" s="16">
        <f>SUM(J20:J22)</f>
        <v>1098</v>
      </c>
      <c r="K23" s="16">
        <f>SUM(K20:K22)</f>
        <v>601</v>
      </c>
      <c r="L23" s="16">
        <f>SUM(L20:L22)</f>
        <v>468</v>
      </c>
      <c r="M23" s="16">
        <f>SUM(M20:M22)</f>
        <v>373</v>
      </c>
      <c r="N23" s="23"/>
      <c r="O23" s="23"/>
      <c r="P23" s="16">
        <f>SUM(P20:P22)</f>
        <v>1098</v>
      </c>
      <c r="Q23" s="16">
        <f>SUM(Q20:Q22)</f>
        <v>601</v>
      </c>
      <c r="R23" s="16">
        <f>SUM(R20:R22)</f>
        <v>468</v>
      </c>
      <c r="S23" s="16">
        <f>SUM(S20:S22)</f>
        <v>373</v>
      </c>
      <c r="T23" s="23"/>
      <c r="U23" s="23"/>
      <c r="V23" s="16">
        <f>SUM(V20:V22)</f>
        <v>1098</v>
      </c>
      <c r="W23" s="16">
        <f>SUM(W20:W22)</f>
        <v>601</v>
      </c>
      <c r="X23" s="16">
        <f>SUM(X20:X22)</f>
        <v>468</v>
      </c>
      <c r="Y23" s="63">
        <f>SUM(Y20:Y22)</f>
        <v>373</v>
      </c>
      <c r="Z23" s="7"/>
      <c r="AA23" s="50" t="s">
        <v>41</v>
      </c>
      <c r="AB23" s="42"/>
      <c r="AC23" s="36"/>
      <c r="AD23" s="43"/>
      <c r="AE23" s="7"/>
      <c r="AF23" s="7"/>
      <c r="AG23" s="7"/>
    </row>
    <row r="24" spans="1:33" ht="21" customHeight="1">
      <c r="A24" s="162" t="s">
        <v>22</v>
      </c>
      <c r="B24" s="24" t="s">
        <v>16</v>
      </c>
      <c r="C24" s="15"/>
      <c r="D24" s="15"/>
      <c r="E24" s="15"/>
      <c r="F24" s="15"/>
      <c r="G24" s="15"/>
      <c r="H24" s="15"/>
      <c r="I24" s="25"/>
      <c r="J24" s="15"/>
      <c r="K24" s="15"/>
      <c r="L24" s="15"/>
      <c r="M24" s="15"/>
      <c r="N24" s="15"/>
      <c r="O24" s="25"/>
      <c r="P24" s="15"/>
      <c r="Q24" s="15"/>
      <c r="R24" s="15"/>
      <c r="S24" s="15"/>
      <c r="T24" s="15"/>
      <c r="U24" s="25"/>
      <c r="V24" s="15"/>
      <c r="W24" s="15"/>
      <c r="X24" s="15"/>
      <c r="Y24" s="65"/>
      <c r="Z24" s="7"/>
      <c r="AA24" s="34" t="s">
        <v>91</v>
      </c>
      <c r="AB24" s="81">
        <f>P22</f>
        <v>838.5</v>
      </c>
      <c r="AC24" s="79">
        <f>P31</f>
        <v>8.385</v>
      </c>
      <c r="AD24" s="80">
        <f>P30</f>
        <v>1.103131852253029</v>
      </c>
      <c r="AE24" s="7"/>
      <c r="AF24" s="7"/>
      <c r="AG24" s="7"/>
    </row>
    <row r="25" spans="1:33" ht="21" customHeight="1">
      <c r="A25" s="126" t="s">
        <v>15</v>
      </c>
      <c r="B25" s="24">
        <v>1</v>
      </c>
      <c r="C25" s="24"/>
      <c r="D25" s="15">
        <v>-100</v>
      </c>
      <c r="E25" s="15">
        <v>-100</v>
      </c>
      <c r="F25" s="15">
        <v>-100</v>
      </c>
      <c r="G25" s="15">
        <v>-100</v>
      </c>
      <c r="H25" s="15"/>
      <c r="I25" s="15"/>
      <c r="J25" s="15">
        <v>-100</v>
      </c>
      <c r="K25" s="15">
        <v>-100</v>
      </c>
      <c r="L25" s="15">
        <v>-100</v>
      </c>
      <c r="M25" s="15">
        <v>-100</v>
      </c>
      <c r="N25" s="15"/>
      <c r="O25" s="15"/>
      <c r="P25" s="15">
        <v>-110</v>
      </c>
      <c r="Q25" s="15">
        <v>-110</v>
      </c>
      <c r="R25" s="15">
        <v>-110</v>
      </c>
      <c r="S25" s="15">
        <v>-110</v>
      </c>
      <c r="T25" s="15"/>
      <c r="U25" s="15"/>
      <c r="V25" s="15">
        <v>-100</v>
      </c>
      <c r="W25" s="15">
        <v>-100</v>
      </c>
      <c r="X25" s="15">
        <v>-100</v>
      </c>
      <c r="Y25" s="65">
        <v>-100</v>
      </c>
      <c r="Z25" s="7"/>
      <c r="AA25" s="34" t="s">
        <v>1</v>
      </c>
      <c r="AB25" s="35">
        <f>Q22</f>
        <v>465.75</v>
      </c>
      <c r="AC25" s="36">
        <f>Q31</f>
        <v>4.6575</v>
      </c>
      <c r="AD25" s="37">
        <f>Q30</f>
        <v>0.7521835379432473</v>
      </c>
      <c r="AE25" s="7"/>
      <c r="AF25" s="7"/>
      <c r="AG25" s="7"/>
    </row>
    <row r="26" spans="1:33" ht="21" customHeight="1">
      <c r="A26" s="126"/>
      <c r="B26" s="24">
        <v>2</v>
      </c>
      <c r="C26" s="24"/>
      <c r="D26" s="15">
        <v>0</v>
      </c>
      <c r="E26" s="15">
        <v>0</v>
      </c>
      <c r="F26" s="15">
        <v>0</v>
      </c>
      <c r="G26" s="15">
        <v>0</v>
      </c>
      <c r="H26" s="15"/>
      <c r="I26" s="25"/>
      <c r="J26" s="15">
        <v>0</v>
      </c>
      <c r="K26" s="15">
        <v>0</v>
      </c>
      <c r="L26" s="15">
        <v>0</v>
      </c>
      <c r="M26" s="15">
        <v>0</v>
      </c>
      <c r="N26" s="15"/>
      <c r="O26" s="15"/>
      <c r="P26" s="15">
        <v>0</v>
      </c>
      <c r="Q26" s="15">
        <v>0</v>
      </c>
      <c r="R26" s="15">
        <v>0</v>
      </c>
      <c r="S26" s="15">
        <v>0</v>
      </c>
      <c r="T26" s="15"/>
      <c r="U26" s="15"/>
      <c r="V26" s="15">
        <v>0</v>
      </c>
      <c r="W26" s="15">
        <v>0</v>
      </c>
      <c r="X26" s="15">
        <v>0</v>
      </c>
      <c r="Y26" s="65">
        <v>0</v>
      </c>
      <c r="Z26" s="7"/>
      <c r="AA26" s="34" t="s">
        <v>7</v>
      </c>
      <c r="AB26" s="81">
        <f>R22</f>
        <v>366</v>
      </c>
      <c r="AC26" s="36">
        <f>R31</f>
        <v>3.66</v>
      </c>
      <c r="AD26" s="37">
        <f>R30</f>
        <v>0.6231160540813112</v>
      </c>
      <c r="AE26" s="7"/>
      <c r="AF26" s="7"/>
      <c r="AG26" s="7"/>
    </row>
    <row r="27" spans="1:33" ht="21" customHeight="1">
      <c r="A27" s="126"/>
      <c r="B27" s="24">
        <v>3</v>
      </c>
      <c r="C27" s="24"/>
      <c r="D27" s="16">
        <f>190*0.8</f>
        <v>152</v>
      </c>
      <c r="E27" s="16">
        <f>190*0.8</f>
        <v>152</v>
      </c>
      <c r="F27" s="16">
        <f>190*0.8</f>
        <v>152</v>
      </c>
      <c r="G27" s="16">
        <f>190*0.8</f>
        <v>152</v>
      </c>
      <c r="H27" s="16"/>
      <c r="I27" s="15"/>
      <c r="J27" s="16">
        <f>190*0.75</f>
        <v>142.5</v>
      </c>
      <c r="K27" s="16">
        <f>190*0.75</f>
        <v>142.5</v>
      </c>
      <c r="L27" s="16">
        <f>190*0.75</f>
        <v>142.5</v>
      </c>
      <c r="M27" s="16">
        <f>190*0.75</f>
        <v>142.5</v>
      </c>
      <c r="N27" s="15"/>
      <c r="O27" s="15"/>
      <c r="P27" s="15">
        <f>P12+0.75*(190-P12)</f>
        <v>167.5</v>
      </c>
      <c r="Q27" s="15">
        <f>Q12+0.75*(190-Q12)</f>
        <v>167.5</v>
      </c>
      <c r="R27" s="15">
        <f>R12+0.75*(190-R12)</f>
        <v>167.5</v>
      </c>
      <c r="S27" s="15">
        <f>S12+0.75*(190-S12)</f>
        <v>167.5</v>
      </c>
      <c r="T27" s="15"/>
      <c r="U27" s="15"/>
      <c r="V27" s="15">
        <f>V12+0.75*(190-V12)</f>
        <v>167.5</v>
      </c>
      <c r="W27" s="15">
        <f>W12+0.75*(190-W12)</f>
        <v>167.5</v>
      </c>
      <c r="X27" s="15">
        <f>X12+0.75*(190-X12)</f>
        <v>167.5</v>
      </c>
      <c r="Y27" s="65">
        <f>Y12+0.75*(190-Y12)</f>
        <v>167.5</v>
      </c>
      <c r="Z27" s="7"/>
      <c r="AA27" s="34" t="s">
        <v>12</v>
      </c>
      <c r="AB27" s="81">
        <f>S22</f>
        <v>294.75</v>
      </c>
      <c r="AC27" s="36">
        <f>S31</f>
        <v>2.9475</v>
      </c>
      <c r="AD27" s="37">
        <f>S30</f>
        <v>0.5124743645882746</v>
      </c>
      <c r="AE27" s="7"/>
      <c r="AF27" s="7"/>
      <c r="AG27" s="7"/>
    </row>
    <row r="28" spans="1:33" ht="21" customHeight="1" thickBot="1">
      <c r="A28" s="126"/>
      <c r="B28" s="24">
        <v>4</v>
      </c>
      <c r="C28" s="24"/>
      <c r="D28" s="16">
        <f>D20</f>
        <v>387.16625000000005</v>
      </c>
      <c r="E28" s="16">
        <f>E20</f>
        <v>188.36625</v>
      </c>
      <c r="F28" s="16">
        <f>F19</f>
        <v>111.15500000000003</v>
      </c>
      <c r="G28" s="16">
        <f>G19</f>
        <v>73.15500000000002</v>
      </c>
      <c r="H28" s="16"/>
      <c r="I28" s="25"/>
      <c r="J28" s="16">
        <f>J22-J27</f>
        <v>681</v>
      </c>
      <c r="K28" s="16">
        <f>K22-K27</f>
        <v>308.25</v>
      </c>
      <c r="L28" s="16">
        <f>L22-L27</f>
        <v>208.5</v>
      </c>
      <c r="M28" s="16">
        <f>M22-M27</f>
        <v>137.25</v>
      </c>
      <c r="N28" s="16"/>
      <c r="O28" s="25"/>
      <c r="P28" s="16">
        <f>P22-P27</f>
        <v>671</v>
      </c>
      <c r="Q28" s="16">
        <f>Q22-Q27</f>
        <v>298.25</v>
      </c>
      <c r="R28" s="16">
        <f>R22-R27</f>
        <v>198.5</v>
      </c>
      <c r="S28" s="16">
        <f>S22-S27</f>
        <v>127.25</v>
      </c>
      <c r="T28" s="16"/>
      <c r="U28" s="25"/>
      <c r="V28" s="16">
        <f>V22-V27</f>
        <v>681</v>
      </c>
      <c r="W28" s="16">
        <f>W22-W27</f>
        <v>308.25</v>
      </c>
      <c r="X28" s="16">
        <f>X22-X27</f>
        <v>208.5</v>
      </c>
      <c r="Y28" s="63">
        <f>Y22-Y27</f>
        <v>137.25</v>
      </c>
      <c r="Z28" s="7"/>
      <c r="AA28" s="44"/>
      <c r="AB28" s="45"/>
      <c r="AC28" s="46"/>
      <c r="AD28" s="47"/>
      <c r="AE28" s="7"/>
      <c r="AF28" s="7"/>
      <c r="AG28" s="7"/>
    </row>
    <row r="29" spans="1:33" ht="21" customHeight="1" thickTop="1">
      <c r="A29" s="126"/>
      <c r="B29" s="15"/>
      <c r="C29" s="15"/>
      <c r="D29" s="15"/>
      <c r="E29" s="15"/>
      <c r="F29" s="15"/>
      <c r="G29" s="15"/>
      <c r="H29" s="15"/>
      <c r="I29" s="25"/>
      <c r="J29" s="20"/>
      <c r="K29" s="20"/>
      <c r="L29" s="20"/>
      <c r="M29" s="15"/>
      <c r="N29" s="15"/>
      <c r="O29" s="25"/>
      <c r="P29" s="20"/>
      <c r="Q29" s="20"/>
      <c r="R29" s="20"/>
      <c r="S29" s="15"/>
      <c r="T29" s="15"/>
      <c r="U29" s="25"/>
      <c r="V29" s="20"/>
      <c r="W29" s="20"/>
      <c r="X29" s="20"/>
      <c r="Y29" s="65"/>
      <c r="Z29" s="7"/>
      <c r="AA29" s="60" t="s">
        <v>42</v>
      </c>
      <c r="AB29" s="42"/>
      <c r="AC29" s="36"/>
      <c r="AD29" s="43"/>
      <c r="AE29" s="7"/>
      <c r="AF29" s="7"/>
      <c r="AG29" s="7"/>
    </row>
    <row r="30" spans="1:33" ht="21" customHeight="1">
      <c r="A30" s="126" t="s">
        <v>56</v>
      </c>
      <c r="B30" s="15"/>
      <c r="C30" s="15"/>
      <c r="D30" s="75">
        <f>IRR(D25:D28)</f>
        <v>0.8892595273691037</v>
      </c>
      <c r="E30" s="75">
        <f>IRR(E25:E28)</f>
        <v>0.6347137122887196</v>
      </c>
      <c r="F30" s="75">
        <f aca="true" t="shared" si="0" ref="F30:S30">IRR(F25:F28)</f>
        <v>0.5031558606149522</v>
      </c>
      <c r="G30" s="75">
        <f t="shared" si="0"/>
        <v>0.4258544095276888</v>
      </c>
      <c r="H30" s="75"/>
      <c r="I30" s="75"/>
      <c r="J30" s="75">
        <f>IRR(J25:J28)</f>
        <v>1.1447920594894097</v>
      </c>
      <c r="K30" s="75">
        <f t="shared" si="0"/>
        <v>0.7774273749129341</v>
      </c>
      <c r="L30" s="75">
        <f t="shared" si="0"/>
        <v>0.6416620614952955</v>
      </c>
      <c r="M30" s="75">
        <f t="shared" si="0"/>
        <v>0.5248282994714906</v>
      </c>
      <c r="N30" s="75"/>
      <c r="O30" s="75"/>
      <c r="P30" s="75">
        <f>IRR(P25:P28)</f>
        <v>1.103131852253029</v>
      </c>
      <c r="Q30" s="75">
        <f t="shared" si="0"/>
        <v>0.7521835379432473</v>
      </c>
      <c r="R30" s="75">
        <f t="shared" si="0"/>
        <v>0.6231160540813112</v>
      </c>
      <c r="S30" s="75">
        <f t="shared" si="0"/>
        <v>0.5124743645882746</v>
      </c>
      <c r="T30" s="75"/>
      <c r="U30" s="75"/>
      <c r="V30" s="75">
        <f>IRR(V25:V28)</f>
        <v>1.1880150804780185</v>
      </c>
      <c r="W30" s="75">
        <f>IRR(W25:W28)</f>
        <v>0.8322975033492188</v>
      </c>
      <c r="X30" s="75">
        <f>IRR(X25:X28)</f>
        <v>0.702782059358181</v>
      </c>
      <c r="Y30" s="76">
        <f>IRR(Y25:Y28)</f>
        <v>0.5927136638630122</v>
      </c>
      <c r="Z30" s="7"/>
      <c r="AA30" s="34" t="s">
        <v>91</v>
      </c>
      <c r="AB30" s="81">
        <f>V22</f>
        <v>848.5</v>
      </c>
      <c r="AC30" s="79">
        <f>V31</f>
        <v>8.485</v>
      </c>
      <c r="AD30" s="80">
        <f>V30</f>
        <v>1.1880150804780185</v>
      </c>
      <c r="AE30" s="7"/>
      <c r="AF30" s="7"/>
      <c r="AG30" s="7"/>
    </row>
    <row r="31" spans="1:33" ht="21" customHeight="1">
      <c r="A31" s="126" t="s">
        <v>57</v>
      </c>
      <c r="B31" s="15"/>
      <c r="C31" s="15"/>
      <c r="D31" s="77">
        <f>D22/D12</f>
        <v>3.336675</v>
      </c>
      <c r="E31" s="77">
        <f>E22/E12</f>
        <v>2.3426750000000003</v>
      </c>
      <c r="F31" s="77">
        <f>F22/F12</f>
        <v>2.0766750000000003</v>
      </c>
      <c r="G31" s="77">
        <f>G22/G12</f>
        <v>1.886675</v>
      </c>
      <c r="H31" s="77"/>
      <c r="I31" s="77"/>
      <c r="J31" s="77">
        <f>J22/J12</f>
        <v>8.235</v>
      </c>
      <c r="K31" s="77">
        <f>K22/K12</f>
        <v>4.5075</v>
      </c>
      <c r="L31" s="77">
        <f>L22/L12</f>
        <v>3.51</v>
      </c>
      <c r="M31" s="77">
        <f>M22/M12</f>
        <v>2.7975</v>
      </c>
      <c r="N31" s="77"/>
      <c r="O31" s="77"/>
      <c r="P31" s="77">
        <f>P22/P12</f>
        <v>8.385</v>
      </c>
      <c r="Q31" s="77">
        <f>Q22/Q12</f>
        <v>4.6575</v>
      </c>
      <c r="R31" s="77">
        <f>R22/R12</f>
        <v>3.66</v>
      </c>
      <c r="S31" s="77">
        <f>S22/S12</f>
        <v>2.9475</v>
      </c>
      <c r="T31" s="77"/>
      <c r="U31" s="77"/>
      <c r="V31" s="77">
        <f>V22/V12</f>
        <v>8.485</v>
      </c>
      <c r="W31" s="77">
        <f>W22/W12</f>
        <v>4.7575</v>
      </c>
      <c r="X31" s="77">
        <f>X22/X12</f>
        <v>3.76</v>
      </c>
      <c r="Y31" s="78">
        <f>Y22/Y12</f>
        <v>3.0475</v>
      </c>
      <c r="Z31" s="7"/>
      <c r="AA31" s="34" t="s">
        <v>1</v>
      </c>
      <c r="AB31" s="35">
        <f>W22</f>
        <v>475.75</v>
      </c>
      <c r="AC31" s="36">
        <f>W31</f>
        <v>4.7575</v>
      </c>
      <c r="AD31" s="37">
        <f>W30</f>
        <v>0.8322975033492188</v>
      </c>
      <c r="AE31" s="7"/>
      <c r="AF31" s="7"/>
      <c r="AG31" s="7"/>
    </row>
    <row r="32" spans="1:33" ht="21" customHeight="1" thickBot="1">
      <c r="A32" s="1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7"/>
      <c r="AA32" s="34" t="s">
        <v>7</v>
      </c>
      <c r="AB32" s="81">
        <f>X22</f>
        <v>376</v>
      </c>
      <c r="AC32" s="36">
        <f>X31</f>
        <v>3.76</v>
      </c>
      <c r="AD32" s="37">
        <f>X30</f>
        <v>0.702782059358181</v>
      </c>
      <c r="AE32" s="7"/>
      <c r="AF32" s="7"/>
      <c r="AG32" s="7"/>
    </row>
    <row r="33" spans="1:33" ht="21" customHeight="1" thickBot="1">
      <c r="A33" s="122" t="s">
        <v>98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7"/>
      <c r="Z33" s="7"/>
      <c r="AA33" s="34" t="s">
        <v>12</v>
      </c>
      <c r="AB33" s="81">
        <f>Y22</f>
        <v>304.75</v>
      </c>
      <c r="AC33" s="36">
        <f>Y31</f>
        <v>3.0475</v>
      </c>
      <c r="AD33" s="37">
        <f>Y30</f>
        <v>0.5927136638630122</v>
      </c>
      <c r="AE33" s="7"/>
      <c r="AF33" s="7"/>
      <c r="AG33" s="7"/>
    </row>
    <row r="34" spans="1:33" ht="21" customHeight="1" thickBot="1">
      <c r="A34" s="167" t="s">
        <v>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/>
      <c r="Z34" s="7"/>
      <c r="AA34" s="56"/>
      <c r="AB34" s="57"/>
      <c r="AC34" s="58"/>
      <c r="AD34" s="59"/>
      <c r="AE34" s="7"/>
      <c r="AF34" s="7"/>
      <c r="AG34" s="7"/>
    </row>
    <row r="35" spans="1:33" ht="21" customHeight="1" thickBot="1">
      <c r="A35" s="56" t="s">
        <v>49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7"/>
      <c r="AE35" s="11"/>
      <c r="AF35" s="11"/>
      <c r="AG35" s="11"/>
    </row>
    <row r="36" ht="21" customHeight="1"/>
    <row r="37" spans="1:13" ht="21" customHeight="1">
      <c r="A37" s="51"/>
      <c r="B37" s="51"/>
      <c r="C37" s="53"/>
      <c r="D37" s="53"/>
      <c r="E37" s="53"/>
      <c r="F37" s="53"/>
      <c r="G37" s="53"/>
      <c r="H37" s="53"/>
      <c r="I37" s="327" t="s">
        <v>36</v>
      </c>
      <c r="J37" s="327"/>
      <c r="K37" s="327"/>
      <c r="L37" s="327"/>
      <c r="M37" s="327"/>
    </row>
    <row r="38" spans="1:13" ht="21" customHeight="1">
      <c r="A38" s="51"/>
      <c r="B38" s="51"/>
      <c r="C38" s="54" t="s">
        <v>27</v>
      </c>
      <c r="D38" s="54"/>
      <c r="E38" s="54" t="s">
        <v>31</v>
      </c>
      <c r="F38" s="54" t="s">
        <v>33</v>
      </c>
      <c r="G38" s="54" t="s">
        <v>34</v>
      </c>
      <c r="H38" s="54"/>
      <c r="I38" s="54" t="s">
        <v>37</v>
      </c>
      <c r="J38" s="54"/>
      <c r="K38" s="54" t="s">
        <v>38</v>
      </c>
      <c r="L38" s="54" t="s">
        <v>39</v>
      </c>
      <c r="M38" s="54" t="s">
        <v>32</v>
      </c>
    </row>
    <row r="39" spans="1:27" ht="21" customHeight="1">
      <c r="A39" s="51" t="s">
        <v>28</v>
      </c>
      <c r="B39" s="51"/>
      <c r="C39" s="51">
        <v>45.5</v>
      </c>
      <c r="D39" s="51"/>
      <c r="E39" s="51">
        <v>1181</v>
      </c>
      <c r="F39" s="51">
        <v>821</v>
      </c>
      <c r="G39" s="51">
        <v>597</v>
      </c>
      <c r="H39" s="51"/>
      <c r="I39" s="51">
        <v>0</v>
      </c>
      <c r="J39" s="51"/>
      <c r="K39" s="51">
        <v>5.32</v>
      </c>
      <c r="L39" s="51">
        <v>0</v>
      </c>
      <c r="M39" s="51">
        <f>SUM(I39:L39)</f>
        <v>5.32</v>
      </c>
      <c r="AA39" s="118"/>
    </row>
    <row r="40" spans="1:13" ht="21" customHeight="1">
      <c r="A40" s="51" t="s">
        <v>30</v>
      </c>
      <c r="B40" s="51"/>
      <c r="C40" s="51">
        <v>80</v>
      </c>
      <c r="D40" s="51"/>
      <c r="E40" s="51">
        <v>539</v>
      </c>
      <c r="F40" s="51">
        <v>413</v>
      </c>
      <c r="G40" s="51">
        <v>324</v>
      </c>
      <c r="H40" s="51"/>
      <c r="I40" s="51">
        <v>3.75</v>
      </c>
      <c r="J40" s="51"/>
      <c r="K40" s="51">
        <v>6.59</v>
      </c>
      <c r="L40" s="51">
        <v>2.5</v>
      </c>
      <c r="M40" s="51">
        <f>SUM(I40:L40)</f>
        <v>12.84</v>
      </c>
    </row>
    <row r="41" spans="1:13" ht="21" customHeight="1">
      <c r="A41" s="51" t="s">
        <v>29</v>
      </c>
      <c r="B41" s="51"/>
      <c r="C41" s="55">
        <v>25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21" customHeight="1">
      <c r="A42" s="52" t="s">
        <v>32</v>
      </c>
      <c r="B42" s="51"/>
      <c r="C42" s="51">
        <f>SUM(C39:C41)</f>
        <v>150.5</v>
      </c>
      <c r="D42" s="51"/>
      <c r="E42" s="51">
        <f>SUM(E39:E41)</f>
        <v>1720</v>
      </c>
      <c r="F42" s="51">
        <f>SUM(F39:F41)</f>
        <v>1234</v>
      </c>
      <c r="G42" s="51">
        <f>SUM(G39:G41)</f>
        <v>921</v>
      </c>
      <c r="H42" s="51"/>
      <c r="I42" s="51">
        <f>SUM(I39:I41)</f>
        <v>3.75</v>
      </c>
      <c r="J42" s="51"/>
      <c r="K42" s="51">
        <f>SUM(K39:K41)</f>
        <v>11.91</v>
      </c>
      <c r="L42" s="51">
        <f>SUM(L39:L41)</f>
        <v>2.5</v>
      </c>
      <c r="M42" s="51">
        <f>SUM(M39:M41)</f>
        <v>18.16</v>
      </c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15">
    <mergeCell ref="AA7:AD7"/>
    <mergeCell ref="I37:M37"/>
    <mergeCell ref="AA5:AD5"/>
    <mergeCell ref="C6:G6"/>
    <mergeCell ref="I6:M6"/>
    <mergeCell ref="O6:S6"/>
    <mergeCell ref="U6:Y6"/>
    <mergeCell ref="AA6:AD6"/>
    <mergeCell ref="A1:Y1"/>
    <mergeCell ref="A2:Y2"/>
    <mergeCell ref="A3:Y3"/>
    <mergeCell ref="C5:G5"/>
    <mergeCell ref="I5:M5"/>
    <mergeCell ref="O5:S5"/>
    <mergeCell ref="U5:Y5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7">
      <selection activeCell="N7" sqref="N7:Q34"/>
    </sheetView>
  </sheetViews>
  <sheetFormatPr defaultColWidth="9.140625" defaultRowHeight="12.75"/>
  <cols>
    <col min="1" max="1" width="31.28125" style="0" customWidth="1"/>
    <col min="2" max="2" width="6.421875" style="0" customWidth="1"/>
    <col min="3" max="3" width="33.7109375" style="0" customWidth="1"/>
    <col min="4" max="4" width="6.421875" style="0" customWidth="1"/>
    <col min="5" max="7" width="14.7109375" style="0" customWidth="1"/>
    <col min="8" max="8" width="6.57421875" style="0" customWidth="1"/>
    <col min="9" max="11" width="14.7109375" style="0" customWidth="1"/>
    <col min="14" max="14" width="20.7109375" style="0" customWidth="1"/>
    <col min="15" max="15" width="12.57421875" style="0" customWidth="1"/>
    <col min="16" max="16" width="11.7109375" style="0" customWidth="1"/>
    <col min="17" max="17" width="12.7109375" style="0" customWidth="1"/>
  </cols>
  <sheetData>
    <row r="1" spans="1:11" ht="45">
      <c r="A1" s="371" t="s">
        <v>77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30">
      <c r="A2" s="372" t="s">
        <v>78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30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5" spans="2:11" ht="18">
      <c r="B5" s="86"/>
      <c r="C5" s="86"/>
      <c r="D5" s="86"/>
      <c r="E5" s="369" t="s">
        <v>67</v>
      </c>
      <c r="F5" s="369"/>
      <c r="G5" s="369"/>
      <c r="H5" s="86"/>
      <c r="I5" s="370" t="s">
        <v>73</v>
      </c>
      <c r="J5" s="370"/>
      <c r="K5" s="370"/>
    </row>
    <row r="6" spans="2:11" ht="18"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8">
      <c r="A7" s="88" t="s">
        <v>79</v>
      </c>
      <c r="B7" s="88"/>
      <c r="C7" s="88" t="s">
        <v>75</v>
      </c>
      <c r="D7" s="86"/>
      <c r="E7" s="92" t="s">
        <v>1</v>
      </c>
      <c r="F7" s="92" t="s">
        <v>6</v>
      </c>
      <c r="G7" s="92" t="s">
        <v>0</v>
      </c>
      <c r="H7" s="86"/>
      <c r="I7" s="87" t="s">
        <v>1</v>
      </c>
      <c r="J7" s="87" t="s">
        <v>6</v>
      </c>
      <c r="K7" s="87" t="s">
        <v>0</v>
      </c>
    </row>
    <row r="8" spans="2:11" ht="18">
      <c r="B8" s="86"/>
      <c r="D8" s="86"/>
      <c r="E8" s="92" t="s">
        <v>4</v>
      </c>
      <c r="F8" s="92" t="s">
        <v>3</v>
      </c>
      <c r="G8" s="92" t="s">
        <v>2</v>
      </c>
      <c r="H8" s="86"/>
      <c r="I8" s="87" t="s">
        <v>4</v>
      </c>
      <c r="J8" s="87" t="s">
        <v>3</v>
      </c>
      <c r="K8" s="87" t="s">
        <v>2</v>
      </c>
    </row>
    <row r="9" spans="2:11" ht="18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>
      <c r="A10" s="86" t="s">
        <v>43</v>
      </c>
      <c r="B10" s="86"/>
      <c r="C10" s="86" t="s">
        <v>17</v>
      </c>
      <c r="D10" s="86"/>
      <c r="E10" s="89">
        <v>1043.55125</v>
      </c>
      <c r="F10" s="90">
        <v>29.815749999999998</v>
      </c>
      <c r="G10" s="91">
        <v>2.197964997829584</v>
      </c>
      <c r="H10" s="90"/>
      <c r="I10" s="89">
        <v>726.8975</v>
      </c>
      <c r="J10" s="90">
        <v>4.845983333333334</v>
      </c>
      <c r="K10" s="91">
        <v>0.8276289491776812</v>
      </c>
    </row>
    <row r="11" spans="2:11" ht="18">
      <c r="B11" s="86"/>
      <c r="C11" s="86"/>
      <c r="D11" s="86"/>
      <c r="E11" s="89"/>
      <c r="F11" s="90"/>
      <c r="G11" s="91"/>
      <c r="H11" s="90"/>
      <c r="I11" s="89"/>
      <c r="J11" s="90"/>
      <c r="K11" s="91"/>
    </row>
    <row r="12" spans="2:11" ht="18">
      <c r="B12" s="86"/>
      <c r="C12" s="86" t="s">
        <v>20</v>
      </c>
      <c r="D12" s="86"/>
      <c r="E12" s="89">
        <v>364.875</v>
      </c>
      <c r="F12" s="90">
        <v>10.425</v>
      </c>
      <c r="G12" s="91">
        <v>1.3159869287109012</v>
      </c>
      <c r="H12" s="90"/>
      <c r="I12" s="89">
        <v>2084.25</v>
      </c>
      <c r="J12" s="90">
        <v>13.895</v>
      </c>
      <c r="K12" s="91">
        <v>1.4988637318582922</v>
      </c>
    </row>
    <row r="13" spans="2:11" ht="18">
      <c r="B13" s="86"/>
      <c r="C13" s="86"/>
      <c r="D13" s="86"/>
      <c r="E13" s="89"/>
      <c r="F13" s="90"/>
      <c r="G13" s="91"/>
      <c r="H13" s="90"/>
      <c r="I13" s="89"/>
      <c r="J13" s="90"/>
      <c r="K13" s="91"/>
    </row>
    <row r="14" spans="2:11" ht="18">
      <c r="B14" s="86"/>
      <c r="C14" s="86" t="s">
        <v>74</v>
      </c>
      <c r="D14" s="86"/>
      <c r="E14" s="89">
        <v>363.625</v>
      </c>
      <c r="F14" s="90">
        <v>10.389285714285714</v>
      </c>
      <c r="G14" s="91">
        <v>1.6782131762687178</v>
      </c>
      <c r="H14" s="90"/>
      <c r="I14" s="89">
        <v>2086.75</v>
      </c>
      <c r="J14" s="90">
        <v>11.27972972972973</v>
      </c>
      <c r="K14" s="91">
        <v>1.3477569746758689</v>
      </c>
    </row>
    <row r="15" spans="2:11" ht="18">
      <c r="B15" s="86"/>
      <c r="C15" s="86"/>
      <c r="D15" s="86"/>
      <c r="E15" s="89"/>
      <c r="F15" s="90"/>
      <c r="G15" s="91"/>
      <c r="H15" s="90"/>
      <c r="I15" s="89"/>
      <c r="J15" s="90"/>
      <c r="K15" s="91"/>
    </row>
    <row r="16" spans="2:11" ht="18">
      <c r="B16" s="86"/>
      <c r="C16" s="86" t="s">
        <v>42</v>
      </c>
      <c r="D16" s="86"/>
      <c r="E16" s="89">
        <v>346.125</v>
      </c>
      <c r="F16" s="90">
        <v>9.889285714285714</v>
      </c>
      <c r="G16" s="91">
        <v>1.2305562606503355</v>
      </c>
      <c r="H16" s="90"/>
      <c r="I16" s="89">
        <v>2121.75</v>
      </c>
      <c r="J16" s="90">
        <v>14.145</v>
      </c>
      <c r="K16" s="91">
        <v>1.5455231001182659</v>
      </c>
    </row>
    <row r="17" spans="2:11" ht="18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 ht="18">
      <c r="B18" s="86"/>
      <c r="C18" s="86"/>
      <c r="D18" s="86"/>
      <c r="E18" s="92" t="s">
        <v>1</v>
      </c>
      <c r="F18" s="92" t="s">
        <v>6</v>
      </c>
      <c r="G18" s="92" t="s">
        <v>0</v>
      </c>
      <c r="H18" s="86"/>
      <c r="I18" s="87" t="s">
        <v>1</v>
      </c>
      <c r="J18" s="87" t="s">
        <v>6</v>
      </c>
      <c r="K18" s="87" t="s">
        <v>0</v>
      </c>
    </row>
    <row r="19" spans="2:11" ht="18">
      <c r="B19" s="86"/>
      <c r="C19" s="86"/>
      <c r="D19" s="86"/>
      <c r="E19" s="92" t="s">
        <v>4</v>
      </c>
      <c r="F19" s="92" t="s">
        <v>3</v>
      </c>
      <c r="G19" s="92" t="s">
        <v>2</v>
      </c>
      <c r="H19" s="86"/>
      <c r="I19" s="87" t="s">
        <v>4</v>
      </c>
      <c r="J19" s="87" t="s">
        <v>3</v>
      </c>
      <c r="K19" s="87" t="s">
        <v>2</v>
      </c>
    </row>
    <row r="20" spans="2:11" ht="18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8">
      <c r="A21" s="86" t="s">
        <v>46</v>
      </c>
      <c r="B21" s="86"/>
      <c r="C21" s="86" t="s">
        <v>17</v>
      </c>
      <c r="D21" s="86"/>
      <c r="E21" s="89">
        <v>188.36625</v>
      </c>
      <c r="F21" s="90">
        <v>18.836625</v>
      </c>
      <c r="G21" s="91">
        <v>1.9604026834231933</v>
      </c>
      <c r="H21" s="90"/>
      <c r="I21" s="89">
        <v>234.2675</v>
      </c>
      <c r="J21" s="90">
        <v>2.3426750000000003</v>
      </c>
      <c r="K21" s="91">
        <v>0.6347137122887196</v>
      </c>
    </row>
    <row r="22" spans="2:11" ht="18">
      <c r="B22" s="86"/>
      <c r="C22" s="86"/>
      <c r="D22" s="86"/>
      <c r="E22" s="89"/>
      <c r="F22" s="90"/>
      <c r="G22" s="91"/>
      <c r="H22" s="90"/>
      <c r="I22" s="89"/>
      <c r="J22" s="90"/>
      <c r="K22" s="91"/>
    </row>
    <row r="23" spans="2:11" ht="18">
      <c r="B23" s="86"/>
      <c r="C23" s="86" t="s">
        <v>20</v>
      </c>
      <c r="D23" s="86"/>
      <c r="E23" s="89">
        <v>80.125</v>
      </c>
      <c r="F23" s="90">
        <v>8.0125</v>
      </c>
      <c r="G23" s="91">
        <v>1.2673472903512017</v>
      </c>
      <c r="I23" s="89">
        <v>450.75</v>
      </c>
      <c r="J23" s="90">
        <v>4.5075</v>
      </c>
      <c r="K23" s="91">
        <v>0.7774273749129341</v>
      </c>
    </row>
    <row r="24" spans="2:11" ht="18">
      <c r="B24" s="86"/>
      <c r="C24" s="86"/>
      <c r="D24" s="86"/>
      <c r="E24" s="89"/>
      <c r="F24" s="90"/>
      <c r="G24" s="91"/>
      <c r="H24" s="90"/>
      <c r="I24" s="89"/>
      <c r="J24" s="90"/>
      <c r="K24" s="91"/>
    </row>
    <row r="25" spans="2:11" ht="18">
      <c r="B25" s="86"/>
      <c r="C25" s="86" t="s">
        <v>74</v>
      </c>
      <c r="D25" s="86"/>
      <c r="E25" s="89">
        <v>72.625</v>
      </c>
      <c r="F25" s="90">
        <v>7.2625</v>
      </c>
      <c r="G25" s="91">
        <v>1.4657353503825927</v>
      </c>
      <c r="H25" s="90"/>
      <c r="I25" s="89">
        <v>465.75</v>
      </c>
      <c r="J25" s="90">
        <v>4.6575</v>
      </c>
      <c r="K25" s="91">
        <v>0.7521835379432473</v>
      </c>
    </row>
    <row r="26" spans="2:11" ht="18">
      <c r="B26" s="86"/>
      <c r="C26" s="86"/>
      <c r="D26" s="86"/>
      <c r="E26" s="89"/>
      <c r="F26" s="90"/>
      <c r="G26" s="91"/>
      <c r="H26" s="90"/>
      <c r="I26" s="89"/>
      <c r="J26" s="90"/>
      <c r="K26" s="91"/>
    </row>
    <row r="27" spans="2:11" ht="18">
      <c r="B27" s="86"/>
      <c r="C27" s="86" t="s">
        <v>42</v>
      </c>
      <c r="D27" s="86"/>
      <c r="E27" s="89">
        <v>67.625</v>
      </c>
      <c r="F27" s="90">
        <v>6.7625</v>
      </c>
      <c r="G27" s="91">
        <v>0.98959555041007</v>
      </c>
      <c r="H27" s="90"/>
      <c r="I27" s="89">
        <v>475.75</v>
      </c>
      <c r="J27" s="90">
        <v>4.7575</v>
      </c>
      <c r="K27" s="91">
        <v>0.8322975033492188</v>
      </c>
    </row>
    <row r="28" spans="2:11" ht="18">
      <c r="B28" s="86"/>
      <c r="C28" s="86"/>
      <c r="D28" s="86"/>
      <c r="E28" s="89"/>
      <c r="F28" s="90"/>
      <c r="G28" s="91"/>
      <c r="H28" s="90"/>
      <c r="I28" s="89"/>
      <c r="J28" s="90"/>
      <c r="K28" s="91"/>
    </row>
    <row r="29" spans="2:11" ht="18">
      <c r="B29" s="86"/>
      <c r="C29" s="86"/>
      <c r="D29" s="86"/>
      <c r="E29" s="92" t="s">
        <v>1</v>
      </c>
      <c r="F29" s="92" t="s">
        <v>6</v>
      </c>
      <c r="G29" s="92" t="s">
        <v>0</v>
      </c>
      <c r="H29" s="86"/>
      <c r="I29" s="87" t="s">
        <v>1</v>
      </c>
      <c r="J29" s="87" t="s">
        <v>6</v>
      </c>
      <c r="K29" s="87" t="s">
        <v>0</v>
      </c>
    </row>
    <row r="30" spans="2:11" ht="18">
      <c r="B30" s="86"/>
      <c r="C30" s="86"/>
      <c r="D30" s="86"/>
      <c r="E30" s="92" t="s">
        <v>4</v>
      </c>
      <c r="F30" s="92" t="s">
        <v>3</v>
      </c>
      <c r="G30" s="92" t="s">
        <v>2</v>
      </c>
      <c r="H30" s="86"/>
      <c r="I30" s="87" t="s">
        <v>4</v>
      </c>
      <c r="J30" s="87" t="s">
        <v>3</v>
      </c>
      <c r="K30" s="87" t="s">
        <v>2</v>
      </c>
    </row>
    <row r="31" spans="2:11" ht="18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8">
      <c r="A32" s="86" t="s">
        <v>76</v>
      </c>
      <c r="B32" s="86"/>
      <c r="C32" s="86" t="s">
        <v>17</v>
      </c>
      <c r="D32" s="86"/>
      <c r="E32" s="89">
        <v>416.67375000000004</v>
      </c>
      <c r="F32" s="93">
        <v>78.32213345864662</v>
      </c>
      <c r="G32" s="91">
        <v>3.525890873208188</v>
      </c>
      <c r="H32" s="90"/>
      <c r="I32" s="89">
        <v>313.9525</v>
      </c>
      <c r="J32" s="90">
        <v>4.1860333333333335</v>
      </c>
      <c r="K32" s="91">
        <v>0.7457298593675319</v>
      </c>
    </row>
    <row r="33" spans="2:11" ht="18">
      <c r="B33" s="86"/>
      <c r="C33" s="86"/>
      <c r="D33" s="86"/>
      <c r="E33" s="89"/>
      <c r="F33" s="93"/>
      <c r="G33" s="91"/>
      <c r="H33" s="90"/>
      <c r="I33" s="89"/>
      <c r="J33" s="90"/>
      <c r="K33" s="91"/>
    </row>
    <row r="34" spans="2:11" ht="18">
      <c r="B34" s="86"/>
      <c r="C34" s="86" t="s">
        <v>20</v>
      </c>
      <c r="D34" s="86"/>
      <c r="E34" s="89">
        <v>145.4</v>
      </c>
      <c r="F34" s="93">
        <v>27.330827067669173</v>
      </c>
      <c r="G34" s="91">
        <v>2.339084297743667</v>
      </c>
      <c r="H34" s="90"/>
      <c r="I34" s="89">
        <v>856.5</v>
      </c>
      <c r="J34" s="90">
        <v>11.42</v>
      </c>
      <c r="K34" s="91">
        <v>1.3743391706187191</v>
      </c>
    </row>
    <row r="35" spans="2:11" ht="18">
      <c r="B35" s="86"/>
      <c r="C35" s="86"/>
      <c r="D35" s="86"/>
      <c r="E35" s="89"/>
      <c r="F35" s="93"/>
      <c r="G35" s="91"/>
      <c r="H35" s="90"/>
      <c r="I35" s="89"/>
      <c r="J35" s="90"/>
      <c r="K35" s="91"/>
    </row>
    <row r="36" spans="2:11" ht="18">
      <c r="B36" s="86"/>
      <c r="C36" s="86" t="s">
        <v>74</v>
      </c>
      <c r="D36" s="86"/>
      <c r="E36" s="89">
        <v>138.695</v>
      </c>
      <c r="F36" s="93">
        <v>26.07048872180451</v>
      </c>
      <c r="G36" s="91">
        <v>2.479967693137581</v>
      </c>
      <c r="H36" s="90"/>
      <c r="I36" s="89">
        <v>869.95</v>
      </c>
      <c r="J36" s="90">
        <v>11.599333333333334</v>
      </c>
      <c r="K36" s="91">
        <v>1.3674369254811491</v>
      </c>
    </row>
    <row r="37" spans="2:11" ht="18">
      <c r="B37" s="86"/>
      <c r="C37" s="86"/>
      <c r="D37" s="86"/>
      <c r="E37" s="89"/>
      <c r="F37" s="93"/>
      <c r="G37" s="91"/>
      <c r="H37" s="90"/>
      <c r="I37" s="89"/>
      <c r="J37" s="90"/>
      <c r="K37" s="91"/>
    </row>
    <row r="38" spans="2:11" ht="18">
      <c r="B38" s="86"/>
      <c r="C38" s="86" t="s">
        <v>42</v>
      </c>
      <c r="D38" s="86"/>
      <c r="E38" s="89">
        <v>136.025</v>
      </c>
      <c r="F38" s="93">
        <v>25.56860902255639</v>
      </c>
      <c r="G38" s="91">
        <v>2.0678053154991773</v>
      </c>
      <c r="H38" s="90"/>
      <c r="I38" s="89">
        <v>875.25</v>
      </c>
      <c r="J38" s="90">
        <v>11.67</v>
      </c>
      <c r="K38" s="91">
        <v>1.433008617051795</v>
      </c>
    </row>
  </sheetData>
  <sheetProtection/>
  <mergeCells count="4">
    <mergeCell ref="E5:G5"/>
    <mergeCell ref="I5:K5"/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75" zoomScaleNormal="75" zoomScalePageLayoutView="0" workbookViewId="0" topLeftCell="A1">
      <selection activeCell="P13" sqref="P13"/>
    </sheetView>
  </sheetViews>
  <sheetFormatPr defaultColWidth="9.140625" defaultRowHeight="12.75"/>
  <cols>
    <col min="1" max="1" width="31.8515625" style="0" customWidth="1"/>
    <col min="2" max="2" width="8.28125" style="0" customWidth="1"/>
    <col min="3" max="7" width="9.7109375" style="0" customWidth="1"/>
    <col min="8" max="8" width="5.57421875" style="0" customWidth="1"/>
    <col min="9" max="13" width="9.7109375" style="0" customWidth="1"/>
    <col min="14" max="14" width="18.28125" style="0" customWidth="1"/>
    <col min="15" max="19" width="9.7109375" style="0" customWidth="1"/>
    <col min="20" max="20" width="5.57421875" style="0" customWidth="1"/>
    <col min="21" max="25" width="9.7109375" style="0" customWidth="1"/>
  </cols>
  <sheetData>
    <row r="1" spans="1:25" ht="60">
      <c r="A1" s="286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8"/>
    </row>
    <row r="2" spans="1:25" ht="45">
      <c r="A2" s="289" t="s">
        <v>135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1"/>
    </row>
    <row r="3" spans="1:25" ht="30.75" thickBot="1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9"/>
    </row>
    <row r="4" spans="1:27" ht="30">
      <c r="A4" s="266"/>
      <c r="B4" s="267"/>
      <c r="C4" s="306" t="s">
        <v>129</v>
      </c>
      <c r="D4" s="307"/>
      <c r="E4" s="307"/>
      <c r="F4" s="307"/>
      <c r="G4" s="307"/>
      <c r="H4" s="307"/>
      <c r="I4" s="307"/>
      <c r="J4" s="307"/>
      <c r="K4" s="307"/>
      <c r="L4" s="307"/>
      <c r="M4" s="373"/>
      <c r="N4" s="234"/>
      <c r="O4" s="374" t="s">
        <v>131</v>
      </c>
      <c r="P4" s="295"/>
      <c r="Q4" s="295"/>
      <c r="R4" s="295"/>
      <c r="S4" s="295"/>
      <c r="T4" s="295"/>
      <c r="U4" s="295"/>
      <c r="V4" s="295"/>
      <c r="W4" s="295"/>
      <c r="X4" s="295"/>
      <c r="Y4" s="296"/>
      <c r="Z4" s="211"/>
      <c r="AA4" s="211"/>
    </row>
    <row r="5" spans="1:27" ht="30.75" thickBot="1">
      <c r="A5" s="228"/>
      <c r="B5" s="229"/>
      <c r="C5" s="303"/>
      <c r="D5" s="304"/>
      <c r="E5" s="304"/>
      <c r="F5" s="304"/>
      <c r="G5" s="304"/>
      <c r="H5" s="304"/>
      <c r="I5" s="304"/>
      <c r="J5" s="304"/>
      <c r="K5" s="304"/>
      <c r="L5" s="304"/>
      <c r="M5" s="376"/>
      <c r="N5" s="227"/>
      <c r="O5" s="375" t="s">
        <v>132</v>
      </c>
      <c r="P5" s="298"/>
      <c r="Q5" s="298"/>
      <c r="R5" s="298"/>
      <c r="S5" s="298"/>
      <c r="T5" s="298"/>
      <c r="U5" s="298"/>
      <c r="V5" s="298"/>
      <c r="W5" s="298"/>
      <c r="X5" s="298"/>
      <c r="Y5" s="299"/>
      <c r="Z5" s="211"/>
      <c r="AA5" s="211"/>
    </row>
    <row r="6" spans="1:25" ht="27" thickBot="1">
      <c r="A6" s="115" t="s">
        <v>83</v>
      </c>
      <c r="B6" s="231"/>
      <c r="C6" s="279"/>
      <c r="D6" s="280"/>
      <c r="E6" s="280"/>
      <c r="F6" s="280"/>
      <c r="G6" s="280"/>
      <c r="H6" s="280"/>
      <c r="I6" s="280"/>
      <c r="J6" s="280"/>
      <c r="K6" s="280"/>
      <c r="L6" s="280"/>
      <c r="M6" s="385"/>
      <c r="N6" s="227"/>
      <c r="O6" s="380"/>
      <c r="P6" s="280"/>
      <c r="Q6" s="280"/>
      <c r="R6" s="280"/>
      <c r="S6" s="280"/>
      <c r="T6" s="280"/>
      <c r="U6" s="280"/>
      <c r="V6" s="280"/>
      <c r="W6" s="280"/>
      <c r="X6" s="280"/>
      <c r="Y6" s="281"/>
    </row>
    <row r="7" spans="1:25" ht="26.25">
      <c r="A7" s="114" t="s">
        <v>87</v>
      </c>
      <c r="B7" s="95"/>
      <c r="C7" s="282" t="s">
        <v>94</v>
      </c>
      <c r="D7" s="283"/>
      <c r="E7" s="283"/>
      <c r="F7" s="283"/>
      <c r="G7" s="283"/>
      <c r="H7" s="95"/>
      <c r="I7" s="284" t="s">
        <v>80</v>
      </c>
      <c r="J7" s="284"/>
      <c r="K7" s="284"/>
      <c r="L7" s="284"/>
      <c r="M7" s="381"/>
      <c r="N7" s="213"/>
      <c r="O7" s="382" t="s">
        <v>94</v>
      </c>
      <c r="P7" s="283"/>
      <c r="Q7" s="283"/>
      <c r="R7" s="283"/>
      <c r="S7" s="283"/>
      <c r="T7" s="95"/>
      <c r="U7" s="284" t="s">
        <v>80</v>
      </c>
      <c r="V7" s="284"/>
      <c r="W7" s="284"/>
      <c r="X7" s="284"/>
      <c r="Y7" s="285"/>
    </row>
    <row r="8" spans="1:25" ht="18">
      <c r="A8" s="116"/>
      <c r="B8" s="97"/>
      <c r="C8" s="275" t="s">
        <v>86</v>
      </c>
      <c r="D8" s="276"/>
      <c r="E8" s="276"/>
      <c r="F8" s="276"/>
      <c r="G8" s="276"/>
      <c r="H8" s="97"/>
      <c r="I8" s="292" t="s">
        <v>85</v>
      </c>
      <c r="J8" s="292"/>
      <c r="K8" s="292"/>
      <c r="L8" s="292"/>
      <c r="M8" s="383"/>
      <c r="N8" s="213"/>
      <c r="O8" s="384" t="s">
        <v>86</v>
      </c>
      <c r="P8" s="276"/>
      <c r="Q8" s="276"/>
      <c r="R8" s="276"/>
      <c r="S8" s="276"/>
      <c r="T8" s="97"/>
      <c r="U8" s="292" t="s">
        <v>85</v>
      </c>
      <c r="V8" s="292"/>
      <c r="W8" s="292"/>
      <c r="X8" s="292"/>
      <c r="Y8" s="293"/>
    </row>
    <row r="9" spans="1:25" ht="18">
      <c r="A9" s="243"/>
      <c r="B9" s="97"/>
      <c r="C9" s="102"/>
      <c r="D9" s="97"/>
      <c r="E9" s="97"/>
      <c r="F9" s="97"/>
      <c r="G9" s="97"/>
      <c r="H9" s="97"/>
      <c r="I9" s="97"/>
      <c r="J9" s="97"/>
      <c r="K9" s="97"/>
      <c r="L9" s="97"/>
      <c r="M9" s="254"/>
      <c r="N9" s="213"/>
      <c r="O9" s="260"/>
      <c r="P9" s="97"/>
      <c r="Q9" s="97"/>
      <c r="R9" s="97"/>
      <c r="S9" s="97"/>
      <c r="T9" s="97"/>
      <c r="U9" s="97"/>
      <c r="V9" s="97"/>
      <c r="W9" s="97"/>
      <c r="X9" s="97"/>
      <c r="Y9" s="98"/>
    </row>
    <row r="10" spans="1:25" ht="18">
      <c r="A10" s="99" t="s">
        <v>79</v>
      </c>
      <c r="B10" s="97"/>
      <c r="C10" s="220" t="s">
        <v>14</v>
      </c>
      <c r="D10" s="221" t="s">
        <v>123</v>
      </c>
      <c r="E10" s="221" t="s">
        <v>1</v>
      </c>
      <c r="F10" s="221" t="s">
        <v>6</v>
      </c>
      <c r="G10" s="221" t="s">
        <v>0</v>
      </c>
      <c r="H10" s="186"/>
      <c r="I10" s="100" t="s">
        <v>14</v>
      </c>
      <c r="J10" s="100" t="s">
        <v>123</v>
      </c>
      <c r="K10" s="100" t="s">
        <v>1</v>
      </c>
      <c r="L10" s="100" t="s">
        <v>6</v>
      </c>
      <c r="M10" s="255" t="s">
        <v>0</v>
      </c>
      <c r="N10" s="213"/>
      <c r="O10" s="261" t="s">
        <v>14</v>
      </c>
      <c r="P10" s="221" t="s">
        <v>123</v>
      </c>
      <c r="Q10" s="221" t="s">
        <v>1</v>
      </c>
      <c r="R10" s="221" t="s">
        <v>6</v>
      </c>
      <c r="S10" s="221" t="s">
        <v>0</v>
      </c>
      <c r="T10" s="186"/>
      <c r="U10" s="100" t="s">
        <v>14</v>
      </c>
      <c r="V10" s="100" t="s">
        <v>123</v>
      </c>
      <c r="W10" s="100" t="s">
        <v>1</v>
      </c>
      <c r="X10" s="100" t="s">
        <v>6</v>
      </c>
      <c r="Y10" s="101" t="s">
        <v>0</v>
      </c>
    </row>
    <row r="11" spans="1:25" ht="18">
      <c r="A11" s="243"/>
      <c r="B11" s="97"/>
      <c r="C11" s="220" t="s">
        <v>4</v>
      </c>
      <c r="D11" s="221" t="s">
        <v>4</v>
      </c>
      <c r="E11" s="221" t="s">
        <v>4</v>
      </c>
      <c r="F11" s="221" t="s">
        <v>3</v>
      </c>
      <c r="G11" s="221" t="s">
        <v>2</v>
      </c>
      <c r="H11" s="186"/>
      <c r="I11" s="100" t="s">
        <v>4</v>
      </c>
      <c r="J11" s="100" t="s">
        <v>4</v>
      </c>
      <c r="K11" s="100" t="s">
        <v>4</v>
      </c>
      <c r="L11" s="100" t="s">
        <v>3</v>
      </c>
      <c r="M11" s="255" t="s">
        <v>2</v>
      </c>
      <c r="N11" s="213"/>
      <c r="O11" s="261" t="s">
        <v>4</v>
      </c>
      <c r="P11" s="221" t="s">
        <v>4</v>
      </c>
      <c r="Q11" s="221" t="s">
        <v>4</v>
      </c>
      <c r="R11" s="221" t="s">
        <v>3</v>
      </c>
      <c r="S11" s="221" t="s">
        <v>2</v>
      </c>
      <c r="T11" s="186"/>
      <c r="U11" s="100" t="s">
        <v>4</v>
      </c>
      <c r="V11" s="100" t="s">
        <v>4</v>
      </c>
      <c r="W11" s="100" t="s">
        <v>4</v>
      </c>
      <c r="X11" s="100" t="s">
        <v>3</v>
      </c>
      <c r="Y11" s="101" t="s">
        <v>2</v>
      </c>
    </row>
    <row r="12" spans="1:25" ht="18">
      <c r="A12" s="243"/>
      <c r="B12" s="97"/>
      <c r="C12" s="102"/>
      <c r="D12" s="97"/>
      <c r="E12" s="97"/>
      <c r="F12" s="97"/>
      <c r="G12" s="97"/>
      <c r="H12" s="97"/>
      <c r="I12" s="97"/>
      <c r="J12" s="97"/>
      <c r="K12" s="97"/>
      <c r="L12" s="97"/>
      <c r="M12" s="254"/>
      <c r="N12" s="213"/>
      <c r="O12" s="260"/>
      <c r="P12" s="97"/>
      <c r="Q12" s="97"/>
      <c r="R12" s="97"/>
      <c r="S12" s="97"/>
      <c r="T12" s="97"/>
      <c r="U12" s="97"/>
      <c r="V12" s="97"/>
      <c r="W12" s="97"/>
      <c r="X12" s="97"/>
      <c r="Y12" s="98"/>
    </row>
    <row r="13" spans="1:25" ht="18">
      <c r="A13" s="102" t="s">
        <v>124</v>
      </c>
      <c r="B13" s="97"/>
      <c r="C13" s="219">
        <v>35</v>
      </c>
      <c r="D13" s="187">
        <f>'Partner Phase I Prospects )'!$D$19</f>
        <v>2817</v>
      </c>
      <c r="E13" s="183">
        <f>'Partner Phase I Prospects )'!$E$19</f>
        <v>1394.2</v>
      </c>
      <c r="F13" s="183">
        <f>'Partner Phase I Prospects )'!$E$30</f>
        <v>34.855000000000004</v>
      </c>
      <c r="G13" s="185">
        <f>'Partner Phase I Prospects )'!$E$29</f>
        <v>2.3833054554898117</v>
      </c>
      <c r="H13" s="104"/>
      <c r="I13" s="103">
        <v>250</v>
      </c>
      <c r="J13" s="103">
        <f>'Investor Phase I Prospects'!$D$22</f>
        <v>1756</v>
      </c>
      <c r="K13" s="103">
        <f>'Investor Phase I Prospects'!$E$22</f>
        <v>1044.6</v>
      </c>
      <c r="L13" s="181">
        <f>'Investor Phase I Prospects'!$D$31</f>
        <v>7.024</v>
      </c>
      <c r="M13" s="256">
        <f>'Investor Phase I Prospects'!$D$30</f>
        <v>1.0504395771420492</v>
      </c>
      <c r="N13" s="213"/>
      <c r="O13" s="262">
        <v>35</v>
      </c>
      <c r="P13" s="187">
        <v>3424.2000000000003</v>
      </c>
      <c r="Q13" s="183">
        <v>1683.4</v>
      </c>
      <c r="R13" s="183">
        <v>48.09714285714286</v>
      </c>
      <c r="S13" s="185">
        <v>2.7616138749427983</v>
      </c>
      <c r="T13" s="104"/>
      <c r="U13" s="245">
        <v>250</v>
      </c>
      <c r="V13" s="245">
        <v>2059.6000000000004</v>
      </c>
      <c r="W13" s="245">
        <v>1189.2</v>
      </c>
      <c r="X13" s="246">
        <v>8.238400000000002</v>
      </c>
      <c r="Y13" s="247">
        <v>1.1538815761677537</v>
      </c>
    </row>
    <row r="14" spans="1:25" ht="18">
      <c r="A14" s="243"/>
      <c r="B14" s="97"/>
      <c r="C14" s="102"/>
      <c r="D14" s="97"/>
      <c r="E14" s="103"/>
      <c r="F14" s="103"/>
      <c r="G14" s="105"/>
      <c r="H14" s="104"/>
      <c r="I14" s="103"/>
      <c r="J14" s="103"/>
      <c r="K14" s="103"/>
      <c r="L14" s="104"/>
      <c r="M14" s="256"/>
      <c r="N14" s="213"/>
      <c r="O14" s="260"/>
      <c r="P14" s="97"/>
      <c r="Q14" s="103"/>
      <c r="R14" s="103"/>
      <c r="S14" s="105"/>
      <c r="T14" s="104"/>
      <c r="U14" s="103"/>
      <c r="V14" s="103"/>
      <c r="W14" s="103"/>
      <c r="X14" s="104"/>
      <c r="Y14" s="106"/>
    </row>
    <row r="15" spans="1:25" ht="18.75" thickBot="1">
      <c r="A15" s="107" t="s">
        <v>76</v>
      </c>
      <c r="B15" s="108"/>
      <c r="C15" s="107">
        <v>5</v>
      </c>
      <c r="D15" s="188">
        <f>'Partner Follow Ons'!$D$19</f>
        <v>1706.0500000000002</v>
      </c>
      <c r="E15" s="109">
        <f>'Partner Follow Ons'!$E$19</f>
        <v>633.25</v>
      </c>
      <c r="F15" s="109">
        <f>'Partner Follow Ons'!$E$30</f>
        <v>119.03195488721803</v>
      </c>
      <c r="G15" s="110">
        <f>'Partner Follow Ons'!$E$29</f>
        <v>4.194615955817978</v>
      </c>
      <c r="H15" s="111"/>
      <c r="I15" s="109">
        <v>100</v>
      </c>
      <c r="J15" s="109">
        <f>'Investor Follow on Prospects '!$D$22</f>
        <v>994.2</v>
      </c>
      <c r="K15" s="109">
        <f>'Investor Follow on Prospects '!$E$22</f>
        <v>457.8</v>
      </c>
      <c r="L15" s="111">
        <f>'Investor Follow on Prospects '!$D$31</f>
        <v>9.942</v>
      </c>
      <c r="M15" s="257">
        <f>'Investor Follow on Prospects '!$D$30</f>
        <v>1.2825012214794116</v>
      </c>
      <c r="N15" s="213"/>
      <c r="O15" s="263">
        <v>5</v>
      </c>
      <c r="P15" s="188">
        <v>2065.0737500000005</v>
      </c>
      <c r="Q15" s="109">
        <v>754.2737500000001</v>
      </c>
      <c r="R15" s="109">
        <v>141.78078007518798</v>
      </c>
      <c r="S15" s="110">
        <v>4.41749471271834</v>
      </c>
      <c r="T15" s="111"/>
      <c r="U15" s="109">
        <v>75</v>
      </c>
      <c r="V15" s="109">
        <v>1138.1525000000001</v>
      </c>
      <c r="W15" s="109">
        <v>482.7525</v>
      </c>
      <c r="X15" s="111">
        <v>15.175366666666669</v>
      </c>
      <c r="Y15" s="112">
        <v>1.6017504119899266</v>
      </c>
    </row>
    <row r="16" spans="1:25" ht="49.5" customHeight="1" thickBot="1">
      <c r="A16" s="251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8"/>
      <c r="N16" s="252"/>
      <c r="O16" s="264"/>
      <c r="P16" s="252"/>
      <c r="Q16" s="252"/>
      <c r="R16" s="252"/>
      <c r="S16" s="252"/>
      <c r="T16" s="252"/>
      <c r="U16" s="252"/>
      <c r="V16" s="252"/>
      <c r="W16" s="252"/>
      <c r="X16" s="252"/>
      <c r="Y16" s="253"/>
    </row>
    <row r="17" spans="1:25" ht="27" thickBot="1">
      <c r="A17" s="115" t="s">
        <v>84</v>
      </c>
      <c r="B17" s="250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59"/>
      <c r="N17" s="213"/>
      <c r="O17" s="265"/>
      <c r="P17" s="248"/>
      <c r="Q17" s="248"/>
      <c r="R17" s="248"/>
      <c r="S17" s="248"/>
      <c r="T17" s="248"/>
      <c r="U17" s="248"/>
      <c r="V17" s="248"/>
      <c r="W17" s="248"/>
      <c r="X17" s="248"/>
      <c r="Y17" s="249"/>
    </row>
    <row r="18" spans="1:25" ht="26.25">
      <c r="A18" s="114" t="s">
        <v>130</v>
      </c>
      <c r="B18" s="244"/>
      <c r="C18" s="282" t="s">
        <v>94</v>
      </c>
      <c r="D18" s="283"/>
      <c r="E18" s="283"/>
      <c r="F18" s="283"/>
      <c r="G18" s="283"/>
      <c r="H18" s="95"/>
      <c r="I18" s="284" t="s">
        <v>81</v>
      </c>
      <c r="J18" s="284"/>
      <c r="K18" s="284"/>
      <c r="L18" s="284"/>
      <c r="M18" s="381"/>
      <c r="N18" s="213"/>
      <c r="O18" s="382" t="s">
        <v>94</v>
      </c>
      <c r="P18" s="283"/>
      <c r="Q18" s="283"/>
      <c r="R18" s="283"/>
      <c r="S18" s="283"/>
      <c r="T18" s="95"/>
      <c r="U18" s="284" t="s">
        <v>81</v>
      </c>
      <c r="V18" s="284"/>
      <c r="W18" s="284"/>
      <c r="X18" s="284"/>
      <c r="Y18" s="285"/>
    </row>
    <row r="19" spans="1:25" ht="18">
      <c r="A19" s="116"/>
      <c r="B19" s="97"/>
      <c r="C19" s="275" t="s">
        <v>82</v>
      </c>
      <c r="D19" s="276"/>
      <c r="E19" s="276"/>
      <c r="F19" s="276"/>
      <c r="G19" s="276"/>
      <c r="H19" s="104"/>
      <c r="I19" s="277" t="s">
        <v>95</v>
      </c>
      <c r="J19" s="277"/>
      <c r="K19" s="277"/>
      <c r="L19" s="277"/>
      <c r="M19" s="386"/>
      <c r="N19" s="213"/>
      <c r="O19" s="384" t="s">
        <v>82</v>
      </c>
      <c r="P19" s="276"/>
      <c r="Q19" s="276"/>
      <c r="R19" s="276"/>
      <c r="S19" s="276"/>
      <c r="T19" s="104"/>
      <c r="U19" s="277" t="s">
        <v>95</v>
      </c>
      <c r="V19" s="277"/>
      <c r="W19" s="277"/>
      <c r="X19" s="277"/>
      <c r="Y19" s="278"/>
    </row>
    <row r="20" spans="1:25" ht="18">
      <c r="A20" s="243"/>
      <c r="B20" s="97"/>
      <c r="C20" s="102"/>
      <c r="D20" s="97"/>
      <c r="E20" s="103"/>
      <c r="F20" s="104"/>
      <c r="G20" s="105"/>
      <c r="H20" s="104"/>
      <c r="I20" s="104"/>
      <c r="J20" s="104"/>
      <c r="K20" s="103"/>
      <c r="L20" s="104"/>
      <c r="M20" s="256"/>
      <c r="N20" s="213"/>
      <c r="O20" s="260"/>
      <c r="P20" s="97"/>
      <c r="Q20" s="103"/>
      <c r="R20" s="104"/>
      <c r="S20" s="105"/>
      <c r="T20" s="104"/>
      <c r="U20" s="104"/>
      <c r="V20" s="104"/>
      <c r="W20" s="103"/>
      <c r="X20" s="104"/>
      <c r="Y20" s="106"/>
    </row>
    <row r="21" spans="1:25" ht="18">
      <c r="A21" s="99" t="s">
        <v>79</v>
      </c>
      <c r="B21" s="97"/>
      <c r="C21" s="220" t="s">
        <v>14</v>
      </c>
      <c r="D21" s="221" t="s">
        <v>123</v>
      </c>
      <c r="E21" s="221" t="s">
        <v>1</v>
      </c>
      <c r="F21" s="221" t="s">
        <v>6</v>
      </c>
      <c r="G21" s="221" t="s">
        <v>0</v>
      </c>
      <c r="H21" s="186"/>
      <c r="I21" s="100" t="s">
        <v>14</v>
      </c>
      <c r="J21" s="100" t="s">
        <v>123</v>
      </c>
      <c r="K21" s="100" t="s">
        <v>1</v>
      </c>
      <c r="L21" s="100" t="s">
        <v>6</v>
      </c>
      <c r="M21" s="255" t="s">
        <v>0</v>
      </c>
      <c r="N21" s="213"/>
      <c r="O21" s="261" t="s">
        <v>14</v>
      </c>
      <c r="P21" s="221" t="s">
        <v>123</v>
      </c>
      <c r="Q21" s="221" t="s">
        <v>1</v>
      </c>
      <c r="R21" s="221" t="s">
        <v>6</v>
      </c>
      <c r="S21" s="221" t="s">
        <v>0</v>
      </c>
      <c r="T21" s="186"/>
      <c r="U21" s="100" t="s">
        <v>14</v>
      </c>
      <c r="V21" s="100" t="s">
        <v>123</v>
      </c>
      <c r="W21" s="100" t="s">
        <v>1</v>
      </c>
      <c r="X21" s="100" t="s">
        <v>6</v>
      </c>
      <c r="Y21" s="101" t="s">
        <v>0</v>
      </c>
    </row>
    <row r="22" spans="1:25" ht="18">
      <c r="A22" s="243"/>
      <c r="B22" s="97"/>
      <c r="C22" s="220" t="s">
        <v>4</v>
      </c>
      <c r="D22" s="221" t="s">
        <v>4</v>
      </c>
      <c r="E22" s="221" t="s">
        <v>4</v>
      </c>
      <c r="F22" s="221" t="s">
        <v>3</v>
      </c>
      <c r="G22" s="221" t="s">
        <v>2</v>
      </c>
      <c r="H22" s="186"/>
      <c r="I22" s="100" t="s">
        <v>4</v>
      </c>
      <c r="J22" s="100" t="s">
        <v>4</v>
      </c>
      <c r="K22" s="100" t="s">
        <v>4</v>
      </c>
      <c r="L22" s="100" t="s">
        <v>3</v>
      </c>
      <c r="M22" s="255" t="s">
        <v>2</v>
      </c>
      <c r="N22" s="213"/>
      <c r="O22" s="261" t="s">
        <v>4</v>
      </c>
      <c r="P22" s="221" t="s">
        <v>4</v>
      </c>
      <c r="Q22" s="221" t="s">
        <v>4</v>
      </c>
      <c r="R22" s="221" t="s">
        <v>3</v>
      </c>
      <c r="S22" s="221" t="s">
        <v>2</v>
      </c>
      <c r="T22" s="186"/>
      <c r="U22" s="100" t="s">
        <v>4</v>
      </c>
      <c r="V22" s="100" t="s">
        <v>4</v>
      </c>
      <c r="W22" s="100" t="s">
        <v>4</v>
      </c>
      <c r="X22" s="100" t="s">
        <v>3</v>
      </c>
      <c r="Y22" s="101" t="s">
        <v>2</v>
      </c>
    </row>
    <row r="23" spans="1:25" ht="18">
      <c r="A23" s="243"/>
      <c r="B23" s="97"/>
      <c r="C23" s="102"/>
      <c r="D23" s="97"/>
      <c r="E23" s="97"/>
      <c r="F23" s="97"/>
      <c r="G23" s="97"/>
      <c r="H23" s="97"/>
      <c r="I23" s="97"/>
      <c r="J23" s="97"/>
      <c r="K23" s="97"/>
      <c r="L23" s="97"/>
      <c r="M23" s="254"/>
      <c r="N23" s="213"/>
      <c r="O23" s="260"/>
      <c r="P23" s="97"/>
      <c r="Q23" s="97"/>
      <c r="R23" s="97"/>
      <c r="S23" s="97"/>
      <c r="T23" s="97"/>
      <c r="U23" s="97"/>
      <c r="V23" s="97"/>
      <c r="W23" s="97"/>
      <c r="X23" s="97"/>
      <c r="Y23" s="98"/>
    </row>
    <row r="24" spans="1:25" ht="18">
      <c r="A24" s="102" t="s">
        <v>124</v>
      </c>
      <c r="B24" s="97"/>
      <c r="C24" s="219">
        <v>35</v>
      </c>
      <c r="D24" s="187">
        <f>'Partner Phase I Prospects )'!$V$19</f>
        <v>908.125</v>
      </c>
      <c r="E24" s="183">
        <f>'Partner Phase I Prospects )'!$W$19</f>
        <v>463.5</v>
      </c>
      <c r="F24" s="184">
        <f>'Partner Phase I Prospects )'!$W$30</f>
        <v>11.5875</v>
      </c>
      <c r="G24" s="185">
        <f>'Partner Phase I Prospects )'!$W$29</f>
        <v>1.3651148140290692</v>
      </c>
      <c r="H24" s="104"/>
      <c r="I24" s="103">
        <v>250</v>
      </c>
      <c r="J24" s="103">
        <f>'Investor Phase I Prospects'!$V$22</f>
        <v>5578.75</v>
      </c>
      <c r="K24" s="103">
        <f>'Investor Phase I Prospects'!$W$22</f>
        <v>2911</v>
      </c>
      <c r="L24" s="104">
        <f>'Investor Phase I Prospects'!$V$31</f>
        <v>22.315</v>
      </c>
      <c r="M24" s="256">
        <f>'Investor Phase I Prospects'!$V$30</f>
        <v>1.9462652864642327</v>
      </c>
      <c r="N24" s="213"/>
      <c r="O24" s="270">
        <v>35</v>
      </c>
      <c r="P24" s="271">
        <f>'[1]Partner Phase I Prospects )'!$V$19</f>
        <v>1095.375</v>
      </c>
      <c r="Q24" s="272">
        <f>'[1]Partner Phase I Prospects )'!$W$19</f>
        <v>551.375</v>
      </c>
      <c r="R24" s="273">
        <f>'[1]Partner Phase I Prospects )'!$W$30</f>
        <v>15.753571428571428</v>
      </c>
      <c r="S24" s="274">
        <f>'[1]Partner Phase I Prospects )'!$W$29</f>
        <v>1.6137959848335455</v>
      </c>
      <c r="T24" s="90"/>
      <c r="U24" s="89">
        <v>250</v>
      </c>
      <c r="V24" s="89">
        <f>'[1]Investor Phase I Prospects'!$V$22</f>
        <v>6717.25</v>
      </c>
      <c r="W24" s="89">
        <f>'[1]Investor Phase I Prospects'!$W$22</f>
        <v>3453.25</v>
      </c>
      <c r="X24" s="90">
        <f>'[1]Investor Phase I Prospects'!$V$31</f>
        <v>26.869</v>
      </c>
      <c r="Y24" s="106">
        <f>'[1]Investor Phase I Prospects'!$V$30</f>
        <v>2.1217670159800983</v>
      </c>
    </row>
    <row r="25" spans="1:25" ht="18">
      <c r="A25" s="243"/>
      <c r="B25" s="97"/>
      <c r="C25" s="102"/>
      <c r="D25" s="97"/>
      <c r="E25" s="103"/>
      <c r="F25" s="103"/>
      <c r="G25" s="105"/>
      <c r="H25" s="104"/>
      <c r="I25" s="103"/>
      <c r="J25" s="103"/>
      <c r="K25" s="103"/>
      <c r="L25" s="104"/>
      <c r="M25" s="256"/>
      <c r="N25" s="213"/>
      <c r="O25" s="86"/>
      <c r="P25" s="86"/>
      <c r="Q25" s="89"/>
      <c r="R25" s="89"/>
      <c r="S25" s="91"/>
      <c r="T25" s="90"/>
      <c r="U25" s="89"/>
      <c r="V25" s="89"/>
      <c r="W25" s="89"/>
      <c r="X25" s="90"/>
      <c r="Y25" s="106"/>
    </row>
    <row r="26" spans="1:25" ht="18.75" thickBot="1">
      <c r="A26" s="107" t="s">
        <v>76</v>
      </c>
      <c r="B26" s="108"/>
      <c r="C26" s="107">
        <v>5</v>
      </c>
      <c r="D26" s="188">
        <f>'Partner Follow Ons'!$V$19</f>
        <v>540.275</v>
      </c>
      <c r="E26" s="109">
        <f>'Partner Follow Ons'!$W$19</f>
        <v>205.025</v>
      </c>
      <c r="F26" s="111">
        <f>'Partner Follow Ons'!$W$30</f>
        <v>38.53853383458647</v>
      </c>
      <c r="G26" s="110">
        <f>'Partner Follow Ons'!$W$29</f>
        <v>2.527209041000696</v>
      </c>
      <c r="H26" s="111"/>
      <c r="I26" s="109">
        <v>100</v>
      </c>
      <c r="J26" s="109">
        <f>'Investor Follow on Prospects '!$V$22</f>
        <v>3325.75</v>
      </c>
      <c r="K26" s="109">
        <f>'Investor Follow on Prospects '!$W$22</f>
        <v>1314.25</v>
      </c>
      <c r="L26" s="111">
        <f>'Investor Follow on Prospects '!$V$31</f>
        <v>33.2575</v>
      </c>
      <c r="M26" s="256">
        <f>'Investor Follow on Prospects '!$V$30</f>
        <v>2.337396438572665</v>
      </c>
      <c r="N26" s="213"/>
      <c r="O26" s="108">
        <v>5</v>
      </c>
      <c r="P26" s="188">
        <f>'[1]Partner Follow Ons'!$V$19</f>
        <v>651.15</v>
      </c>
      <c r="Q26" s="109">
        <f>'[1]Partner Follow Ons'!$W$19</f>
        <v>241.525</v>
      </c>
      <c r="R26" s="111">
        <f>'[1]Partner Follow Ons'!$W$30</f>
        <v>45.399436090225564</v>
      </c>
      <c r="S26" s="110">
        <f>'[1]Partner Follow Ons'!$W$29</f>
        <v>2.6760333891161983</v>
      </c>
      <c r="T26" s="111"/>
      <c r="U26" s="109">
        <v>75</v>
      </c>
      <c r="V26" s="109">
        <f>'[1]Investor Follow on Prospects '!$V$22</f>
        <v>3966</v>
      </c>
      <c r="W26" s="109">
        <f>'[1]Investor Follow on Prospects '!$W$22</f>
        <v>1508.25</v>
      </c>
      <c r="X26" s="111">
        <f>'[1]Investor Follow on Prospects '!$V$31</f>
        <v>52.88</v>
      </c>
      <c r="Y26" s="112">
        <f>'[1]Investor Follow on Prospects '!$V$30</f>
        <v>2.864001935817037</v>
      </c>
    </row>
    <row r="27" spans="1:28" ht="19.5" customHeight="1">
      <c r="A27" s="235"/>
      <c r="B27" s="236"/>
      <c r="C27" s="214"/>
      <c r="D27" s="214"/>
      <c r="E27" s="214"/>
      <c r="F27" s="214"/>
      <c r="G27" s="227"/>
      <c r="H27" s="214"/>
      <c r="I27" s="214"/>
      <c r="J27" s="227"/>
      <c r="K27" s="214"/>
      <c r="L27" s="227"/>
      <c r="M27" s="214"/>
      <c r="N27" s="214"/>
      <c r="O27" s="227"/>
      <c r="P27" s="237"/>
      <c r="Q27" s="237"/>
      <c r="R27" s="237"/>
      <c r="S27" s="237"/>
      <c r="T27" s="237"/>
      <c r="U27" s="237"/>
      <c r="V27" s="237"/>
      <c r="W27" s="237"/>
      <c r="X27" s="237"/>
      <c r="Y27" s="238"/>
      <c r="Z27" s="212"/>
      <c r="AA27" s="212"/>
      <c r="AB27" s="212"/>
    </row>
    <row r="28" spans="1:25" ht="18">
      <c r="A28" s="102" t="s">
        <v>133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39"/>
    </row>
    <row r="29" spans="1:25" ht="18">
      <c r="A29" s="102" t="s">
        <v>141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39"/>
    </row>
    <row r="30" spans="1:25" ht="13.5" thickBo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2"/>
    </row>
  </sheetData>
  <sheetProtection/>
  <mergeCells count="25">
    <mergeCell ref="C18:G18"/>
    <mergeCell ref="I18:M18"/>
    <mergeCell ref="O18:S18"/>
    <mergeCell ref="U18:Y18"/>
    <mergeCell ref="C19:G19"/>
    <mergeCell ref="I19:M19"/>
    <mergeCell ref="O19:S19"/>
    <mergeCell ref="U19:Y19"/>
    <mergeCell ref="O6:Y6"/>
    <mergeCell ref="C7:G7"/>
    <mergeCell ref="I7:M7"/>
    <mergeCell ref="O7:S7"/>
    <mergeCell ref="U7:Y7"/>
    <mergeCell ref="C8:G8"/>
    <mergeCell ref="I8:M8"/>
    <mergeCell ref="O8:S8"/>
    <mergeCell ref="U8:Y8"/>
    <mergeCell ref="C6:M6"/>
    <mergeCell ref="C4:M4"/>
    <mergeCell ref="O4:Y4"/>
    <mergeCell ref="O5:Y5"/>
    <mergeCell ref="C5:M5"/>
    <mergeCell ref="A3:Y3"/>
    <mergeCell ref="A1:Y1"/>
    <mergeCell ref="A2:Y2"/>
  </mergeCells>
  <printOptions/>
  <pageMargins left="0.7" right="0.7" top="0.75" bottom="0.75" header="0.3" footer="0.3"/>
  <pageSetup fitToHeight="1" fitToWidth="1" horizontalDpi="600" verticalDpi="600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8"/>
    </sheetView>
  </sheetViews>
  <sheetFormatPr defaultColWidth="9.140625" defaultRowHeight="12.75"/>
  <cols>
    <col min="1" max="1" width="45.421875" style="0" customWidth="1"/>
    <col min="2" max="2" width="5.7109375" style="0" customWidth="1"/>
    <col min="3" max="7" width="9.57421875" style="0" customWidth="1"/>
    <col min="8" max="8" width="11.28125" style="0" customWidth="1"/>
    <col min="9" max="13" width="9.57421875" style="0" customWidth="1"/>
    <col min="16" max="16" width="20.7109375" style="0" customWidth="1"/>
    <col min="17" max="17" width="12.57421875" style="0" customWidth="1"/>
    <col min="18" max="18" width="11.7109375" style="0" customWidth="1"/>
    <col min="19" max="19" width="12.7109375" style="0" customWidth="1"/>
  </cols>
  <sheetData>
    <row r="1" spans="1:13" ht="45.75" thickBot="1">
      <c r="A1" s="318" t="s">
        <v>140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20"/>
    </row>
    <row r="2" spans="1:13" ht="45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</row>
    <row r="3" spans="1:13" ht="30">
      <c r="A3" s="312" t="s">
        <v>135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</row>
    <row r="4" spans="1:13" ht="30.75" thickBo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27" thickBot="1">
      <c r="A5" s="115" t="s">
        <v>83</v>
      </c>
      <c r="B5" s="315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7"/>
    </row>
    <row r="6" spans="1:13" ht="26.25">
      <c r="A6" s="114" t="s">
        <v>87</v>
      </c>
      <c r="B6" s="95"/>
      <c r="C6" s="283" t="s">
        <v>94</v>
      </c>
      <c r="D6" s="283"/>
      <c r="E6" s="283"/>
      <c r="F6" s="283"/>
      <c r="G6" s="283"/>
      <c r="H6" s="95"/>
      <c r="I6" s="284" t="s">
        <v>80</v>
      </c>
      <c r="J6" s="284"/>
      <c r="K6" s="284"/>
      <c r="L6" s="284"/>
      <c r="M6" s="285"/>
    </row>
    <row r="7" spans="1:13" ht="18">
      <c r="A7" s="116"/>
      <c r="B7" s="97"/>
      <c r="C7" s="276" t="s">
        <v>86</v>
      </c>
      <c r="D7" s="276"/>
      <c r="E7" s="276"/>
      <c r="F7" s="276"/>
      <c r="G7" s="276"/>
      <c r="H7" s="97"/>
      <c r="I7" s="292" t="s">
        <v>85</v>
      </c>
      <c r="J7" s="292"/>
      <c r="K7" s="292"/>
      <c r="L7" s="292"/>
      <c r="M7" s="293"/>
    </row>
    <row r="8" spans="1:13" ht="18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18">
      <c r="A9" s="99" t="s">
        <v>79</v>
      </c>
      <c r="B9" s="97"/>
      <c r="C9" s="218" t="s">
        <v>14</v>
      </c>
      <c r="D9" s="218" t="s">
        <v>123</v>
      </c>
      <c r="E9" s="218" t="s">
        <v>1</v>
      </c>
      <c r="F9" s="218" t="s">
        <v>6</v>
      </c>
      <c r="G9" s="218" t="s">
        <v>0</v>
      </c>
      <c r="H9" s="186"/>
      <c r="I9" s="100" t="s">
        <v>14</v>
      </c>
      <c r="J9" s="100" t="s">
        <v>123</v>
      </c>
      <c r="K9" s="100" t="s">
        <v>1</v>
      </c>
      <c r="L9" s="100" t="s">
        <v>6</v>
      </c>
      <c r="M9" s="101" t="s">
        <v>0</v>
      </c>
    </row>
    <row r="10" spans="1:13" ht="18">
      <c r="A10" s="96"/>
      <c r="B10" s="97"/>
      <c r="C10" s="218" t="s">
        <v>4</v>
      </c>
      <c r="D10" s="218" t="s">
        <v>4</v>
      </c>
      <c r="E10" s="218" t="s">
        <v>4</v>
      </c>
      <c r="F10" s="218" t="s">
        <v>3</v>
      </c>
      <c r="G10" s="218" t="s">
        <v>2</v>
      </c>
      <c r="H10" s="186"/>
      <c r="I10" s="100" t="s">
        <v>4</v>
      </c>
      <c r="J10" s="100" t="s">
        <v>4</v>
      </c>
      <c r="K10" s="100" t="s">
        <v>4</v>
      </c>
      <c r="L10" s="100" t="s">
        <v>3</v>
      </c>
      <c r="M10" s="101" t="s">
        <v>2</v>
      </c>
    </row>
    <row r="11" spans="1:13" ht="18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18">
      <c r="A12" s="102" t="s">
        <v>124</v>
      </c>
      <c r="B12" s="97"/>
      <c r="C12" s="182">
        <v>40</v>
      </c>
      <c r="D12" s="187">
        <f>'Partner Phase I Prospects )'!$D$19</f>
        <v>2817</v>
      </c>
      <c r="E12" s="183">
        <f>'Partner Phase I Prospects )'!$E$19</f>
        <v>1394.2</v>
      </c>
      <c r="F12" s="183">
        <f>'Partner Phase I Prospects )'!$E$30</f>
        <v>34.855000000000004</v>
      </c>
      <c r="G12" s="185">
        <f>'Partner Phase I Prospects )'!$E$29</f>
        <v>2.3833054554898117</v>
      </c>
      <c r="H12" s="104"/>
      <c r="I12" s="103">
        <v>250</v>
      </c>
      <c r="J12" s="222">
        <f>'Investor Phase I Prospects'!$D$22</f>
        <v>1756</v>
      </c>
      <c r="K12" s="222">
        <f>'Investor Phase I Prospects'!$E$22</f>
        <v>1044.6</v>
      </c>
      <c r="L12" s="223">
        <f>'Investor Phase I Prospects'!$D$31</f>
        <v>7.024</v>
      </c>
      <c r="M12" s="224">
        <f>'Investor Phase I Prospects'!$D$30</f>
        <v>1.0504395771420492</v>
      </c>
    </row>
    <row r="13" spans="1:13" ht="18">
      <c r="A13" s="96"/>
      <c r="B13" s="97"/>
      <c r="C13" s="97"/>
      <c r="D13" s="97"/>
      <c r="E13" s="103"/>
      <c r="F13" s="103"/>
      <c r="G13" s="105"/>
      <c r="H13" s="104"/>
      <c r="I13" s="103"/>
      <c r="J13" s="103"/>
      <c r="K13" s="103"/>
      <c r="L13" s="104"/>
      <c r="M13" s="106"/>
    </row>
    <row r="14" spans="1:13" ht="18.75" thickBot="1">
      <c r="A14" s="107" t="s">
        <v>76</v>
      </c>
      <c r="B14" s="108"/>
      <c r="C14" s="108">
        <v>5</v>
      </c>
      <c r="D14" s="188">
        <f>'Partner Follow Ons'!$D$19</f>
        <v>1706.0500000000002</v>
      </c>
      <c r="E14" s="109">
        <f>'Partner Follow Ons'!$E$19</f>
        <v>633.25</v>
      </c>
      <c r="F14" s="109">
        <f>'Partner Follow Ons'!$E$30</f>
        <v>119.03195488721803</v>
      </c>
      <c r="G14" s="110">
        <f>'Partner Follow Ons'!$E$29</f>
        <v>4.194615955817978</v>
      </c>
      <c r="H14" s="111"/>
      <c r="I14" s="109">
        <v>100</v>
      </c>
      <c r="J14" s="109">
        <f>'Investor Follow on Prospects '!$D$22</f>
        <v>994.2</v>
      </c>
      <c r="K14" s="109">
        <f>'Investor Follow on Prospects '!$E$22</f>
        <v>457.8</v>
      </c>
      <c r="L14" s="111">
        <f>'Investor Follow on Prospects '!$D$31</f>
        <v>9.942</v>
      </c>
      <c r="M14" s="112">
        <f>'Investor Follow on Prospects '!$D$30</f>
        <v>1.2825012214794116</v>
      </c>
    </row>
    <row r="15" spans="1:13" ht="34.5" customHeight="1" thickBo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</row>
    <row r="16" spans="1:13" ht="27" thickBot="1">
      <c r="A16" s="115" t="s">
        <v>84</v>
      </c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3"/>
    </row>
    <row r="17" spans="1:13" ht="26.25">
      <c r="A17" s="114" t="s">
        <v>88</v>
      </c>
      <c r="B17" s="113"/>
      <c r="C17" s="283" t="s">
        <v>94</v>
      </c>
      <c r="D17" s="283"/>
      <c r="E17" s="283"/>
      <c r="F17" s="283"/>
      <c r="G17" s="283"/>
      <c r="H17" s="95"/>
      <c r="I17" s="284" t="s">
        <v>81</v>
      </c>
      <c r="J17" s="284"/>
      <c r="K17" s="284"/>
      <c r="L17" s="284"/>
      <c r="M17" s="285"/>
    </row>
    <row r="18" spans="1:13" ht="18">
      <c r="A18" s="116"/>
      <c r="B18" s="97"/>
      <c r="C18" s="276" t="s">
        <v>82</v>
      </c>
      <c r="D18" s="276"/>
      <c r="E18" s="276"/>
      <c r="F18" s="276"/>
      <c r="G18" s="276"/>
      <c r="H18" s="104"/>
      <c r="I18" s="277" t="s">
        <v>95</v>
      </c>
      <c r="J18" s="277"/>
      <c r="K18" s="277"/>
      <c r="L18" s="277"/>
      <c r="M18" s="278"/>
    </row>
    <row r="19" spans="1:13" ht="18">
      <c r="A19" s="96"/>
      <c r="B19" s="97"/>
      <c r="C19" s="97"/>
      <c r="D19" s="97"/>
      <c r="E19" s="103"/>
      <c r="F19" s="104"/>
      <c r="G19" s="105"/>
      <c r="H19" s="104"/>
      <c r="I19" s="104"/>
      <c r="J19" s="104"/>
      <c r="K19" s="103"/>
      <c r="L19" s="104"/>
      <c r="M19" s="106"/>
    </row>
    <row r="20" spans="1:13" ht="18">
      <c r="A20" s="99" t="s">
        <v>79</v>
      </c>
      <c r="B20" s="97"/>
      <c r="C20" s="218" t="s">
        <v>14</v>
      </c>
      <c r="D20" s="218" t="s">
        <v>123</v>
      </c>
      <c r="E20" s="218" t="s">
        <v>1</v>
      </c>
      <c r="F20" s="218" t="s">
        <v>6</v>
      </c>
      <c r="G20" s="218" t="s">
        <v>0</v>
      </c>
      <c r="H20" s="186"/>
      <c r="I20" s="100" t="s">
        <v>14</v>
      </c>
      <c r="J20" s="100" t="s">
        <v>123</v>
      </c>
      <c r="K20" s="100" t="s">
        <v>1</v>
      </c>
      <c r="L20" s="100" t="s">
        <v>6</v>
      </c>
      <c r="M20" s="101" t="s">
        <v>0</v>
      </c>
    </row>
    <row r="21" spans="1:13" ht="18">
      <c r="A21" s="96"/>
      <c r="B21" s="97"/>
      <c r="C21" s="218" t="s">
        <v>4</v>
      </c>
      <c r="D21" s="218" t="s">
        <v>4</v>
      </c>
      <c r="E21" s="218" t="s">
        <v>4</v>
      </c>
      <c r="F21" s="218" t="s">
        <v>3</v>
      </c>
      <c r="G21" s="218" t="s">
        <v>2</v>
      </c>
      <c r="H21" s="186"/>
      <c r="I21" s="100" t="s">
        <v>4</v>
      </c>
      <c r="J21" s="100" t="s">
        <v>4</v>
      </c>
      <c r="K21" s="100" t="s">
        <v>4</v>
      </c>
      <c r="L21" s="100" t="s">
        <v>3</v>
      </c>
      <c r="M21" s="101" t="s">
        <v>2</v>
      </c>
    </row>
    <row r="22" spans="1:13" ht="18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8">
      <c r="A23" s="102" t="s">
        <v>124</v>
      </c>
      <c r="B23" s="97"/>
      <c r="C23" s="182">
        <v>40</v>
      </c>
      <c r="D23" s="187">
        <f>'Partner Phase I Prospects )'!$V$19</f>
        <v>908.125</v>
      </c>
      <c r="E23" s="183">
        <f>'Partner Phase I Prospects )'!$W$19</f>
        <v>463.5</v>
      </c>
      <c r="F23" s="184">
        <f>'Partner Phase I Prospects )'!$W$30</f>
        <v>11.5875</v>
      </c>
      <c r="G23" s="185">
        <f>'Partner Phase I Prospects )'!$W$29</f>
        <v>1.3651148140290692</v>
      </c>
      <c r="H23" s="104"/>
      <c r="I23" s="103">
        <v>250</v>
      </c>
      <c r="J23" s="222">
        <f>'Investor Phase I Prospects'!$V$22</f>
        <v>5578.75</v>
      </c>
      <c r="K23" s="222">
        <f>'Investor Phase I Prospects'!$W$22</f>
        <v>2911</v>
      </c>
      <c r="L23" s="225">
        <f>'Investor Phase I Prospects'!$V$31</f>
        <v>22.315</v>
      </c>
      <c r="M23" s="224">
        <f>'Investor Phase I Prospects'!$V$30</f>
        <v>1.9462652864642327</v>
      </c>
    </row>
    <row r="24" spans="1:13" ht="18">
      <c r="A24" s="96"/>
      <c r="B24" s="97"/>
      <c r="C24" s="97"/>
      <c r="D24" s="97"/>
      <c r="E24" s="103"/>
      <c r="F24" s="103"/>
      <c r="G24" s="105"/>
      <c r="H24" s="104"/>
      <c r="I24" s="103"/>
      <c r="J24" s="103"/>
      <c r="K24" s="103"/>
      <c r="L24" s="104"/>
      <c r="M24" s="106"/>
    </row>
    <row r="25" spans="1:13" ht="18.75" thickBot="1">
      <c r="A25" s="107" t="s">
        <v>76</v>
      </c>
      <c r="B25" s="108"/>
      <c r="C25" s="108">
        <v>5</v>
      </c>
      <c r="D25" s="188">
        <f>'Partner Follow Ons'!$V$19</f>
        <v>540.275</v>
      </c>
      <c r="E25" s="109">
        <f>'Partner Follow Ons'!$W$19</f>
        <v>205.025</v>
      </c>
      <c r="F25" s="111">
        <f>'Partner Follow Ons'!$W$30</f>
        <v>38.53853383458647</v>
      </c>
      <c r="G25" s="110">
        <f>'Partner Follow Ons'!$W$29</f>
        <v>2.527209041000696</v>
      </c>
      <c r="H25" s="111"/>
      <c r="I25" s="109">
        <v>100</v>
      </c>
      <c r="J25" s="109">
        <f>'Investor Follow on Prospects '!$V$22</f>
        <v>3325.75</v>
      </c>
      <c r="K25" s="109">
        <f>'Investor Follow on Prospects '!$W$22</f>
        <v>1314.25</v>
      </c>
      <c r="L25" s="111">
        <f>'Investor Follow on Prospects '!$V$31</f>
        <v>33.2575</v>
      </c>
      <c r="M25" s="112">
        <f>'Investor Follow on Prospects '!$V$30</f>
        <v>2.337396438572665</v>
      </c>
    </row>
    <row r="26" spans="1:13" ht="12.75">
      <c r="A26" s="9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215"/>
    </row>
    <row r="27" spans="1:13" ht="18">
      <c r="A27" s="102" t="s">
        <v>121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215"/>
    </row>
    <row r="28" spans="1:13" ht="18.75" thickBot="1">
      <c r="A28" s="107" t="s">
        <v>136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7"/>
    </row>
  </sheetData>
  <sheetProtection/>
  <mergeCells count="15">
    <mergeCell ref="C18:G18"/>
    <mergeCell ref="C7:G7"/>
    <mergeCell ref="I17:M17"/>
    <mergeCell ref="I18:M18"/>
    <mergeCell ref="I6:M6"/>
    <mergeCell ref="I7:M7"/>
    <mergeCell ref="B16:M16"/>
    <mergeCell ref="A15:M15"/>
    <mergeCell ref="C6:G6"/>
    <mergeCell ref="A2:M2"/>
    <mergeCell ref="A3:M3"/>
    <mergeCell ref="C17:G17"/>
    <mergeCell ref="A4:M4"/>
    <mergeCell ref="B5:M5"/>
    <mergeCell ref="A1:M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zoomScale="50" zoomScaleNormal="50" zoomScalePageLayoutView="0" workbookViewId="0" topLeftCell="A1">
      <selection activeCell="A20" sqref="A20"/>
    </sheetView>
  </sheetViews>
  <sheetFormatPr defaultColWidth="9.140625" defaultRowHeight="12.75"/>
  <cols>
    <col min="1" max="1" width="42.57421875" style="0" customWidth="1"/>
    <col min="2" max="2" width="5.57421875" style="0" customWidth="1"/>
    <col min="3" max="4" width="14.00390625" style="0" customWidth="1"/>
    <col min="5" max="7" width="10.7109375" style="0" customWidth="1"/>
    <col min="8" max="8" width="5.7109375" style="0" customWidth="1"/>
    <col min="9" max="10" width="9.5742187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7109375" style="0" customWidth="1"/>
    <col min="23" max="23" width="11.421875" style="0" customWidth="1"/>
    <col min="24" max="24" width="10.7109375" style="0" customWidth="1"/>
    <col min="25" max="25" width="12.00390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138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137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43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74"/>
      <c r="C5" s="340" t="s">
        <v>58</v>
      </c>
      <c r="D5" s="341"/>
      <c r="E5" s="341"/>
      <c r="F5" s="341"/>
      <c r="G5" s="342"/>
      <c r="H5" s="123"/>
      <c r="I5" s="343" t="s">
        <v>100</v>
      </c>
      <c r="J5" s="344"/>
      <c r="K5" s="344"/>
      <c r="L5" s="344"/>
      <c r="M5" s="345"/>
      <c r="N5" s="123"/>
      <c r="O5" s="346" t="s">
        <v>99</v>
      </c>
      <c r="P5" s="347"/>
      <c r="Q5" s="347"/>
      <c r="R5" s="347"/>
      <c r="S5" s="348"/>
      <c r="T5" s="123"/>
      <c r="U5" s="352" t="s">
        <v>102</v>
      </c>
      <c r="V5" s="353"/>
      <c r="W5" s="353"/>
      <c r="X5" s="353"/>
      <c r="Y5" s="354"/>
      <c r="Z5" s="7"/>
      <c r="AA5" s="349" t="s">
        <v>67</v>
      </c>
      <c r="AB5" s="350"/>
      <c r="AC5" s="350"/>
      <c r="AD5" s="351"/>
      <c r="AE5" s="7"/>
      <c r="AF5" s="7"/>
      <c r="AG5" s="7"/>
    </row>
    <row r="6" spans="1:33" ht="21" customHeight="1" thickBot="1">
      <c r="A6" s="122" t="s">
        <v>97</v>
      </c>
      <c r="B6" s="12"/>
      <c r="C6" s="340" t="s">
        <v>104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101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321"/>
      <c r="AB6" s="322"/>
      <c r="AC6" s="322"/>
      <c r="AD6" s="323"/>
      <c r="AE6" s="7"/>
      <c r="AF6" s="7"/>
      <c r="AG6" s="7"/>
    </row>
    <row r="7" spans="1:43" ht="21" customHeight="1" thickBot="1">
      <c r="A7" s="126"/>
      <c r="B7" s="12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180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2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126"/>
      <c r="B9" s="13"/>
      <c r="C9" s="15"/>
      <c r="D9" s="1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48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62" t="s">
        <v>89</v>
      </c>
      <c r="B10" s="14"/>
      <c r="C10" s="141"/>
      <c r="D10" s="141">
        <v>7355</v>
      </c>
      <c r="E10" s="142">
        <v>3798</v>
      </c>
      <c r="F10" s="142">
        <v>2977</v>
      </c>
      <c r="G10" s="142">
        <v>2336</v>
      </c>
      <c r="H10" s="142"/>
      <c r="I10" s="142"/>
      <c r="J10" s="141">
        <v>7355</v>
      </c>
      <c r="K10" s="142">
        <v>3798</v>
      </c>
      <c r="L10" s="142">
        <v>2977</v>
      </c>
      <c r="M10" s="142">
        <v>2336</v>
      </c>
      <c r="N10" s="142"/>
      <c r="O10" s="142"/>
      <c r="P10" s="141">
        <v>7355</v>
      </c>
      <c r="Q10" s="142">
        <v>3798</v>
      </c>
      <c r="R10" s="142">
        <v>2977</v>
      </c>
      <c r="S10" s="142">
        <v>2336</v>
      </c>
      <c r="T10" s="142"/>
      <c r="U10" s="142"/>
      <c r="V10" s="141">
        <v>7355</v>
      </c>
      <c r="W10" s="142">
        <v>3798</v>
      </c>
      <c r="X10" s="142">
        <v>2977</v>
      </c>
      <c r="Y10" s="143">
        <v>2336</v>
      </c>
      <c r="Z10" s="121"/>
      <c r="AA10" s="34" t="s">
        <v>91</v>
      </c>
      <c r="AB10" s="81">
        <f>D19</f>
        <v>2819.5</v>
      </c>
      <c r="AC10" s="79">
        <f>D30</f>
        <v>70.4875</v>
      </c>
      <c r="AD10" s="80">
        <f>D29</f>
        <v>3.23482509433118</v>
      </c>
      <c r="AE10" s="7"/>
      <c r="AF10" s="7"/>
      <c r="AG10" s="10" t="s">
        <v>4</v>
      </c>
      <c r="AH10" s="10"/>
      <c r="AI10" s="10" t="s">
        <v>2</v>
      </c>
      <c r="AJ10" s="10" t="s">
        <v>4</v>
      </c>
      <c r="AK10" s="10" t="s">
        <v>4</v>
      </c>
      <c r="AO10" s="10" t="s">
        <v>4</v>
      </c>
      <c r="AP10" s="10"/>
      <c r="AQ10" s="10" t="s">
        <v>2</v>
      </c>
      <c r="AR10" s="10" t="s">
        <v>4</v>
      </c>
      <c r="AS10" s="10" t="s">
        <v>4</v>
      </c>
    </row>
    <row r="11" spans="1:45" ht="21" customHeight="1">
      <c r="A11" s="162" t="s">
        <v>50</v>
      </c>
      <c r="B11" s="14"/>
      <c r="C11" s="141"/>
      <c r="D11" s="142">
        <v>250</v>
      </c>
      <c r="E11" s="142">
        <v>250</v>
      </c>
      <c r="F11" s="142">
        <v>250</v>
      </c>
      <c r="G11" s="142">
        <v>250</v>
      </c>
      <c r="H11" s="142"/>
      <c r="I11" s="142"/>
      <c r="J11" s="142">
        <v>250</v>
      </c>
      <c r="K11" s="142">
        <v>250</v>
      </c>
      <c r="L11" s="142">
        <v>250</v>
      </c>
      <c r="M11" s="142">
        <v>250</v>
      </c>
      <c r="N11" s="142"/>
      <c r="O11" s="142"/>
      <c r="P11" s="142">
        <v>290</v>
      </c>
      <c r="Q11" s="142">
        <v>290</v>
      </c>
      <c r="R11" s="142">
        <v>290</v>
      </c>
      <c r="S11" s="142">
        <v>290</v>
      </c>
      <c r="T11" s="142"/>
      <c r="U11" s="142"/>
      <c r="V11" s="142">
        <v>250</v>
      </c>
      <c r="W11" s="142">
        <v>250</v>
      </c>
      <c r="X11" s="142">
        <v>250</v>
      </c>
      <c r="Y11" s="143">
        <v>250</v>
      </c>
      <c r="Z11" s="121"/>
      <c r="AA11" s="34" t="s">
        <v>1</v>
      </c>
      <c r="AB11" s="35">
        <f>E19</f>
        <v>1396.7</v>
      </c>
      <c r="AC11" s="36">
        <f>E30</f>
        <v>34.917500000000004</v>
      </c>
      <c r="AD11" s="37">
        <f>E29</f>
        <v>2.389768379824645</v>
      </c>
      <c r="AE11" s="7"/>
      <c r="AF11" s="7"/>
      <c r="AG11" s="5">
        <v>250</v>
      </c>
      <c r="AH11" s="5">
        <v>1</v>
      </c>
      <c r="AI11" s="6">
        <v>0.15</v>
      </c>
      <c r="AJ11" s="4">
        <f>$AG$11*AI11</f>
        <v>37.5</v>
      </c>
      <c r="AK11" s="2">
        <f>AJ11</f>
        <v>37.5</v>
      </c>
      <c r="AO11" s="5">
        <v>150</v>
      </c>
      <c r="AP11" s="5">
        <v>1</v>
      </c>
      <c r="AQ11" s="6">
        <v>0.15</v>
      </c>
      <c r="AR11" s="4">
        <f>$AO$11*AQ11</f>
        <v>22.5</v>
      </c>
      <c r="AS11" s="2">
        <f>AR11</f>
        <v>22.5</v>
      </c>
    </row>
    <row r="12" spans="1:45" ht="21" customHeight="1">
      <c r="A12" s="162" t="s">
        <v>23</v>
      </c>
      <c r="B12" s="14"/>
      <c r="C12" s="141"/>
      <c r="D12" s="142">
        <v>130</v>
      </c>
      <c r="E12" s="142">
        <v>130</v>
      </c>
      <c r="F12" s="142">
        <v>130</v>
      </c>
      <c r="G12" s="142">
        <v>130</v>
      </c>
      <c r="H12" s="142"/>
      <c r="I12" s="144"/>
      <c r="J12" s="142"/>
      <c r="K12" s="142"/>
      <c r="L12" s="142"/>
      <c r="M12" s="142"/>
      <c r="N12" s="142"/>
      <c r="O12" s="144"/>
      <c r="P12" s="142"/>
      <c r="Q12" s="142"/>
      <c r="R12" s="142"/>
      <c r="S12" s="142"/>
      <c r="T12" s="142"/>
      <c r="U12" s="144"/>
      <c r="V12" s="142"/>
      <c r="W12" s="142"/>
      <c r="X12" s="142"/>
      <c r="Y12" s="143"/>
      <c r="Z12" s="121"/>
      <c r="AA12" s="34" t="s">
        <v>7</v>
      </c>
      <c r="AB12" s="81">
        <f>F19</f>
        <v>1068.3000000000002</v>
      </c>
      <c r="AC12" s="36">
        <f>F30</f>
        <v>26.707500000000003</v>
      </c>
      <c r="AD12" s="37">
        <f>F29</f>
        <v>2.1168592367350936</v>
      </c>
      <c r="AE12" s="7"/>
      <c r="AF12" s="7"/>
      <c r="AG12" s="3"/>
      <c r="AH12" s="5">
        <v>2</v>
      </c>
      <c r="AI12" s="6">
        <f>AI11*1.15</f>
        <v>0.1725</v>
      </c>
      <c r="AJ12" s="4">
        <f>$AG$11*AI12</f>
        <v>43.125</v>
      </c>
      <c r="AK12" s="2">
        <f>AK11+AJ12</f>
        <v>80.625</v>
      </c>
      <c r="AO12" s="3"/>
      <c r="AP12" s="5">
        <v>2</v>
      </c>
      <c r="AQ12" s="6">
        <f>AQ11*1.15</f>
        <v>0.1725</v>
      </c>
      <c r="AR12" s="4">
        <f>$AO$11*AQ12</f>
        <v>25.874999999999996</v>
      </c>
      <c r="AS12" s="2">
        <f>AS11+AR12</f>
        <v>48.375</v>
      </c>
    </row>
    <row r="13" spans="1:45" ht="21" customHeight="1">
      <c r="A13" s="162" t="s">
        <v>53</v>
      </c>
      <c r="B13" s="14"/>
      <c r="C13" s="141"/>
      <c r="D13" s="142">
        <f>(D11+D12)/0.8</f>
        <v>475</v>
      </c>
      <c r="E13" s="142">
        <f>(E11+E12)/0.8</f>
        <v>475</v>
      </c>
      <c r="F13" s="142">
        <f>(F11+F12)/0.8</f>
        <v>475</v>
      </c>
      <c r="G13" s="142">
        <f>(G11+G12)/0.8</f>
        <v>475</v>
      </c>
      <c r="H13" s="142"/>
      <c r="I13" s="144"/>
      <c r="J13" s="142"/>
      <c r="K13" s="142"/>
      <c r="L13" s="142"/>
      <c r="M13" s="142"/>
      <c r="N13" s="142"/>
      <c r="O13" s="144"/>
      <c r="P13" s="142">
        <v>290</v>
      </c>
      <c r="Q13" s="142">
        <v>290</v>
      </c>
      <c r="R13" s="142">
        <v>290</v>
      </c>
      <c r="S13" s="142">
        <v>290</v>
      </c>
      <c r="T13" s="142"/>
      <c r="U13" s="144"/>
      <c r="V13" s="142">
        <v>250</v>
      </c>
      <c r="W13" s="142">
        <v>250</v>
      </c>
      <c r="X13" s="142">
        <v>250</v>
      </c>
      <c r="Y13" s="143">
        <v>250</v>
      </c>
      <c r="Z13" s="121"/>
      <c r="AA13" s="34" t="s">
        <v>12</v>
      </c>
      <c r="AB13" s="81">
        <f>G19</f>
        <v>811.9000000000001</v>
      </c>
      <c r="AC13" s="36">
        <f>G30</f>
        <v>20.297500000000003</v>
      </c>
      <c r="AD13" s="37">
        <f>G29</f>
        <v>1.86186266099417</v>
      </c>
      <c r="AE13" s="7"/>
      <c r="AF13" s="7"/>
      <c r="AG13" s="3"/>
      <c r="AH13" s="5"/>
      <c r="AI13" s="6"/>
      <c r="AJ13" s="4"/>
      <c r="AK13" s="2"/>
      <c r="AO13" s="3"/>
      <c r="AP13" s="5"/>
      <c r="AQ13" s="6"/>
      <c r="AR13" s="4"/>
      <c r="AS13" s="2"/>
    </row>
    <row r="14" spans="1:45" ht="21" customHeight="1">
      <c r="A14" s="162" t="s">
        <v>51</v>
      </c>
      <c r="B14" s="14"/>
      <c r="C14" s="146">
        <v>0.2</v>
      </c>
      <c r="D14" s="142">
        <f>D13*0.2</f>
        <v>95</v>
      </c>
      <c r="E14" s="142">
        <f>E13*0.2</f>
        <v>95</v>
      </c>
      <c r="F14" s="142">
        <f>F13*0.2</f>
        <v>95</v>
      </c>
      <c r="G14" s="142">
        <f>G13*0.2</f>
        <v>95</v>
      </c>
      <c r="H14" s="142"/>
      <c r="I14" s="146">
        <v>0.25</v>
      </c>
      <c r="J14" s="142">
        <f>250*0.25</f>
        <v>62.5</v>
      </c>
      <c r="K14" s="142">
        <f>250*0.25</f>
        <v>62.5</v>
      </c>
      <c r="L14" s="142">
        <f>250*0.25</f>
        <v>62.5</v>
      </c>
      <c r="M14" s="142">
        <f>250*0.25</f>
        <v>62.5</v>
      </c>
      <c r="N14" s="142"/>
      <c r="O14" s="146">
        <v>0</v>
      </c>
      <c r="P14" s="142"/>
      <c r="Q14" s="142"/>
      <c r="R14" s="142"/>
      <c r="S14" s="142"/>
      <c r="T14" s="142"/>
      <c r="U14" s="146">
        <v>0</v>
      </c>
      <c r="V14" s="142"/>
      <c r="W14" s="142"/>
      <c r="X14" s="142"/>
      <c r="Y14" s="143"/>
      <c r="Z14" s="121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107</v>
      </c>
      <c r="B15" s="14"/>
      <c r="C15" s="153"/>
      <c r="D15" s="142">
        <f>D10-D13</f>
        <v>6880</v>
      </c>
      <c r="E15" s="142">
        <f>E10-E13</f>
        <v>3323</v>
      </c>
      <c r="F15" s="142">
        <f>F10-F13</f>
        <v>2502</v>
      </c>
      <c r="G15" s="142">
        <f>G10-G13</f>
        <v>1861</v>
      </c>
      <c r="H15" s="142"/>
      <c r="I15" s="145"/>
      <c r="J15" s="142"/>
      <c r="K15" s="142"/>
      <c r="L15" s="142"/>
      <c r="M15" s="142"/>
      <c r="N15" s="142"/>
      <c r="O15" s="147"/>
      <c r="P15" s="142">
        <f>P10-P11-P12</f>
        <v>7065</v>
      </c>
      <c r="Q15" s="142">
        <f>Q10-Q11-Q12</f>
        <v>3508</v>
      </c>
      <c r="R15" s="142">
        <f>R10-R11-R12</f>
        <v>2687</v>
      </c>
      <c r="S15" s="142">
        <f>S10-S11-S12</f>
        <v>2046</v>
      </c>
      <c r="T15" s="142"/>
      <c r="U15" s="147"/>
      <c r="V15" s="142">
        <f>V10-V11-V12</f>
        <v>7105</v>
      </c>
      <c r="W15" s="142">
        <f>W10-W11-W12</f>
        <v>3548</v>
      </c>
      <c r="X15" s="142">
        <f>X10-X11-X12</f>
        <v>2727</v>
      </c>
      <c r="Y15" s="143">
        <f>Y10-Y11-Y12</f>
        <v>2086</v>
      </c>
      <c r="Z15" s="121"/>
      <c r="AA15" s="49" t="s">
        <v>20</v>
      </c>
      <c r="AB15" s="42"/>
      <c r="AC15" s="36"/>
      <c r="AD15" s="43"/>
      <c r="AE15" s="7"/>
      <c r="AF15" s="7"/>
      <c r="AG15" s="3"/>
      <c r="AH15" s="5">
        <v>3</v>
      </c>
      <c r="AI15" s="6">
        <f>AI12*1.15</f>
        <v>0.19837499999999997</v>
      </c>
      <c r="AJ15" s="4">
        <f>$AG$11*AI15</f>
        <v>49.59374999999999</v>
      </c>
      <c r="AK15" s="2">
        <f>AK12+AJ15</f>
        <v>130.21875</v>
      </c>
      <c r="AO15" s="3"/>
      <c r="AP15" s="5">
        <v>3</v>
      </c>
      <c r="AQ15" s="6">
        <f>AQ12*1.15</f>
        <v>0.19837499999999997</v>
      </c>
      <c r="AR15" s="4">
        <f>$AO$11*AQ15</f>
        <v>29.756249999999994</v>
      </c>
      <c r="AS15" s="2">
        <f>AS12+AR15</f>
        <v>78.13125</v>
      </c>
    </row>
    <row r="16" spans="1:45" ht="21" customHeight="1">
      <c r="A16" s="163" t="s">
        <v>24</v>
      </c>
      <c r="B16" s="19"/>
      <c r="C16" s="146" t="s">
        <v>70</v>
      </c>
      <c r="D16" s="142">
        <f>40+(D14-40)/2</f>
        <v>67.5</v>
      </c>
      <c r="E16" s="142">
        <f>40+(E14-40)/2</f>
        <v>67.5</v>
      </c>
      <c r="F16" s="142">
        <f>40+(F14-40)/2</f>
        <v>67.5</v>
      </c>
      <c r="G16" s="142">
        <f>40+(G14-40)/2</f>
        <v>67.5</v>
      </c>
      <c r="H16" s="142"/>
      <c r="I16" s="146">
        <v>0.25</v>
      </c>
      <c r="J16" s="142">
        <f>(J14-40)/2+40</f>
        <v>51.25</v>
      </c>
      <c r="K16" s="142">
        <f>(K14-40)/2+40</f>
        <v>51.25</v>
      </c>
      <c r="L16" s="142">
        <f>(L14-40)/2+40</f>
        <v>51.25</v>
      </c>
      <c r="M16" s="142">
        <f>(M14-40)/2+40</f>
        <v>51.25</v>
      </c>
      <c r="N16" s="142"/>
      <c r="O16" s="146" t="s">
        <v>47</v>
      </c>
      <c r="P16" s="142">
        <v>40</v>
      </c>
      <c r="Q16" s="142">
        <v>40</v>
      </c>
      <c r="R16" s="142">
        <v>40</v>
      </c>
      <c r="S16" s="142">
        <v>40</v>
      </c>
      <c r="T16" s="142"/>
      <c r="U16" s="146">
        <v>0</v>
      </c>
      <c r="V16" s="142"/>
      <c r="W16" s="142"/>
      <c r="X16" s="142"/>
      <c r="Y16" s="143"/>
      <c r="Z16" s="121"/>
      <c r="AA16" s="34" t="s">
        <v>91</v>
      </c>
      <c r="AB16" s="81">
        <f>J19</f>
        <v>939.375</v>
      </c>
      <c r="AC16" s="79">
        <f>J30</f>
        <v>23.484375</v>
      </c>
      <c r="AD16" s="80">
        <f>J29</f>
        <v>2.0179969186957956</v>
      </c>
      <c r="AE16" s="7"/>
      <c r="AF16" s="7"/>
      <c r="AG16" s="3"/>
      <c r="AH16" s="5">
        <v>4</v>
      </c>
      <c r="AI16" s="6">
        <f>AI15*1.15</f>
        <v>0.22813124999999995</v>
      </c>
      <c r="AJ16" s="4">
        <f>$AG$11*AI16</f>
        <v>57.03281249999999</v>
      </c>
      <c r="AK16" s="2">
        <f>AK15+AJ16</f>
        <v>187.25156249999998</v>
      </c>
      <c r="AO16" s="3"/>
      <c r="AP16" s="5">
        <v>4</v>
      </c>
      <c r="AQ16" s="6">
        <f>AQ15*1.15</f>
        <v>0.22813124999999995</v>
      </c>
      <c r="AR16" s="4">
        <f>$AO$11*AQ16</f>
        <v>34.21968749999999</v>
      </c>
      <c r="AS16" s="2">
        <f>AS15+AR16</f>
        <v>112.35093749999999</v>
      </c>
    </row>
    <row r="17" spans="1:33" ht="21" customHeight="1">
      <c r="A17" s="163" t="s">
        <v>35</v>
      </c>
      <c r="B17" s="19"/>
      <c r="C17" s="146">
        <v>0.8</v>
      </c>
      <c r="D17" s="142">
        <f>D15*0.8</f>
        <v>5504</v>
      </c>
      <c r="E17" s="142">
        <f>E15*0.8</f>
        <v>2658.4</v>
      </c>
      <c r="F17" s="142">
        <f>F15*0.8</f>
        <v>2001.6000000000001</v>
      </c>
      <c r="G17" s="142">
        <f>G15*0.8</f>
        <v>1488.8000000000002</v>
      </c>
      <c r="H17" s="142"/>
      <c r="I17" s="146">
        <v>0.25</v>
      </c>
      <c r="J17" s="142">
        <f>(J10-J11)*0.25</f>
        <v>1776.25</v>
      </c>
      <c r="K17" s="142">
        <f>(K10-K11)*0.25</f>
        <v>887</v>
      </c>
      <c r="L17" s="142">
        <f>(L10-L11)*0.25</f>
        <v>681.75</v>
      </c>
      <c r="M17" s="142">
        <f>(M10-M11)*0.25</f>
        <v>521.5</v>
      </c>
      <c r="N17" s="142"/>
      <c r="O17" s="146">
        <v>0.25</v>
      </c>
      <c r="P17" s="142">
        <f>P15*0.25</f>
        <v>1766.25</v>
      </c>
      <c r="Q17" s="142">
        <f>Q15*0.25</f>
        <v>877</v>
      </c>
      <c r="R17" s="142">
        <f>R15*0.25</f>
        <v>671.75</v>
      </c>
      <c r="S17" s="142">
        <f>S15*0.25</f>
        <v>511.5</v>
      </c>
      <c r="T17" s="142"/>
      <c r="U17" s="146">
        <v>0.25</v>
      </c>
      <c r="V17" s="142">
        <f>V15*0.25</f>
        <v>1776.25</v>
      </c>
      <c r="W17" s="142">
        <f>W15*0.25</f>
        <v>887</v>
      </c>
      <c r="X17" s="142">
        <f>X15*0.25</f>
        <v>681.75</v>
      </c>
      <c r="Y17" s="143">
        <f>Y15*0.25</f>
        <v>521.5</v>
      </c>
      <c r="Z17" s="121"/>
      <c r="AA17" s="34" t="s">
        <v>1</v>
      </c>
      <c r="AB17" s="35">
        <f>K19</f>
        <v>494.75</v>
      </c>
      <c r="AC17" s="36">
        <f>K30</f>
        <v>12.36875</v>
      </c>
      <c r="AD17" s="37">
        <f>K29</f>
        <v>1.4831917006790323</v>
      </c>
      <c r="AE17" s="7"/>
      <c r="AF17" s="7"/>
      <c r="AG17" s="7"/>
    </row>
    <row r="18" spans="1:33" ht="21" customHeight="1">
      <c r="A18" s="163" t="s">
        <v>40</v>
      </c>
      <c r="B18" s="19"/>
      <c r="C18" s="146">
        <v>0.4</v>
      </c>
      <c r="D18" s="142">
        <f>D17/2</f>
        <v>2752</v>
      </c>
      <c r="E18" s="142">
        <f>E17/2</f>
        <v>1329.2</v>
      </c>
      <c r="F18" s="142">
        <f>F17/2</f>
        <v>1000.8000000000001</v>
      </c>
      <c r="G18" s="142">
        <f>G17/2</f>
        <v>744.4000000000001</v>
      </c>
      <c r="H18" s="142"/>
      <c r="I18" s="148">
        <v>0.125</v>
      </c>
      <c r="J18" s="142">
        <f>J17/2</f>
        <v>888.125</v>
      </c>
      <c r="K18" s="142">
        <f>K17/2</f>
        <v>443.5</v>
      </c>
      <c r="L18" s="142">
        <f>L17/2</f>
        <v>340.875</v>
      </c>
      <c r="M18" s="142">
        <f>M17/2</f>
        <v>260.75</v>
      </c>
      <c r="N18" s="142"/>
      <c r="O18" s="148">
        <v>0.125</v>
      </c>
      <c r="P18" s="142">
        <f>P17/2</f>
        <v>883.125</v>
      </c>
      <c r="Q18" s="142">
        <f>Q17/2</f>
        <v>438.5</v>
      </c>
      <c r="R18" s="142">
        <f>R17/2</f>
        <v>335.875</v>
      </c>
      <c r="S18" s="142">
        <f>S17/2</f>
        <v>255.75</v>
      </c>
      <c r="T18" s="142"/>
      <c r="U18" s="148">
        <v>0.125</v>
      </c>
      <c r="V18" s="142">
        <f>(V17-40)/2+40</f>
        <v>908.125</v>
      </c>
      <c r="W18" s="142">
        <f>(W17-40)/2+40</f>
        <v>463.5</v>
      </c>
      <c r="X18" s="142">
        <f>(X17-40)/2+40</f>
        <v>360.875</v>
      </c>
      <c r="Y18" s="143">
        <f>(Y17-40)/2+40</f>
        <v>280.75</v>
      </c>
      <c r="Z18" s="121"/>
      <c r="AA18" s="34" t="s">
        <v>7</v>
      </c>
      <c r="AB18" s="81">
        <f>L19</f>
        <v>392.125</v>
      </c>
      <c r="AC18" s="36">
        <f>L30</f>
        <v>9.803125</v>
      </c>
      <c r="AD18" s="37">
        <f>L29</f>
        <v>1.3154236767316774</v>
      </c>
      <c r="AE18" s="7"/>
      <c r="AF18" s="7"/>
      <c r="AG18" s="7"/>
    </row>
    <row r="19" spans="1:45" ht="21" customHeight="1">
      <c r="A19" s="164" t="s">
        <v>25</v>
      </c>
      <c r="B19" s="15"/>
      <c r="C19" s="141"/>
      <c r="D19" s="149">
        <f>D18+D16</f>
        <v>2819.5</v>
      </c>
      <c r="E19" s="149">
        <f>E18+E16</f>
        <v>1396.7</v>
      </c>
      <c r="F19" s="149">
        <f>F18+F16</f>
        <v>1068.3000000000002</v>
      </c>
      <c r="G19" s="149">
        <f>G18+G16</f>
        <v>811.9000000000001</v>
      </c>
      <c r="H19" s="149"/>
      <c r="I19" s="149"/>
      <c r="J19" s="149">
        <f>J16+J18</f>
        <v>939.375</v>
      </c>
      <c r="K19" s="149">
        <f>K16+K18</f>
        <v>494.75</v>
      </c>
      <c r="L19" s="149">
        <f>L16+L18</f>
        <v>392.125</v>
      </c>
      <c r="M19" s="149">
        <f>M16+M18</f>
        <v>312</v>
      </c>
      <c r="N19" s="149"/>
      <c r="O19" s="149"/>
      <c r="P19" s="149">
        <f>P16+P18</f>
        <v>923.125</v>
      </c>
      <c r="Q19" s="149">
        <f>Q16+Q18</f>
        <v>478.5</v>
      </c>
      <c r="R19" s="149">
        <f>R16+R18</f>
        <v>375.875</v>
      </c>
      <c r="S19" s="149">
        <f>S16+S18</f>
        <v>295.75</v>
      </c>
      <c r="T19" s="149"/>
      <c r="U19" s="149"/>
      <c r="V19" s="149">
        <f>(V17-40)/2+40</f>
        <v>908.125</v>
      </c>
      <c r="W19" s="149">
        <f>(W17-40)/2+40</f>
        <v>463.5</v>
      </c>
      <c r="X19" s="149">
        <f>(X17-40)/2+40</f>
        <v>360.875</v>
      </c>
      <c r="Y19" s="150">
        <f>Y18</f>
        <v>280.75</v>
      </c>
      <c r="Z19" s="121"/>
      <c r="AA19" s="34" t="s">
        <v>12</v>
      </c>
      <c r="AB19" s="81">
        <f>M19</f>
        <v>312</v>
      </c>
      <c r="AC19" s="36">
        <f>M30</f>
        <v>7.8</v>
      </c>
      <c r="AD19" s="37">
        <f>M29</f>
        <v>1.1620106510601236</v>
      </c>
      <c r="AE19" s="7"/>
      <c r="AF19" s="7"/>
      <c r="AG19" s="51"/>
      <c r="AH19" s="51"/>
      <c r="AI19" s="53"/>
      <c r="AJ19" s="53"/>
      <c r="AK19" s="53"/>
      <c r="AL19" s="53"/>
      <c r="AM19" s="53"/>
      <c r="AN19" s="53"/>
      <c r="AO19" s="327" t="s">
        <v>36</v>
      </c>
      <c r="AP19" s="327"/>
      <c r="AQ19" s="327"/>
      <c r="AR19" s="327"/>
      <c r="AS19" s="327"/>
    </row>
    <row r="20" spans="1:45" ht="21" customHeight="1" thickBot="1">
      <c r="A20" s="165" t="s">
        <v>68</v>
      </c>
      <c r="B20" s="15"/>
      <c r="C20" s="141"/>
      <c r="D20" s="142">
        <f>D18+(D14-D16)</f>
        <v>2779.5</v>
      </c>
      <c r="E20" s="142">
        <f>E18+(E14-E16)</f>
        <v>1356.7</v>
      </c>
      <c r="F20" s="142">
        <f>F18+(F14-F16)</f>
        <v>1028.3000000000002</v>
      </c>
      <c r="G20" s="142">
        <f>G18+(G14-G16)</f>
        <v>771.9000000000001</v>
      </c>
      <c r="H20" s="149"/>
      <c r="I20" s="149"/>
      <c r="J20" s="142">
        <f>J10*0.125-40/2</f>
        <v>899.375</v>
      </c>
      <c r="K20" s="142">
        <f>K10*0.125-40/2</f>
        <v>454.75</v>
      </c>
      <c r="L20" s="142">
        <f>L10*0.125-40/2</f>
        <v>352.125</v>
      </c>
      <c r="M20" s="142">
        <f>M10*0.125-40/2</f>
        <v>272</v>
      </c>
      <c r="N20" s="149"/>
      <c r="O20" s="149"/>
      <c r="P20" s="142">
        <f>P17*0.5</f>
        <v>883.125</v>
      </c>
      <c r="Q20" s="142">
        <f>Q17*0.5</f>
        <v>438.5</v>
      </c>
      <c r="R20" s="142">
        <f>R17*0.5</f>
        <v>335.875</v>
      </c>
      <c r="S20" s="142">
        <f>S17*0.5</f>
        <v>255.75</v>
      </c>
      <c r="T20" s="149"/>
      <c r="U20" s="149"/>
      <c r="V20" s="142">
        <f>(V17-40)/2</f>
        <v>868.125</v>
      </c>
      <c r="W20" s="142">
        <f>(W17-40)/2</f>
        <v>423.5</v>
      </c>
      <c r="X20" s="142">
        <f>(X17-40)/2</f>
        <v>320.875</v>
      </c>
      <c r="Y20" s="143">
        <f>Y18</f>
        <v>280.75</v>
      </c>
      <c r="Z20" s="121"/>
      <c r="AA20" s="44"/>
      <c r="AB20" s="45"/>
      <c r="AC20" s="46"/>
      <c r="AD20" s="47"/>
      <c r="AE20" s="7"/>
      <c r="AF20" s="7"/>
      <c r="AG20" s="51"/>
      <c r="AH20" s="51"/>
      <c r="AI20" s="54" t="s">
        <v>27</v>
      </c>
      <c r="AJ20" s="54"/>
      <c r="AK20" s="54" t="s">
        <v>31</v>
      </c>
      <c r="AL20" s="54" t="s">
        <v>33</v>
      </c>
      <c r="AM20" s="54" t="s">
        <v>34</v>
      </c>
      <c r="AN20" s="54"/>
      <c r="AO20" s="54" t="s">
        <v>37</v>
      </c>
      <c r="AP20" s="54"/>
      <c r="AQ20" s="54" t="s">
        <v>38</v>
      </c>
      <c r="AR20" s="54" t="s">
        <v>39</v>
      </c>
      <c r="AS20" s="54" t="s">
        <v>32</v>
      </c>
    </row>
    <row r="21" spans="1:45" ht="21" customHeight="1" thickTop="1">
      <c r="A21" s="197" t="s">
        <v>69</v>
      </c>
      <c r="B21" s="15"/>
      <c r="C21" s="198"/>
      <c r="D21" s="199">
        <f>D11+D12+(D15*0.2)</f>
        <v>1756</v>
      </c>
      <c r="E21" s="199">
        <f>E11+E12+(E15*0.2)</f>
        <v>1044.6</v>
      </c>
      <c r="F21" s="199">
        <f>F11+F12+(F15*0.2)</f>
        <v>880.4000000000001</v>
      </c>
      <c r="G21" s="199">
        <f>G11+G12+(G15*0.2)</f>
        <v>752.2</v>
      </c>
      <c r="H21" s="199"/>
      <c r="I21" s="199"/>
      <c r="J21" s="199">
        <f>0.75*J10</f>
        <v>5516.25</v>
      </c>
      <c r="K21" s="199">
        <f>0.75*K10</f>
        <v>2848.5</v>
      </c>
      <c r="L21" s="199">
        <f>0.75*L10</f>
        <v>2232.75</v>
      </c>
      <c r="M21" s="199">
        <f>0.75*M10</f>
        <v>1752</v>
      </c>
      <c r="N21" s="199"/>
      <c r="O21" s="199"/>
      <c r="P21" s="199">
        <f>P11+(P15*0.75)-40</f>
        <v>5548.75</v>
      </c>
      <c r="Q21" s="199">
        <f>Q11+(Q15*0.75)-40</f>
        <v>2881</v>
      </c>
      <c r="R21" s="199">
        <f>R11+(R15*0.75)-40</f>
        <v>2265.25</v>
      </c>
      <c r="S21" s="199">
        <f>S11+(S15*0.75)-40</f>
        <v>1784.5</v>
      </c>
      <c r="T21" s="199"/>
      <c r="U21" s="199"/>
      <c r="V21" s="199">
        <f>V11+(V15*0.75)</f>
        <v>5578.75</v>
      </c>
      <c r="W21" s="199">
        <f>W11+(W15*0.75)</f>
        <v>2911</v>
      </c>
      <c r="X21" s="199">
        <f>X11+(X15*0.75)</f>
        <v>2295.25</v>
      </c>
      <c r="Y21" s="200">
        <f>Y11+(Y15*0.75)</f>
        <v>1814.5</v>
      </c>
      <c r="Z21" s="121"/>
      <c r="AA21" s="50" t="s">
        <v>41</v>
      </c>
      <c r="AB21" s="42"/>
      <c r="AC21" s="36"/>
      <c r="AD21" s="43"/>
      <c r="AE21" s="7"/>
      <c r="AF21" s="7"/>
      <c r="AG21" s="51" t="s">
        <v>28</v>
      </c>
      <c r="AH21" s="51"/>
      <c r="AI21" s="51">
        <v>45.5</v>
      </c>
      <c r="AJ21" s="51"/>
      <c r="AK21" s="51">
        <v>1181</v>
      </c>
      <c r="AL21" s="51">
        <v>821</v>
      </c>
      <c r="AM21" s="51">
        <v>597</v>
      </c>
      <c r="AN21" s="51"/>
      <c r="AO21" s="51">
        <v>0</v>
      </c>
      <c r="AP21" s="51"/>
      <c r="AQ21" s="51">
        <v>5.32</v>
      </c>
      <c r="AR21" s="51">
        <v>0</v>
      </c>
      <c r="AS21" s="51">
        <f>SUM(AO21:AR21)</f>
        <v>5.32</v>
      </c>
    </row>
    <row r="22" spans="1:45" ht="21" customHeight="1">
      <c r="A22" s="165" t="s">
        <v>32</v>
      </c>
      <c r="B22" s="15"/>
      <c r="C22" s="141"/>
      <c r="D22" s="142">
        <f>SUM(D19:D21)</f>
        <v>7355</v>
      </c>
      <c r="E22" s="142">
        <f>SUM(E19:E21)</f>
        <v>3798</v>
      </c>
      <c r="F22" s="142">
        <f>SUM(F19:F21)</f>
        <v>2977.0000000000005</v>
      </c>
      <c r="G22" s="142">
        <f>SUM(G19:G21)</f>
        <v>2336</v>
      </c>
      <c r="H22" s="149"/>
      <c r="I22" s="149"/>
      <c r="J22" s="142">
        <f>SUM(J19:J21)</f>
        <v>7355</v>
      </c>
      <c r="K22" s="142">
        <f>SUM(K19:K21)</f>
        <v>3798</v>
      </c>
      <c r="L22" s="142">
        <f>SUM(L19:L21)</f>
        <v>2977</v>
      </c>
      <c r="M22" s="142">
        <f>SUM(M19:M21)</f>
        <v>2336</v>
      </c>
      <c r="N22" s="149"/>
      <c r="O22" s="149"/>
      <c r="P22" s="142">
        <f>SUM(P19:P21)</f>
        <v>7355</v>
      </c>
      <c r="Q22" s="142">
        <f>SUM(Q19:Q21)</f>
        <v>3798</v>
      </c>
      <c r="R22" s="142">
        <f>SUM(R19:R21)</f>
        <v>2977</v>
      </c>
      <c r="S22" s="142">
        <f>SUM(S19:S21)</f>
        <v>2336</v>
      </c>
      <c r="T22" s="149"/>
      <c r="U22" s="149"/>
      <c r="V22" s="142">
        <f>SUM(V19:V21)</f>
        <v>7355</v>
      </c>
      <c r="W22" s="142">
        <f>SUM(W19:W21)</f>
        <v>3798</v>
      </c>
      <c r="X22" s="142">
        <f>SUM(X19:X21)</f>
        <v>2977</v>
      </c>
      <c r="Y22" s="143">
        <f>SUM(Y19:Y21)</f>
        <v>2376</v>
      </c>
      <c r="Z22" s="121"/>
      <c r="AA22" s="34" t="s">
        <v>91</v>
      </c>
      <c r="AB22" s="81">
        <f>P19</f>
        <v>923.125</v>
      </c>
      <c r="AC22" s="79">
        <f>P30</f>
        <v>23.078125</v>
      </c>
      <c r="AD22" s="80">
        <f>P29</f>
        <v>2.3202921698362537</v>
      </c>
      <c r="AE22" s="7"/>
      <c r="AF22" s="7"/>
      <c r="AG22" s="51" t="s">
        <v>30</v>
      </c>
      <c r="AH22" s="51"/>
      <c r="AI22" s="51">
        <v>80</v>
      </c>
      <c r="AJ22" s="51"/>
      <c r="AK22" s="51">
        <v>539</v>
      </c>
      <c r="AL22" s="51">
        <v>413</v>
      </c>
      <c r="AM22" s="51">
        <v>324</v>
      </c>
      <c r="AN22" s="51"/>
      <c r="AO22" s="51">
        <v>3.75</v>
      </c>
      <c r="AP22" s="51"/>
      <c r="AQ22" s="51">
        <v>6.59</v>
      </c>
      <c r="AR22" s="51">
        <v>2.5</v>
      </c>
      <c r="AS22" s="51">
        <f>SUM(AO22:AR22)</f>
        <v>12.84</v>
      </c>
    </row>
    <row r="23" spans="1:45" ht="21" customHeight="1">
      <c r="A23" s="162" t="s">
        <v>22</v>
      </c>
      <c r="B23" s="24" t="s">
        <v>16</v>
      </c>
      <c r="C23" s="141"/>
      <c r="D23" s="141"/>
      <c r="E23" s="141"/>
      <c r="F23" s="141"/>
      <c r="G23" s="141"/>
      <c r="H23" s="141"/>
      <c r="I23" s="151"/>
      <c r="J23" s="141"/>
      <c r="K23" s="141"/>
      <c r="L23" s="141"/>
      <c r="M23" s="141"/>
      <c r="N23" s="141"/>
      <c r="O23" s="151"/>
      <c r="P23" s="141"/>
      <c r="Q23" s="141"/>
      <c r="R23" s="141"/>
      <c r="S23" s="141"/>
      <c r="T23" s="141"/>
      <c r="U23" s="151"/>
      <c r="V23" s="141"/>
      <c r="W23" s="141"/>
      <c r="X23" s="141"/>
      <c r="Y23" s="152"/>
      <c r="Z23" s="121"/>
      <c r="AA23" s="34" t="s">
        <v>1</v>
      </c>
      <c r="AB23" s="35">
        <f>Q19</f>
        <v>478.5</v>
      </c>
      <c r="AC23" s="36">
        <f>Q30</f>
        <v>11.9625</v>
      </c>
      <c r="AD23" s="37">
        <f>Q29</f>
        <v>1.7875296646179937</v>
      </c>
      <c r="AE23" s="7"/>
      <c r="AF23" s="7"/>
      <c r="AG23" s="51" t="s">
        <v>29</v>
      </c>
      <c r="AH23" s="51"/>
      <c r="AI23" s="55">
        <v>25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ht="21" customHeight="1">
      <c r="A24" s="126" t="s">
        <v>15</v>
      </c>
      <c r="B24" s="24">
        <v>1</v>
      </c>
      <c r="C24" s="153"/>
      <c r="D24" s="141">
        <v>-40</v>
      </c>
      <c r="E24" s="141">
        <v>-40</v>
      </c>
      <c r="F24" s="141">
        <v>-40</v>
      </c>
      <c r="G24" s="141">
        <v>-40</v>
      </c>
      <c r="H24" s="141"/>
      <c r="I24" s="141"/>
      <c r="J24" s="141">
        <v>-40</v>
      </c>
      <c r="K24" s="141">
        <v>-40</v>
      </c>
      <c r="L24" s="141">
        <v>-40</v>
      </c>
      <c r="M24" s="141">
        <v>-40</v>
      </c>
      <c r="N24" s="141"/>
      <c r="O24" s="141"/>
      <c r="P24" s="141">
        <v>-40</v>
      </c>
      <c r="Q24" s="141">
        <v>-40</v>
      </c>
      <c r="R24" s="141">
        <v>-40</v>
      </c>
      <c r="S24" s="141">
        <v>-40</v>
      </c>
      <c r="T24" s="141"/>
      <c r="U24" s="141"/>
      <c r="V24" s="141">
        <v>-40</v>
      </c>
      <c r="W24" s="141">
        <v>-40</v>
      </c>
      <c r="X24" s="141">
        <v>-40</v>
      </c>
      <c r="Y24" s="152">
        <v>-40</v>
      </c>
      <c r="Z24" s="121"/>
      <c r="AA24" s="34" t="s">
        <v>7</v>
      </c>
      <c r="AB24" s="81">
        <f>R19</f>
        <v>375.875</v>
      </c>
      <c r="AC24" s="36">
        <f>R30</f>
        <v>9.396875</v>
      </c>
      <c r="AD24" s="37">
        <f>R29</f>
        <v>1.6216176128946858</v>
      </c>
      <c r="AE24" s="7"/>
      <c r="AF24" s="7"/>
      <c r="AG24" s="52" t="s">
        <v>32</v>
      </c>
      <c r="AH24" s="51"/>
      <c r="AI24" s="51">
        <f>SUM(AI21:AI23)</f>
        <v>150.5</v>
      </c>
      <c r="AJ24" s="51"/>
      <c r="AK24" s="51">
        <f>SUM(AK21:AK23)</f>
        <v>1720</v>
      </c>
      <c r="AL24" s="51">
        <f>SUM(AL21:AL23)</f>
        <v>1234</v>
      </c>
      <c r="AM24" s="51">
        <f>SUM(AM21:AM23)</f>
        <v>921</v>
      </c>
      <c r="AN24" s="51"/>
      <c r="AO24" s="51">
        <f>SUM(AO21:AO23)</f>
        <v>3.75</v>
      </c>
      <c r="AP24" s="51"/>
      <c r="AQ24" s="51">
        <f>SUM(AQ21:AQ23)</f>
        <v>11.91</v>
      </c>
      <c r="AR24" s="51">
        <f>SUM(AR21:AR23)</f>
        <v>2.5</v>
      </c>
      <c r="AS24" s="51">
        <f>SUM(AS21:AS23)</f>
        <v>18.16</v>
      </c>
    </row>
    <row r="25" spans="1:33" ht="21" customHeight="1">
      <c r="A25" s="126"/>
      <c r="B25" s="24">
        <v>2</v>
      </c>
      <c r="C25" s="153"/>
      <c r="D25" s="141">
        <v>0</v>
      </c>
      <c r="E25" s="141">
        <v>0</v>
      </c>
      <c r="F25" s="141">
        <v>0</v>
      </c>
      <c r="G25" s="141">
        <v>0</v>
      </c>
      <c r="H25" s="141"/>
      <c r="I25" s="151"/>
      <c r="J25" s="141">
        <v>0</v>
      </c>
      <c r="K25" s="141">
        <v>0</v>
      </c>
      <c r="L25" s="141">
        <v>0</v>
      </c>
      <c r="M25" s="141">
        <v>0</v>
      </c>
      <c r="N25" s="141"/>
      <c r="O25" s="141"/>
      <c r="P25" s="141">
        <v>40</v>
      </c>
      <c r="Q25" s="141">
        <v>40</v>
      </c>
      <c r="R25" s="141">
        <v>40</v>
      </c>
      <c r="S25" s="141">
        <v>40</v>
      </c>
      <c r="T25" s="141"/>
      <c r="U25" s="141"/>
      <c r="V25" s="141">
        <v>0</v>
      </c>
      <c r="W25" s="141">
        <v>0</v>
      </c>
      <c r="X25" s="141">
        <v>0</v>
      </c>
      <c r="Y25" s="152">
        <v>0</v>
      </c>
      <c r="Z25" s="121"/>
      <c r="AA25" s="34" t="s">
        <v>12</v>
      </c>
      <c r="AB25" s="81">
        <f>S19</f>
        <v>295.75</v>
      </c>
      <c r="AC25" s="36">
        <f>S30</f>
        <v>7.39375</v>
      </c>
      <c r="AD25" s="37">
        <f>S29</f>
        <v>1.4708357043415057</v>
      </c>
      <c r="AE25" s="7"/>
      <c r="AF25" s="7"/>
      <c r="AG25" s="7"/>
    </row>
    <row r="26" spans="1:33" ht="21" customHeight="1" thickBot="1">
      <c r="A26" s="126"/>
      <c r="B26" s="24">
        <v>3</v>
      </c>
      <c r="C26" s="153"/>
      <c r="D26" s="142">
        <f>D16</f>
        <v>67.5</v>
      </c>
      <c r="E26" s="142">
        <f>E16</f>
        <v>67.5</v>
      </c>
      <c r="F26" s="142">
        <f>F16</f>
        <v>67.5</v>
      </c>
      <c r="G26" s="142">
        <f>G16</f>
        <v>67.5</v>
      </c>
      <c r="H26" s="142"/>
      <c r="I26" s="141"/>
      <c r="J26" s="142">
        <f>((475*0.25)-40)/2+40</f>
        <v>79.375</v>
      </c>
      <c r="K26" s="142">
        <f>((475*0.25)-40)/2+40</f>
        <v>79.375</v>
      </c>
      <c r="L26" s="142">
        <f>((475*0.25)-40)/2+40</f>
        <v>79.375</v>
      </c>
      <c r="M26" s="142">
        <f>((475*0.25)-40)/2+40</f>
        <v>79.375</v>
      </c>
      <c r="N26" s="141"/>
      <c r="O26" s="141"/>
      <c r="P26" s="142">
        <f>(((475-290)*0.25)-40)/2+40</f>
        <v>43.125</v>
      </c>
      <c r="Q26" s="142">
        <f>(((475-290)*0.25)-40)/2+40</f>
        <v>43.125</v>
      </c>
      <c r="R26" s="142">
        <f>(((475-290)*0.25)-40)/2+40</f>
        <v>43.125</v>
      </c>
      <c r="S26" s="142">
        <f>(((475-290)*0.25)-40)/2+40</f>
        <v>43.125</v>
      </c>
      <c r="T26" s="141"/>
      <c r="U26" s="141"/>
      <c r="V26" s="142">
        <f>(((475-250)*0.25)-40)/2+40</f>
        <v>48.125</v>
      </c>
      <c r="W26" s="142">
        <f>(((475-250)*0.25)-40)/2+40</f>
        <v>48.125</v>
      </c>
      <c r="X26" s="142">
        <f>(((475-250)*0.25)-40)/2+40</f>
        <v>48.125</v>
      </c>
      <c r="Y26" s="143">
        <f>(((475-250)*0.25)-40)/2+40</f>
        <v>48.125</v>
      </c>
      <c r="Z26" s="121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4</v>
      </c>
      <c r="C27" s="153"/>
      <c r="D27" s="142">
        <f>D19-D26</f>
        <v>2752</v>
      </c>
      <c r="E27" s="142">
        <f>E19-E26</f>
        <v>1329.2</v>
      </c>
      <c r="F27" s="142">
        <f>F19-F26</f>
        <v>1000.8000000000002</v>
      </c>
      <c r="G27" s="142">
        <f>G19-G26</f>
        <v>744.4000000000001</v>
      </c>
      <c r="H27" s="142"/>
      <c r="I27" s="151"/>
      <c r="J27" s="142">
        <f>J19-J26</f>
        <v>860</v>
      </c>
      <c r="K27" s="142">
        <f>K19-K26</f>
        <v>415.375</v>
      </c>
      <c r="L27" s="142">
        <f>L19-L26</f>
        <v>312.75</v>
      </c>
      <c r="M27" s="142">
        <f>M19-M26</f>
        <v>232.625</v>
      </c>
      <c r="N27" s="142"/>
      <c r="O27" s="151"/>
      <c r="P27" s="142">
        <f>P19-P26</f>
        <v>880</v>
      </c>
      <c r="Q27" s="142">
        <f>Q19-Q26</f>
        <v>435.375</v>
      </c>
      <c r="R27" s="142">
        <f>R19-R26</f>
        <v>332.75</v>
      </c>
      <c r="S27" s="142">
        <f>S19-S26</f>
        <v>252.625</v>
      </c>
      <c r="T27" s="142"/>
      <c r="U27" s="151"/>
      <c r="V27" s="142">
        <f>V19-V26</f>
        <v>860</v>
      </c>
      <c r="W27" s="142">
        <f>W19-W26</f>
        <v>415.375</v>
      </c>
      <c r="X27" s="142">
        <f>X19-X26</f>
        <v>312.75</v>
      </c>
      <c r="Y27" s="143">
        <f>Y19-Y26</f>
        <v>232.625</v>
      </c>
      <c r="Z27" s="121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15"/>
      <c r="C28" s="141"/>
      <c r="D28" s="141"/>
      <c r="E28" s="141"/>
      <c r="F28" s="141"/>
      <c r="G28" s="141"/>
      <c r="H28" s="141"/>
      <c r="I28" s="151"/>
      <c r="J28" s="145"/>
      <c r="K28" s="145"/>
      <c r="L28" s="145"/>
      <c r="M28" s="141"/>
      <c r="N28" s="141"/>
      <c r="O28" s="151"/>
      <c r="P28" s="145"/>
      <c r="Q28" s="145"/>
      <c r="R28" s="145"/>
      <c r="S28" s="141"/>
      <c r="T28" s="141"/>
      <c r="U28" s="151"/>
      <c r="V28" s="145"/>
      <c r="W28" s="145"/>
      <c r="X28" s="145"/>
      <c r="Y28" s="152"/>
      <c r="Z28" s="121"/>
      <c r="AA28" s="34" t="s">
        <v>91</v>
      </c>
      <c r="AB28" s="81">
        <f>V19</f>
        <v>908.125</v>
      </c>
      <c r="AC28" s="79">
        <f>V30</f>
        <v>22.703125</v>
      </c>
      <c r="AD28" s="80">
        <f>V29</f>
        <v>1.9247521623227368</v>
      </c>
      <c r="AE28" s="7"/>
      <c r="AF28" s="7"/>
      <c r="AG28" s="7"/>
    </row>
    <row r="29" spans="1:33" ht="21" customHeight="1">
      <c r="A29" s="189" t="s">
        <v>56</v>
      </c>
      <c r="B29" s="15"/>
      <c r="C29" s="141"/>
      <c r="D29" s="154">
        <f>IRR(D24:D27)</f>
        <v>3.23482509433118</v>
      </c>
      <c r="E29" s="154">
        <f>IRR(E24:E27)</f>
        <v>2.389768379824645</v>
      </c>
      <c r="F29" s="154">
        <f aca="true" t="shared" si="0" ref="F29:S29">IRR(F24:F27)</f>
        <v>2.1168592367350936</v>
      </c>
      <c r="G29" s="154">
        <f t="shared" si="0"/>
        <v>1.86186266099417</v>
      </c>
      <c r="H29" s="154"/>
      <c r="I29" s="154"/>
      <c r="J29" s="154">
        <f>IRR(J24:J27)</f>
        <v>2.0179969186957956</v>
      </c>
      <c r="K29" s="154">
        <f t="shared" si="0"/>
        <v>1.4831917006790323</v>
      </c>
      <c r="L29" s="154">
        <f t="shared" si="0"/>
        <v>1.3154236767316774</v>
      </c>
      <c r="M29" s="154">
        <f t="shared" si="0"/>
        <v>1.1620106510601236</v>
      </c>
      <c r="N29" s="154"/>
      <c r="O29" s="154"/>
      <c r="P29" s="154">
        <f>IRR(P24:P27)</f>
        <v>2.3202921698362537</v>
      </c>
      <c r="Q29" s="154">
        <f t="shared" si="0"/>
        <v>1.7875296646179937</v>
      </c>
      <c r="R29" s="154">
        <f t="shared" si="0"/>
        <v>1.6216176128946858</v>
      </c>
      <c r="S29" s="154">
        <f t="shared" si="0"/>
        <v>1.4708357043415057</v>
      </c>
      <c r="T29" s="154"/>
      <c r="U29" s="154"/>
      <c r="V29" s="154">
        <f>IRR(V24:V27)</f>
        <v>1.9247521623227368</v>
      </c>
      <c r="W29" s="154">
        <f>IRR(W24:W27)</f>
        <v>1.3651148140290692</v>
      </c>
      <c r="X29" s="154">
        <f>IRR(X24:X27)</f>
        <v>1.1862109322541299</v>
      </c>
      <c r="Y29" s="155">
        <f>IRR(Y24:Y27)</f>
        <v>1.020319700725306</v>
      </c>
      <c r="Z29" s="121"/>
      <c r="AA29" s="34" t="s">
        <v>1</v>
      </c>
      <c r="AB29" s="35">
        <f>W19</f>
        <v>463.5</v>
      </c>
      <c r="AC29" s="36">
        <f>W30</f>
        <v>11.5875</v>
      </c>
      <c r="AD29" s="37">
        <f>W29</f>
        <v>1.3651148140290692</v>
      </c>
      <c r="AE29" s="7"/>
      <c r="AF29" s="7"/>
      <c r="AG29" s="7"/>
    </row>
    <row r="30" spans="1:33" ht="21" customHeight="1">
      <c r="A30" s="189" t="s">
        <v>93</v>
      </c>
      <c r="B30" s="15"/>
      <c r="C30" s="141"/>
      <c r="D30" s="156">
        <f>-D19/D24</f>
        <v>70.4875</v>
      </c>
      <c r="E30" s="156">
        <f>-E19/E24</f>
        <v>34.917500000000004</v>
      </c>
      <c r="F30" s="156">
        <f>-F19/F24</f>
        <v>26.707500000000003</v>
      </c>
      <c r="G30" s="156">
        <f>-G19/G24</f>
        <v>20.297500000000003</v>
      </c>
      <c r="H30" s="156"/>
      <c r="I30" s="156"/>
      <c r="J30" s="156">
        <f>-J19/J24</f>
        <v>23.484375</v>
      </c>
      <c r="K30" s="156">
        <f>-K19/K24</f>
        <v>12.36875</v>
      </c>
      <c r="L30" s="156">
        <f>-L19/L24</f>
        <v>9.803125</v>
      </c>
      <c r="M30" s="156">
        <f>-M19/M24</f>
        <v>7.8</v>
      </c>
      <c r="N30" s="156"/>
      <c r="O30" s="156"/>
      <c r="P30" s="156">
        <f>-P19/P24</f>
        <v>23.078125</v>
      </c>
      <c r="Q30" s="156">
        <f>-Q19/Q24</f>
        <v>11.9625</v>
      </c>
      <c r="R30" s="156">
        <f>-R19/R24</f>
        <v>9.396875</v>
      </c>
      <c r="S30" s="156">
        <f>-S19/S24</f>
        <v>7.39375</v>
      </c>
      <c r="T30" s="156"/>
      <c r="U30" s="156"/>
      <c r="V30" s="156">
        <f>-V19/V24</f>
        <v>22.703125</v>
      </c>
      <c r="W30" s="156">
        <f>-W19/W24</f>
        <v>11.5875</v>
      </c>
      <c r="X30" s="156">
        <f>-X19/X24</f>
        <v>9.021875</v>
      </c>
      <c r="Y30" s="157">
        <f>-Y19/Y24</f>
        <v>7.01875</v>
      </c>
      <c r="Z30" s="121"/>
      <c r="AA30" s="34" t="s">
        <v>7</v>
      </c>
      <c r="AB30" s="81">
        <f>X19</f>
        <v>360.875</v>
      </c>
      <c r="AC30" s="36">
        <f>X30</f>
        <v>9.021875</v>
      </c>
      <c r="AD30" s="37">
        <f>X29</f>
        <v>1.1862109322541299</v>
      </c>
      <c r="AE30" s="7"/>
      <c r="AF30" s="7"/>
      <c r="AG30" s="7"/>
    </row>
    <row r="31" spans="1:33" ht="21" customHeight="1" thickBot="1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7"/>
      <c r="Z31" s="121"/>
      <c r="AA31" s="34" t="s">
        <v>12</v>
      </c>
      <c r="AB31" s="81">
        <f>Y19</f>
        <v>280.75</v>
      </c>
      <c r="AC31" s="36">
        <f>Y30</f>
        <v>7.01875</v>
      </c>
      <c r="AD31" s="37">
        <f>Y29</f>
        <v>1.020319700725306</v>
      </c>
      <c r="AE31" s="7"/>
      <c r="AF31" s="7"/>
      <c r="AG31" s="7"/>
    </row>
    <row r="32" spans="1:33" ht="21" customHeight="1" thickBot="1">
      <c r="A32" s="202" t="s">
        <v>73</v>
      </c>
      <c r="B32" s="203" t="s">
        <v>16</v>
      </c>
      <c r="C32" s="204"/>
      <c r="D32" s="204"/>
      <c r="E32" s="204"/>
      <c r="F32" s="204"/>
      <c r="G32" s="204"/>
      <c r="H32" s="204"/>
      <c r="I32" s="205"/>
      <c r="J32" s="204"/>
      <c r="K32" s="204"/>
      <c r="L32" s="204"/>
      <c r="M32" s="204"/>
      <c r="N32" s="204"/>
      <c r="O32" s="205"/>
      <c r="P32" s="204"/>
      <c r="Q32" s="204"/>
      <c r="R32" s="204"/>
      <c r="S32" s="204"/>
      <c r="T32" s="204"/>
      <c r="U32" s="205"/>
      <c r="V32" s="204"/>
      <c r="W32" s="204"/>
      <c r="X32" s="204"/>
      <c r="Y32" s="206"/>
      <c r="Z32" s="121"/>
      <c r="AA32" s="56"/>
      <c r="AB32" s="57"/>
      <c r="AC32" s="58"/>
      <c r="AD32" s="59"/>
      <c r="AE32" s="7"/>
      <c r="AF32" s="7"/>
      <c r="AG32" s="7"/>
    </row>
    <row r="33" spans="1:33" ht="21" customHeight="1">
      <c r="A33" s="191" t="s">
        <v>15</v>
      </c>
      <c r="B33" s="24">
        <v>1</v>
      </c>
      <c r="C33" s="24"/>
      <c r="D33" s="15">
        <v>-250</v>
      </c>
      <c r="E33" s="15">
        <v>-250</v>
      </c>
      <c r="F33" s="15">
        <v>-250</v>
      </c>
      <c r="G33" s="15">
        <v>-250</v>
      </c>
      <c r="H33" s="15"/>
      <c r="I33" s="15"/>
      <c r="J33" s="15">
        <v>-250</v>
      </c>
      <c r="K33" s="15">
        <v>-250</v>
      </c>
      <c r="L33" s="15">
        <v>-250</v>
      </c>
      <c r="M33" s="15">
        <v>-250</v>
      </c>
      <c r="N33" s="15"/>
      <c r="O33" s="15"/>
      <c r="P33" s="15">
        <v>-290</v>
      </c>
      <c r="Q33" s="15">
        <v>-290</v>
      </c>
      <c r="R33" s="15">
        <v>-290</v>
      </c>
      <c r="S33" s="15">
        <v>-290</v>
      </c>
      <c r="T33" s="15"/>
      <c r="U33" s="15"/>
      <c r="V33" s="15">
        <v>-250</v>
      </c>
      <c r="W33" s="15">
        <v>-250</v>
      </c>
      <c r="X33" s="15">
        <v>-250</v>
      </c>
      <c r="Y33" s="65">
        <v>-250</v>
      </c>
      <c r="Z33" s="121"/>
      <c r="AE33" s="7"/>
      <c r="AF33" s="7"/>
      <c r="AG33" s="7"/>
    </row>
    <row r="34" spans="1:33" ht="21" customHeight="1">
      <c r="A34" s="126"/>
      <c r="B34" s="24">
        <v>2</v>
      </c>
      <c r="C34" s="24"/>
      <c r="D34" s="15">
        <v>0</v>
      </c>
      <c r="E34" s="15">
        <v>0</v>
      </c>
      <c r="F34" s="15">
        <v>0</v>
      </c>
      <c r="G34" s="15">
        <v>0</v>
      </c>
      <c r="H34" s="15"/>
      <c r="I34" s="25"/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15">
        <v>0</v>
      </c>
      <c r="Q34" s="15">
        <v>0</v>
      </c>
      <c r="R34" s="15">
        <v>0</v>
      </c>
      <c r="S34" s="15">
        <v>0</v>
      </c>
      <c r="T34" s="15"/>
      <c r="U34" s="15"/>
      <c r="V34" s="15">
        <v>0</v>
      </c>
      <c r="W34" s="15">
        <v>0</v>
      </c>
      <c r="X34" s="15">
        <v>0</v>
      </c>
      <c r="Y34" s="65">
        <v>0</v>
      </c>
      <c r="Z34" s="121"/>
      <c r="AE34" s="11"/>
      <c r="AF34" s="11"/>
      <c r="AG34" s="11"/>
    </row>
    <row r="35" spans="1:25" ht="21" customHeight="1">
      <c r="A35" s="126"/>
      <c r="B35" s="24">
        <v>3</v>
      </c>
      <c r="C35" s="24"/>
      <c r="D35" s="16">
        <f>D11+D12</f>
        <v>380</v>
      </c>
      <c r="E35" s="16">
        <f>E11+E12</f>
        <v>380</v>
      </c>
      <c r="F35" s="16">
        <f>F11+F12</f>
        <v>380</v>
      </c>
      <c r="G35" s="16">
        <f>G11+G12</f>
        <v>380</v>
      </c>
      <c r="H35" s="16"/>
      <c r="I35" s="15"/>
      <c r="J35" s="16">
        <f>(475-250)*0.75</f>
        <v>168.75</v>
      </c>
      <c r="K35" s="16">
        <f>(475-250)*0.75</f>
        <v>168.75</v>
      </c>
      <c r="L35" s="16">
        <f>(475-250)*0.75</f>
        <v>168.75</v>
      </c>
      <c r="M35" s="16">
        <f>(475-250)*0.75</f>
        <v>168.75</v>
      </c>
      <c r="N35" s="15"/>
      <c r="O35" s="15"/>
      <c r="P35" s="16">
        <f>(475-290)*0.75+290</f>
        <v>428.75</v>
      </c>
      <c r="Q35" s="16">
        <f>(475-290)*0.75+290</f>
        <v>428.75</v>
      </c>
      <c r="R35" s="16">
        <f>(475-290)*0.75+290</f>
        <v>428.75</v>
      </c>
      <c r="S35" s="16">
        <f>(475-290)*0.75+290</f>
        <v>428.75</v>
      </c>
      <c r="T35" s="15"/>
      <c r="U35" s="15"/>
      <c r="V35" s="16">
        <f>(475-250)*0.75+250</f>
        <v>418.75</v>
      </c>
      <c r="W35" s="16">
        <f>(475-250)*0.75+250</f>
        <v>418.75</v>
      </c>
      <c r="X35" s="16">
        <f>(475-250)*0.75+250</f>
        <v>418.75</v>
      </c>
      <c r="Y35" s="63">
        <f>(475-250)*0.75+250</f>
        <v>418.75</v>
      </c>
    </row>
    <row r="36" spans="1:25" ht="21" customHeight="1">
      <c r="A36" s="126"/>
      <c r="B36" s="24">
        <v>4</v>
      </c>
      <c r="C36" s="24"/>
      <c r="D36" s="16">
        <f>D21-D35</f>
        <v>1376</v>
      </c>
      <c r="E36" s="16">
        <f aca="true" t="shared" si="1" ref="E36:Y36">E21-E35</f>
        <v>664.5999999999999</v>
      </c>
      <c r="F36" s="16">
        <f t="shared" si="1"/>
        <v>500.4000000000001</v>
      </c>
      <c r="G36" s="16">
        <f t="shared" si="1"/>
        <v>372.20000000000005</v>
      </c>
      <c r="H36" s="16"/>
      <c r="I36" s="16"/>
      <c r="J36" s="16">
        <f t="shared" si="1"/>
        <v>5347.5</v>
      </c>
      <c r="K36" s="16">
        <f t="shared" si="1"/>
        <v>2679.75</v>
      </c>
      <c r="L36" s="16">
        <f t="shared" si="1"/>
        <v>2064</v>
      </c>
      <c r="M36" s="16">
        <f t="shared" si="1"/>
        <v>1583.25</v>
      </c>
      <c r="N36" s="16"/>
      <c r="O36" s="16"/>
      <c r="P36" s="16">
        <f t="shared" si="1"/>
        <v>5120</v>
      </c>
      <c r="Q36" s="16">
        <f t="shared" si="1"/>
        <v>2452.25</v>
      </c>
      <c r="R36" s="16">
        <f t="shared" si="1"/>
        <v>1836.5</v>
      </c>
      <c r="S36" s="16">
        <f t="shared" si="1"/>
        <v>1355.75</v>
      </c>
      <c r="T36" s="16"/>
      <c r="U36" s="16"/>
      <c r="V36" s="16">
        <f t="shared" si="1"/>
        <v>5160</v>
      </c>
      <c r="W36" s="16">
        <f t="shared" si="1"/>
        <v>2492.25</v>
      </c>
      <c r="X36" s="16">
        <f t="shared" si="1"/>
        <v>1876.5</v>
      </c>
      <c r="Y36" s="63">
        <f t="shared" si="1"/>
        <v>1395.75</v>
      </c>
    </row>
    <row r="37" spans="1:25" ht="21" customHeight="1">
      <c r="A37" s="126"/>
      <c r="B37" s="15"/>
      <c r="C37" s="15"/>
      <c r="D37" s="15"/>
      <c r="E37" s="15"/>
      <c r="F37" s="15"/>
      <c r="G37" s="15"/>
      <c r="H37" s="15"/>
      <c r="I37" s="25"/>
      <c r="J37" s="20"/>
      <c r="K37" s="20"/>
      <c r="L37" s="20"/>
      <c r="M37" s="15"/>
      <c r="N37" s="15"/>
      <c r="O37" s="25"/>
      <c r="P37" s="20"/>
      <c r="Q37" s="20"/>
      <c r="R37" s="20"/>
      <c r="S37" s="15"/>
      <c r="T37" s="15"/>
      <c r="U37" s="25"/>
      <c r="V37" s="20"/>
      <c r="W37" s="20"/>
      <c r="X37" s="20"/>
      <c r="Y37" s="65"/>
    </row>
    <row r="38" spans="1:25" ht="21" customHeight="1">
      <c r="A38" s="190" t="s">
        <v>125</v>
      </c>
      <c r="B38" s="192"/>
      <c r="C38" s="192"/>
      <c r="D38" s="193">
        <f>IRR(D33:D36)</f>
        <v>1.0504395771420492</v>
      </c>
      <c r="E38" s="193">
        <f>IRR(E33:E36)</f>
        <v>0.7446363374907192</v>
      </c>
      <c r="F38" s="193">
        <f>IRR(F33:F36)</f>
        <v>0.6526236792268683</v>
      </c>
      <c r="G38" s="193">
        <f>IRR(G33:G36)</f>
        <v>0.5709027118207946</v>
      </c>
      <c r="H38" s="193"/>
      <c r="I38" s="193"/>
      <c r="J38" s="193">
        <f>IRR(J33:J36)</f>
        <v>1.8569310511581962</v>
      </c>
      <c r="K38" s="193">
        <f>IRR(K33:K36)</f>
        <v>1.3068558969933117</v>
      </c>
      <c r="L38" s="193">
        <f>IRR(L33:L36)</f>
        <v>1.1323283121091174</v>
      </c>
      <c r="M38" s="193">
        <f>IRR(M33:M36)</f>
        <v>0.9715830288655654</v>
      </c>
      <c r="N38" s="193"/>
      <c r="O38" s="193"/>
      <c r="P38" s="193">
        <f>IRR(P33:P36)</f>
        <v>1.7928498000856234</v>
      </c>
      <c r="Q38" s="193">
        <f>IRR(Q33:Q36)</f>
        <v>1.2781952135651866</v>
      </c>
      <c r="R38" s="193">
        <f>IRR(R33:R36)</f>
        <v>1.1148999923250433</v>
      </c>
      <c r="S38" s="193">
        <f>IRR(S33:S36)</f>
        <v>0.964291532822205</v>
      </c>
      <c r="T38" s="193"/>
      <c r="U38" s="193"/>
      <c r="V38" s="193">
        <f>IRR(V33:V36)</f>
        <v>1.9462652864642327</v>
      </c>
      <c r="W38" s="193">
        <f>IRR(W33:W36)</f>
        <v>1.41052237413514</v>
      </c>
      <c r="X38" s="193">
        <f>IRR(X33:X36)</f>
        <v>1.2413876017268262</v>
      </c>
      <c r="Y38" s="194">
        <f>IRR(Y33:Y36)</f>
        <v>1.0860033345024633</v>
      </c>
    </row>
    <row r="39" spans="1:25" ht="21" customHeight="1">
      <c r="A39" s="190" t="s">
        <v>126</v>
      </c>
      <c r="B39" s="192"/>
      <c r="C39" s="192"/>
      <c r="D39" s="195">
        <f>D21/D11</f>
        <v>7.024</v>
      </c>
      <c r="E39" s="195">
        <f aca="true" t="shared" si="2" ref="E39:Y39">E21/E11</f>
        <v>4.1784</v>
      </c>
      <c r="F39" s="195">
        <f t="shared" si="2"/>
        <v>3.5216000000000003</v>
      </c>
      <c r="G39" s="195">
        <f t="shared" si="2"/>
        <v>3.0088000000000004</v>
      </c>
      <c r="H39" s="195"/>
      <c r="I39" s="195"/>
      <c r="J39" s="195">
        <f t="shared" si="2"/>
        <v>22.065</v>
      </c>
      <c r="K39" s="195">
        <f t="shared" si="2"/>
        <v>11.394</v>
      </c>
      <c r="L39" s="195">
        <f t="shared" si="2"/>
        <v>8.931</v>
      </c>
      <c r="M39" s="195">
        <f t="shared" si="2"/>
        <v>7.008</v>
      </c>
      <c r="N39" s="195"/>
      <c r="O39" s="195"/>
      <c r="P39" s="195">
        <f t="shared" si="2"/>
        <v>19.13362068965517</v>
      </c>
      <c r="Q39" s="195">
        <f t="shared" si="2"/>
        <v>9.934482758620689</v>
      </c>
      <c r="R39" s="195">
        <f t="shared" si="2"/>
        <v>7.811206896551724</v>
      </c>
      <c r="S39" s="195">
        <f t="shared" si="2"/>
        <v>6.153448275862069</v>
      </c>
      <c r="T39" s="195"/>
      <c r="U39" s="195"/>
      <c r="V39" s="195">
        <f t="shared" si="2"/>
        <v>22.315</v>
      </c>
      <c r="W39" s="195">
        <f t="shared" si="2"/>
        <v>11.644</v>
      </c>
      <c r="X39" s="195">
        <f t="shared" si="2"/>
        <v>9.181</v>
      </c>
      <c r="Y39" s="196">
        <f t="shared" si="2"/>
        <v>7.258</v>
      </c>
    </row>
    <row r="40" spans="1:25" ht="21" customHeight="1" thickBot="1">
      <c r="A40" s="122"/>
      <c r="B40" s="66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9"/>
    </row>
    <row r="41" spans="1:25" ht="21" customHeight="1" thickBot="1">
      <c r="A41" s="201" t="s">
        <v>98</v>
      </c>
      <c r="B41" s="66"/>
      <c r="C41" s="158"/>
      <c r="D41" s="167" t="s">
        <v>48</v>
      </c>
      <c r="E41" s="158"/>
      <c r="F41" s="158"/>
      <c r="G41" s="158"/>
      <c r="H41" s="158"/>
      <c r="I41" s="158"/>
      <c r="J41" s="56" t="s">
        <v>49</v>
      </c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9"/>
    </row>
    <row r="42" ht="21" customHeight="1"/>
  </sheetData>
  <sheetProtection/>
  <mergeCells count="17">
    <mergeCell ref="AA5:AD5"/>
    <mergeCell ref="U5:Y5"/>
    <mergeCell ref="A31:Y31"/>
    <mergeCell ref="C6:G6"/>
    <mergeCell ref="I6:M6"/>
    <mergeCell ref="O6:S6"/>
    <mergeCell ref="U6:Y6"/>
    <mergeCell ref="AO19:AS19"/>
    <mergeCell ref="A1:Y1"/>
    <mergeCell ref="A2:Y2"/>
    <mergeCell ref="A3:Y3"/>
    <mergeCell ref="A4:Y4"/>
    <mergeCell ref="AA4:AD4"/>
    <mergeCell ref="C5:G5"/>
    <mergeCell ref="I5:M5"/>
    <mergeCell ref="O5:S5"/>
    <mergeCell ref="AA6:AD6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zoomScale="50" zoomScaleNormal="50" zoomScalePageLayoutView="0" workbookViewId="0" topLeftCell="A1">
      <selection activeCell="AC3" sqref="AC3"/>
    </sheetView>
  </sheetViews>
  <sheetFormatPr defaultColWidth="9.140625" defaultRowHeight="12.75"/>
  <cols>
    <col min="1" max="1" width="44.421875" style="0" customWidth="1"/>
    <col min="2" max="2" width="5.57421875" style="0" customWidth="1"/>
    <col min="3" max="4" width="12.8515625" style="0" customWidth="1"/>
    <col min="5" max="6" width="10.7109375" style="0" customWidth="1"/>
    <col min="7" max="7" width="11.140625" style="0" customWidth="1"/>
    <col min="8" max="8" width="5.7109375" style="0" customWidth="1"/>
    <col min="9" max="9" width="10.421875" style="0" customWidth="1"/>
    <col min="10" max="10" width="11.851562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7109375" style="0" customWidth="1"/>
    <col min="23" max="23" width="11.421875" style="0" customWidth="1"/>
    <col min="24" max="24" width="10.7109375" style="0" customWidth="1"/>
    <col min="25" max="25" width="12.00390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127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128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72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123"/>
      <c r="C5" s="340" t="s">
        <v>58</v>
      </c>
      <c r="D5" s="341"/>
      <c r="E5" s="341"/>
      <c r="F5" s="341"/>
      <c r="G5" s="342"/>
      <c r="H5" s="123"/>
      <c r="I5" s="343" t="s">
        <v>113</v>
      </c>
      <c r="J5" s="344"/>
      <c r="K5" s="344"/>
      <c r="L5" s="344"/>
      <c r="M5" s="345"/>
      <c r="N5" s="123"/>
      <c r="O5" s="346" t="s">
        <v>114</v>
      </c>
      <c r="P5" s="347"/>
      <c r="Q5" s="347"/>
      <c r="R5" s="347"/>
      <c r="S5" s="348"/>
      <c r="T5" s="123"/>
      <c r="U5" s="352" t="s">
        <v>116</v>
      </c>
      <c r="V5" s="353"/>
      <c r="W5" s="353"/>
      <c r="X5" s="353"/>
      <c r="Y5" s="354"/>
      <c r="Z5" s="7"/>
      <c r="AA5" s="349" t="s">
        <v>67</v>
      </c>
      <c r="AB5" s="350"/>
      <c r="AC5" s="350"/>
      <c r="AD5" s="351"/>
      <c r="AE5" s="7"/>
      <c r="AF5" s="7"/>
      <c r="AG5" s="7"/>
    </row>
    <row r="6" spans="1:33" ht="21" customHeight="1" thickBot="1">
      <c r="A6" s="122" t="s">
        <v>117</v>
      </c>
      <c r="B6" s="15"/>
      <c r="C6" s="340" t="s">
        <v>104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115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83"/>
      <c r="AB6" s="71"/>
      <c r="AC6" s="71"/>
      <c r="AD6" s="84"/>
      <c r="AE6" s="7"/>
      <c r="AF6" s="7"/>
      <c r="AG6" s="7"/>
    </row>
    <row r="7" spans="1:43" ht="21" customHeight="1" thickBot="1">
      <c r="A7" s="126"/>
      <c r="B7" s="15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180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5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126"/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48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62" t="s">
        <v>89</v>
      </c>
      <c r="B10" s="14"/>
      <c r="C10" s="141"/>
      <c r="D10" s="141">
        <v>4401</v>
      </c>
      <c r="E10" s="142">
        <v>1719</v>
      </c>
      <c r="F10" s="142">
        <v>1204</v>
      </c>
      <c r="G10" s="142">
        <v>883</v>
      </c>
      <c r="H10" s="142"/>
      <c r="I10" s="142"/>
      <c r="J10" s="141">
        <v>4401</v>
      </c>
      <c r="K10" s="142">
        <v>1719</v>
      </c>
      <c r="L10" s="142">
        <v>1204</v>
      </c>
      <c r="M10" s="142">
        <v>883</v>
      </c>
      <c r="N10" s="142"/>
      <c r="O10" s="142"/>
      <c r="P10" s="141">
        <v>4401</v>
      </c>
      <c r="Q10" s="142">
        <v>1719</v>
      </c>
      <c r="R10" s="142">
        <v>1204</v>
      </c>
      <c r="S10" s="142">
        <v>883</v>
      </c>
      <c r="T10" s="142"/>
      <c r="U10" s="142"/>
      <c r="V10" s="141">
        <v>4401</v>
      </c>
      <c r="W10" s="142">
        <v>1719</v>
      </c>
      <c r="X10" s="142">
        <v>1204</v>
      </c>
      <c r="Y10" s="143">
        <v>883</v>
      </c>
      <c r="Z10" s="7"/>
      <c r="AA10" s="34" t="s">
        <v>91</v>
      </c>
      <c r="AB10" s="81">
        <f>D19</f>
        <v>1706.0500000000002</v>
      </c>
      <c r="AC10" s="79">
        <f>D30</f>
        <v>320.68609022556393</v>
      </c>
      <c r="AD10" s="80">
        <f>D29</f>
        <v>6.042917192522192</v>
      </c>
      <c r="AE10" s="7"/>
      <c r="AF10" s="7"/>
      <c r="AG10" s="10" t="s">
        <v>4</v>
      </c>
      <c r="AH10" s="10"/>
      <c r="AI10" s="10" t="s">
        <v>2</v>
      </c>
      <c r="AJ10" s="10" t="s">
        <v>4</v>
      </c>
      <c r="AK10" s="10" t="s">
        <v>4</v>
      </c>
      <c r="AO10" s="10" t="s">
        <v>4</v>
      </c>
      <c r="AP10" s="10"/>
      <c r="AQ10" s="10" t="s">
        <v>2</v>
      </c>
      <c r="AR10" s="10" t="s">
        <v>4</v>
      </c>
      <c r="AS10" s="10" t="s">
        <v>4</v>
      </c>
    </row>
    <row r="11" spans="1:45" ht="21" customHeight="1">
      <c r="A11" s="162" t="s">
        <v>50</v>
      </c>
      <c r="B11" s="14"/>
      <c r="C11" s="141"/>
      <c r="D11" s="142">
        <v>100</v>
      </c>
      <c r="E11" s="142">
        <v>100</v>
      </c>
      <c r="F11" s="142">
        <v>100</v>
      </c>
      <c r="G11" s="142">
        <v>100</v>
      </c>
      <c r="H11" s="142"/>
      <c r="I11" s="142"/>
      <c r="J11" s="142">
        <v>100</v>
      </c>
      <c r="K11" s="142">
        <v>100</v>
      </c>
      <c r="L11" s="142">
        <v>100</v>
      </c>
      <c r="M11" s="142">
        <v>100</v>
      </c>
      <c r="N11" s="142"/>
      <c r="O11" s="142"/>
      <c r="P11" s="142">
        <v>100</v>
      </c>
      <c r="Q11" s="142">
        <v>100</v>
      </c>
      <c r="R11" s="142">
        <v>100</v>
      </c>
      <c r="S11" s="142">
        <v>100</v>
      </c>
      <c r="T11" s="142"/>
      <c r="U11" s="142"/>
      <c r="V11" s="142">
        <v>100</v>
      </c>
      <c r="W11" s="142">
        <v>100</v>
      </c>
      <c r="X11" s="142">
        <v>100</v>
      </c>
      <c r="Y11" s="143">
        <v>100</v>
      </c>
      <c r="Z11" s="7"/>
      <c r="AA11" s="34" t="s">
        <v>1</v>
      </c>
      <c r="AB11" s="35">
        <f>E19</f>
        <v>633.25</v>
      </c>
      <c r="AC11" s="36">
        <f>E30</f>
        <v>119.03195488721803</v>
      </c>
      <c r="AD11" s="37">
        <f>E29</f>
        <v>4.194615955817978</v>
      </c>
      <c r="AE11" s="7"/>
      <c r="AF11" s="7"/>
      <c r="AG11" s="5">
        <v>150</v>
      </c>
      <c r="AH11" s="5">
        <v>1</v>
      </c>
      <c r="AI11" s="6">
        <v>0.15</v>
      </c>
      <c r="AJ11" s="4">
        <f>$AG$11*AI11</f>
        <v>22.5</v>
      </c>
      <c r="AK11" s="2">
        <f>AJ11</f>
        <v>22.5</v>
      </c>
      <c r="AO11" s="5">
        <v>150</v>
      </c>
      <c r="AP11" s="5">
        <v>1</v>
      </c>
      <c r="AQ11" s="6">
        <v>0.15</v>
      </c>
      <c r="AR11" s="4">
        <f>$AO$11*AQ11</f>
        <v>22.5</v>
      </c>
      <c r="AS11" s="2">
        <f>AR11</f>
        <v>22.5</v>
      </c>
    </row>
    <row r="12" spans="1:45" ht="21" customHeight="1">
      <c r="A12" s="162" t="s">
        <v>23</v>
      </c>
      <c r="B12" s="14"/>
      <c r="C12" s="141"/>
      <c r="D12" s="142">
        <v>52</v>
      </c>
      <c r="E12" s="142">
        <v>52</v>
      </c>
      <c r="F12" s="142">
        <v>52</v>
      </c>
      <c r="G12" s="142">
        <v>52</v>
      </c>
      <c r="H12" s="142"/>
      <c r="I12" s="144"/>
      <c r="J12" s="142"/>
      <c r="K12" s="142"/>
      <c r="L12" s="142"/>
      <c r="M12" s="142"/>
      <c r="N12" s="142"/>
      <c r="O12" s="144"/>
      <c r="P12" s="142"/>
      <c r="Q12" s="142"/>
      <c r="R12" s="142"/>
      <c r="S12" s="142"/>
      <c r="T12" s="142"/>
      <c r="U12" s="144"/>
      <c r="V12" s="142"/>
      <c r="W12" s="142"/>
      <c r="X12" s="142"/>
      <c r="Y12" s="143"/>
      <c r="Z12" s="7"/>
      <c r="AA12" s="34" t="s">
        <v>7</v>
      </c>
      <c r="AB12" s="81">
        <f>F19</f>
        <v>427.25</v>
      </c>
      <c r="AC12" s="36">
        <f>F30</f>
        <v>80.31015037593984</v>
      </c>
      <c r="AD12" s="37">
        <f>F29</f>
        <v>3.5596386043807353</v>
      </c>
      <c r="AE12" s="7"/>
      <c r="AF12" s="7"/>
      <c r="AG12" s="3"/>
      <c r="AH12" s="5">
        <v>2</v>
      </c>
      <c r="AI12" s="6">
        <f>AI11*1.15</f>
        <v>0.1725</v>
      </c>
      <c r="AJ12" s="4">
        <f>$AG$11*AI12</f>
        <v>25.874999999999996</v>
      </c>
      <c r="AK12" s="2">
        <f>AK11+AJ12</f>
        <v>48.375</v>
      </c>
      <c r="AO12" s="3"/>
      <c r="AP12" s="5">
        <v>2</v>
      </c>
      <c r="AQ12" s="6">
        <f>AQ11*1.15</f>
        <v>0.1725</v>
      </c>
      <c r="AR12" s="4">
        <f>$AO$11*AQ12</f>
        <v>25.874999999999996</v>
      </c>
      <c r="AS12" s="2">
        <f>AS11+AR12</f>
        <v>48.375</v>
      </c>
    </row>
    <row r="13" spans="1:45" ht="21" customHeight="1">
      <c r="A13" s="162" t="s">
        <v>53</v>
      </c>
      <c r="B13" s="14"/>
      <c r="C13" s="141"/>
      <c r="D13" s="142">
        <f>(D11+D12)/0.8</f>
        <v>190</v>
      </c>
      <c r="E13" s="142">
        <f>(E11+E12)/0.8</f>
        <v>190</v>
      </c>
      <c r="F13" s="142">
        <f>(F11+F12)/0.8</f>
        <v>190</v>
      </c>
      <c r="G13" s="142">
        <f>(G11+G12)/0.8</f>
        <v>190</v>
      </c>
      <c r="H13" s="142"/>
      <c r="I13" s="144"/>
      <c r="J13" s="142"/>
      <c r="K13" s="142"/>
      <c r="L13" s="142"/>
      <c r="M13" s="142"/>
      <c r="N13" s="142"/>
      <c r="O13" s="144"/>
      <c r="P13" s="142">
        <v>100</v>
      </c>
      <c r="Q13" s="142">
        <v>100</v>
      </c>
      <c r="R13" s="142">
        <v>100</v>
      </c>
      <c r="S13" s="142">
        <v>100</v>
      </c>
      <c r="T13" s="142"/>
      <c r="U13" s="142"/>
      <c r="V13" s="142">
        <v>100</v>
      </c>
      <c r="W13" s="142">
        <v>100</v>
      </c>
      <c r="X13" s="142">
        <v>100</v>
      </c>
      <c r="Y13" s="143">
        <v>100</v>
      </c>
      <c r="Z13" s="7"/>
      <c r="AA13" s="34" t="s">
        <v>12</v>
      </c>
      <c r="AB13" s="81">
        <f>G19</f>
        <v>298.84999999999997</v>
      </c>
      <c r="AC13" s="36">
        <f>G30</f>
        <v>56.17481203007518</v>
      </c>
      <c r="AD13" s="37">
        <f>G29</f>
        <v>3.0971811279466195</v>
      </c>
      <c r="AE13" s="7"/>
      <c r="AF13" s="7"/>
      <c r="AG13" s="3"/>
      <c r="AH13" s="5"/>
      <c r="AI13" s="6"/>
      <c r="AJ13" s="4"/>
      <c r="AK13" s="2"/>
      <c r="AO13" s="3"/>
      <c r="AP13" s="5"/>
      <c r="AQ13" s="6"/>
      <c r="AR13" s="4"/>
      <c r="AS13" s="2"/>
    </row>
    <row r="14" spans="1:45" ht="21" customHeight="1">
      <c r="A14" s="162" t="s">
        <v>51</v>
      </c>
      <c r="B14" s="14"/>
      <c r="C14" s="146">
        <v>0.2</v>
      </c>
      <c r="D14" s="142">
        <f>D13*0.2</f>
        <v>38</v>
      </c>
      <c r="E14" s="142">
        <f>E13*0.2</f>
        <v>38</v>
      </c>
      <c r="F14" s="142">
        <f>F13*0.2</f>
        <v>38</v>
      </c>
      <c r="G14" s="142">
        <f>G13*0.2</f>
        <v>38</v>
      </c>
      <c r="H14" s="142"/>
      <c r="I14" s="146">
        <v>0.25</v>
      </c>
      <c r="J14" s="142">
        <f>75*0.25</f>
        <v>18.75</v>
      </c>
      <c r="K14" s="142">
        <f>75*0.25</f>
        <v>18.75</v>
      </c>
      <c r="L14" s="142">
        <f>75*0.25</f>
        <v>18.75</v>
      </c>
      <c r="M14" s="142">
        <f>75*0.25</f>
        <v>18.75</v>
      </c>
      <c r="N14" s="142"/>
      <c r="O14" s="144"/>
      <c r="P14" s="142"/>
      <c r="Q14" s="142"/>
      <c r="R14" s="142"/>
      <c r="S14" s="142"/>
      <c r="T14" s="142"/>
      <c r="U14" s="144"/>
      <c r="V14" s="142"/>
      <c r="W14" s="142"/>
      <c r="X14" s="142"/>
      <c r="Y14" s="143"/>
      <c r="Z14" s="7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107</v>
      </c>
      <c r="B15" s="14"/>
      <c r="C15" s="153"/>
      <c r="D15" s="142">
        <f>D10-D13</f>
        <v>4211</v>
      </c>
      <c r="E15" s="142">
        <f>E10-E13</f>
        <v>1529</v>
      </c>
      <c r="F15" s="142">
        <f>F10-F13</f>
        <v>1014</v>
      </c>
      <c r="G15" s="142">
        <f>G10-G13</f>
        <v>693</v>
      </c>
      <c r="H15" s="142"/>
      <c r="I15" s="147"/>
      <c r="J15" s="142"/>
      <c r="K15" s="142"/>
      <c r="L15" s="142"/>
      <c r="M15" s="142"/>
      <c r="N15" s="142"/>
      <c r="O15" s="147"/>
      <c r="P15" s="142">
        <f>P10-P11-P12</f>
        <v>4301</v>
      </c>
      <c r="Q15" s="142">
        <f>Q10-Q11-Q12</f>
        <v>1619</v>
      </c>
      <c r="R15" s="142">
        <f>R10-R11-R12</f>
        <v>1104</v>
      </c>
      <c r="S15" s="142">
        <f>S10-S11-S12</f>
        <v>783</v>
      </c>
      <c r="T15" s="142"/>
      <c r="U15" s="147"/>
      <c r="V15" s="142">
        <f>V10-V11-V12</f>
        <v>4301</v>
      </c>
      <c r="W15" s="142">
        <f>W10-W11-W12</f>
        <v>1619</v>
      </c>
      <c r="X15" s="142">
        <f>X10-X11-X12</f>
        <v>1104</v>
      </c>
      <c r="Y15" s="143">
        <f>Y10-Y11-Y12</f>
        <v>783</v>
      </c>
      <c r="Z15" s="7"/>
      <c r="AA15" s="49" t="s">
        <v>20</v>
      </c>
      <c r="AB15" s="42"/>
      <c r="AC15" s="36"/>
      <c r="AD15" s="43"/>
      <c r="AE15" s="7"/>
      <c r="AF15" s="7"/>
      <c r="AG15" s="3"/>
      <c r="AH15" s="5">
        <v>3</v>
      </c>
      <c r="AI15" s="6">
        <f>AI12*1.15</f>
        <v>0.19837499999999997</v>
      </c>
      <c r="AJ15" s="4">
        <f>$AG$11*AI15</f>
        <v>29.756249999999994</v>
      </c>
      <c r="AK15" s="2">
        <f>AK12+AJ15</f>
        <v>78.13125</v>
      </c>
      <c r="AO15" s="3"/>
      <c r="AP15" s="5">
        <v>3</v>
      </c>
      <c r="AQ15" s="6">
        <f>AQ12*1.15</f>
        <v>0.19837499999999997</v>
      </c>
      <c r="AR15" s="4">
        <f>$AO$11*AQ15</f>
        <v>29.756249999999994</v>
      </c>
      <c r="AS15" s="2">
        <f>AS12+AR15</f>
        <v>78.13125</v>
      </c>
    </row>
    <row r="16" spans="1:45" ht="21" customHeight="1">
      <c r="A16" s="163" t="s">
        <v>24</v>
      </c>
      <c r="B16" s="19"/>
      <c r="C16" s="146">
        <v>0.2</v>
      </c>
      <c r="D16" s="142">
        <f>5.3+(D14-5.3)/2</f>
        <v>21.650000000000002</v>
      </c>
      <c r="E16" s="142">
        <f>5.3+(E14-5.3)/2</f>
        <v>21.650000000000002</v>
      </c>
      <c r="F16" s="142">
        <f>5.3+(F14-5.3)/2</f>
        <v>21.650000000000002</v>
      </c>
      <c r="G16" s="142">
        <f>5.3+(G14-5.3)/2</f>
        <v>21.650000000000002</v>
      </c>
      <c r="H16" s="142"/>
      <c r="I16" s="146">
        <v>0.25</v>
      </c>
      <c r="J16" s="142">
        <f>(J14-5.3)/2+5.3</f>
        <v>12.024999999999999</v>
      </c>
      <c r="K16" s="142">
        <f>(K14-5.3)/2+5.3</f>
        <v>12.024999999999999</v>
      </c>
      <c r="L16" s="142">
        <f>(L14-5.3)/2+5.3</f>
        <v>12.024999999999999</v>
      </c>
      <c r="M16" s="142">
        <f>(M14-5.3)/2+5.3</f>
        <v>12.024999999999999</v>
      </c>
      <c r="N16" s="142"/>
      <c r="O16" s="146" t="s">
        <v>47</v>
      </c>
      <c r="P16" s="142">
        <v>5.32</v>
      </c>
      <c r="Q16" s="142">
        <v>5.32</v>
      </c>
      <c r="R16" s="142">
        <v>5.32</v>
      </c>
      <c r="S16" s="142">
        <v>5.32</v>
      </c>
      <c r="T16" s="142"/>
      <c r="U16" s="146">
        <v>0</v>
      </c>
      <c r="V16" s="142"/>
      <c r="W16" s="142"/>
      <c r="X16" s="142"/>
      <c r="Y16" s="143"/>
      <c r="Z16" s="7"/>
      <c r="AA16" s="34" t="s">
        <v>91</v>
      </c>
      <c r="AB16" s="81">
        <f>J19</f>
        <v>549.65</v>
      </c>
      <c r="AC16" s="79">
        <f>J30</f>
        <v>103.31766917293233</v>
      </c>
      <c r="AD16" s="80">
        <f>J29</f>
        <v>3.99513808704034</v>
      </c>
      <c r="AE16" s="7"/>
      <c r="AF16" s="7"/>
      <c r="AG16" s="3"/>
      <c r="AH16" s="5">
        <v>4</v>
      </c>
      <c r="AI16" s="6">
        <f>AI15*1.15</f>
        <v>0.22813124999999995</v>
      </c>
      <c r="AJ16" s="4">
        <f>$AG$11*AI16</f>
        <v>34.21968749999999</v>
      </c>
      <c r="AK16" s="2">
        <f>AK15+AJ16</f>
        <v>112.35093749999999</v>
      </c>
      <c r="AO16" s="3"/>
      <c r="AP16" s="5">
        <v>4</v>
      </c>
      <c r="AQ16" s="6">
        <f>AQ15*1.15</f>
        <v>0.22813124999999995</v>
      </c>
      <c r="AR16" s="4">
        <f>$AO$11*AQ16</f>
        <v>34.21968749999999</v>
      </c>
      <c r="AS16" s="2">
        <f>AS15+AR16</f>
        <v>112.35093749999999</v>
      </c>
    </row>
    <row r="17" spans="1:33" ht="21" customHeight="1">
      <c r="A17" s="163" t="s">
        <v>35</v>
      </c>
      <c r="B17" s="19"/>
      <c r="C17" s="146">
        <v>0.8</v>
      </c>
      <c r="D17" s="142">
        <f>D15*0.8</f>
        <v>3368.8</v>
      </c>
      <c r="E17" s="142">
        <f>E15*0.8</f>
        <v>1223.2</v>
      </c>
      <c r="F17" s="142">
        <f>F15*0.8</f>
        <v>811.2</v>
      </c>
      <c r="G17" s="142">
        <f>G15*0.8</f>
        <v>554.4</v>
      </c>
      <c r="H17" s="142"/>
      <c r="I17" s="146">
        <v>0.25</v>
      </c>
      <c r="J17" s="142">
        <f>(J10-J11)*0.25</f>
        <v>1075.25</v>
      </c>
      <c r="K17" s="142">
        <f>(K10-K11)*0.25</f>
        <v>404.75</v>
      </c>
      <c r="L17" s="142">
        <f>(L10-L11)*0.25</f>
        <v>276</v>
      </c>
      <c r="M17" s="142">
        <f>(M10-M11)*0.25</f>
        <v>195.75</v>
      </c>
      <c r="N17" s="142"/>
      <c r="O17" s="146">
        <v>0.25</v>
      </c>
      <c r="P17" s="142">
        <f>P15*0.25</f>
        <v>1075.25</v>
      </c>
      <c r="Q17" s="142">
        <f>Q15*0.25</f>
        <v>404.75</v>
      </c>
      <c r="R17" s="142">
        <f>R15*0.25</f>
        <v>276</v>
      </c>
      <c r="S17" s="142">
        <f>S15*0.25</f>
        <v>195.75</v>
      </c>
      <c r="T17" s="142"/>
      <c r="U17" s="146">
        <v>0.25</v>
      </c>
      <c r="V17" s="142">
        <f>V15*0.25</f>
        <v>1075.25</v>
      </c>
      <c r="W17" s="142">
        <f>W15*0.25</f>
        <v>404.75</v>
      </c>
      <c r="X17" s="142">
        <f>X15*0.25</f>
        <v>276</v>
      </c>
      <c r="Y17" s="143">
        <f>Y15*0.25</f>
        <v>195.75</v>
      </c>
      <c r="Z17" s="7"/>
      <c r="AA17" s="34" t="s">
        <v>1</v>
      </c>
      <c r="AB17" s="35">
        <f>K19</f>
        <v>214.4</v>
      </c>
      <c r="AC17" s="36">
        <f>K30</f>
        <v>40.30075187969925</v>
      </c>
      <c r="AD17" s="37">
        <f>K29</f>
        <v>2.809700601438867</v>
      </c>
      <c r="AE17" s="7"/>
      <c r="AF17" s="7"/>
      <c r="AG17" s="7"/>
    </row>
    <row r="18" spans="1:33" ht="21" customHeight="1">
      <c r="A18" s="163" t="s">
        <v>40</v>
      </c>
      <c r="B18" s="19"/>
      <c r="C18" s="146">
        <v>0.4</v>
      </c>
      <c r="D18" s="142">
        <f>D17/2</f>
        <v>1684.4</v>
      </c>
      <c r="E18" s="142">
        <f>E17/2</f>
        <v>611.6</v>
      </c>
      <c r="F18" s="142">
        <f>F17/2</f>
        <v>405.6</v>
      </c>
      <c r="G18" s="142">
        <f>G17/2</f>
        <v>277.2</v>
      </c>
      <c r="H18" s="142"/>
      <c r="I18" s="148">
        <v>0.125</v>
      </c>
      <c r="J18" s="142">
        <f>J17/2</f>
        <v>537.625</v>
      </c>
      <c r="K18" s="142">
        <f>K17/2</f>
        <v>202.375</v>
      </c>
      <c r="L18" s="142">
        <f>L17/2</f>
        <v>138</v>
      </c>
      <c r="M18" s="142">
        <f>M17/2</f>
        <v>97.875</v>
      </c>
      <c r="N18" s="142"/>
      <c r="O18" s="148">
        <v>0.125</v>
      </c>
      <c r="P18" s="142">
        <f>P17/2</f>
        <v>537.625</v>
      </c>
      <c r="Q18" s="142">
        <f>Q17/2</f>
        <v>202.375</v>
      </c>
      <c r="R18" s="142">
        <f>R17/2</f>
        <v>138</v>
      </c>
      <c r="S18" s="142">
        <f>S17/2</f>
        <v>97.875</v>
      </c>
      <c r="T18" s="142"/>
      <c r="U18" s="148">
        <v>0.125</v>
      </c>
      <c r="V18" s="142">
        <f>(V17-5.3)/2+5.3</f>
        <v>540.275</v>
      </c>
      <c r="W18" s="142">
        <f>(W17-5.3)/2+5.3</f>
        <v>205.025</v>
      </c>
      <c r="X18" s="142">
        <f>(X17-5.3)/2+5.3</f>
        <v>140.65</v>
      </c>
      <c r="Y18" s="143">
        <f>(Y17-5.3)/2+5.3</f>
        <v>100.52499999999999</v>
      </c>
      <c r="Z18" s="7"/>
      <c r="AA18" s="34" t="s">
        <v>7</v>
      </c>
      <c r="AB18" s="81">
        <f>L19</f>
        <v>150.025</v>
      </c>
      <c r="AC18" s="36">
        <f>L30</f>
        <v>28.200187969924812</v>
      </c>
      <c r="AD18" s="37">
        <f>L29</f>
        <v>2.456890079802732</v>
      </c>
      <c r="AE18" s="7"/>
      <c r="AF18" s="7"/>
      <c r="AG18" s="7"/>
    </row>
    <row r="19" spans="1:33" ht="21" customHeight="1">
      <c r="A19" s="164" t="s">
        <v>25</v>
      </c>
      <c r="B19" s="15"/>
      <c r="C19" s="141"/>
      <c r="D19" s="149">
        <f>D18+D16</f>
        <v>1706.0500000000002</v>
      </c>
      <c r="E19" s="149">
        <f>E18+E16</f>
        <v>633.25</v>
      </c>
      <c r="F19" s="149">
        <f>F18+F16</f>
        <v>427.25</v>
      </c>
      <c r="G19" s="149">
        <f>G18+G16</f>
        <v>298.84999999999997</v>
      </c>
      <c r="H19" s="149"/>
      <c r="I19" s="149"/>
      <c r="J19" s="149">
        <f>J16+J18</f>
        <v>549.65</v>
      </c>
      <c r="K19" s="149">
        <f>K16+K18</f>
        <v>214.4</v>
      </c>
      <c r="L19" s="149">
        <f>L16+L18</f>
        <v>150.025</v>
      </c>
      <c r="M19" s="149">
        <f>M16+M18</f>
        <v>109.9</v>
      </c>
      <c r="N19" s="149"/>
      <c r="O19" s="149"/>
      <c r="P19" s="149">
        <f>P16+P18</f>
        <v>542.945</v>
      </c>
      <c r="Q19" s="149">
        <f>Q16+Q18</f>
        <v>207.695</v>
      </c>
      <c r="R19" s="149">
        <f>R16+R18</f>
        <v>143.32</v>
      </c>
      <c r="S19" s="149">
        <f>S16+S18</f>
        <v>103.195</v>
      </c>
      <c r="T19" s="149"/>
      <c r="U19" s="149"/>
      <c r="V19" s="149">
        <f>V18</f>
        <v>540.275</v>
      </c>
      <c r="W19" s="149">
        <f>W18</f>
        <v>205.025</v>
      </c>
      <c r="X19" s="149">
        <f>X18</f>
        <v>140.65</v>
      </c>
      <c r="Y19" s="150">
        <f>Y18</f>
        <v>100.52499999999999</v>
      </c>
      <c r="Z19" s="7"/>
      <c r="AA19" s="34" t="s">
        <v>12</v>
      </c>
      <c r="AB19" s="81">
        <f>M19</f>
        <v>109.9</v>
      </c>
      <c r="AC19" s="36">
        <f>M30</f>
        <v>20.657894736842106</v>
      </c>
      <c r="AD19" s="37">
        <f>M29</f>
        <v>2.185306375226528</v>
      </c>
      <c r="AE19" s="7"/>
      <c r="AF19" s="7"/>
      <c r="AG19" s="7"/>
    </row>
    <row r="20" spans="1:33" ht="21" customHeight="1" thickBot="1">
      <c r="A20" s="165" t="s">
        <v>68</v>
      </c>
      <c r="B20" s="15"/>
      <c r="C20" s="141"/>
      <c r="D20" s="142">
        <f>D18+(D14-D16)</f>
        <v>1700.75</v>
      </c>
      <c r="E20" s="142">
        <f>E18+(E14-E16)</f>
        <v>627.95</v>
      </c>
      <c r="F20" s="142">
        <f>F18+(F14-F16)</f>
        <v>421.95000000000005</v>
      </c>
      <c r="G20" s="142">
        <f>G18+(G14-G16)</f>
        <v>293.55</v>
      </c>
      <c r="H20" s="149"/>
      <c r="I20" s="149"/>
      <c r="J20" s="142">
        <f>J10*0.125-5.32/2</f>
        <v>547.465</v>
      </c>
      <c r="K20" s="142">
        <f>K10*0.125-5.32/2</f>
        <v>212.215</v>
      </c>
      <c r="L20" s="142">
        <f>L10*0.125-5.32/2</f>
        <v>147.84</v>
      </c>
      <c r="M20" s="142">
        <f>M10*0.125-5.32/2</f>
        <v>107.715</v>
      </c>
      <c r="N20" s="149"/>
      <c r="O20" s="149"/>
      <c r="P20" s="142">
        <f>P17*0.5</f>
        <v>537.625</v>
      </c>
      <c r="Q20" s="142">
        <f>Q17*0.5</f>
        <v>202.375</v>
      </c>
      <c r="R20" s="142">
        <f>R17*0.5</f>
        <v>138</v>
      </c>
      <c r="S20" s="142">
        <f>S17*0.5</f>
        <v>97.875</v>
      </c>
      <c r="T20" s="149"/>
      <c r="U20" s="149"/>
      <c r="V20" s="142">
        <f>(V17-5.3)/2</f>
        <v>534.975</v>
      </c>
      <c r="W20" s="142">
        <f>(W17-5.3)/2</f>
        <v>199.725</v>
      </c>
      <c r="X20" s="142">
        <f>(X17-5.3)/2</f>
        <v>135.35</v>
      </c>
      <c r="Y20" s="143">
        <f>(Y17-5.3)/2</f>
        <v>95.225</v>
      </c>
      <c r="Z20" s="7"/>
      <c r="AA20" s="44"/>
      <c r="AB20" s="45"/>
      <c r="AC20" s="46"/>
      <c r="AD20" s="47"/>
      <c r="AE20" s="7"/>
      <c r="AF20" s="7"/>
      <c r="AG20" s="7"/>
    </row>
    <row r="21" spans="1:33" ht="21" customHeight="1" thickTop="1">
      <c r="A21" s="197" t="s">
        <v>69</v>
      </c>
      <c r="B21" s="192"/>
      <c r="C21" s="198"/>
      <c r="D21" s="199">
        <f>D11+D12+(D15*0.2)</f>
        <v>994.2</v>
      </c>
      <c r="E21" s="199">
        <f>E11+E12+(E15*0.2)</f>
        <v>457.8</v>
      </c>
      <c r="F21" s="199">
        <f>F11+F12+(F15*0.2)</f>
        <v>354.8</v>
      </c>
      <c r="G21" s="199">
        <f>G11+G12+(G15*0.2)</f>
        <v>290.6</v>
      </c>
      <c r="H21" s="199"/>
      <c r="I21" s="199"/>
      <c r="J21" s="199">
        <f>0.75*J10</f>
        <v>3300.75</v>
      </c>
      <c r="K21" s="199">
        <f>0.75*K10</f>
        <v>1289.25</v>
      </c>
      <c r="L21" s="199">
        <f>0.75*L10</f>
        <v>903</v>
      </c>
      <c r="M21" s="199">
        <f>0.75*M10</f>
        <v>662.25</v>
      </c>
      <c r="N21" s="199"/>
      <c r="O21" s="199"/>
      <c r="P21" s="199">
        <f>P11+(P15*0.75)-5</f>
        <v>3320.75</v>
      </c>
      <c r="Q21" s="199">
        <f>Q11+(Q15*0.75)-5</f>
        <v>1309.25</v>
      </c>
      <c r="R21" s="199">
        <f>R11+(R15*0.75)-5</f>
        <v>923</v>
      </c>
      <c r="S21" s="199">
        <f>S11+(S15*0.75)-5</f>
        <v>682.25</v>
      </c>
      <c r="T21" s="199"/>
      <c r="U21" s="199"/>
      <c r="V21" s="199">
        <f>V11+(V15*0.75)</f>
        <v>3325.75</v>
      </c>
      <c r="W21" s="199">
        <f>W11+(W15*0.75)</f>
        <v>1314.25</v>
      </c>
      <c r="X21" s="199">
        <f>X11+(X15*0.75)</f>
        <v>928</v>
      </c>
      <c r="Y21" s="200">
        <f>Y11+(Y15*0.75)</f>
        <v>687.25</v>
      </c>
      <c r="Z21" s="7"/>
      <c r="AA21" s="50" t="s">
        <v>41</v>
      </c>
      <c r="AB21" s="42"/>
      <c r="AC21" s="36"/>
      <c r="AD21" s="43"/>
      <c r="AE21" s="7"/>
      <c r="AF21" s="7"/>
      <c r="AG21" s="7"/>
    </row>
    <row r="22" spans="1:33" ht="21" customHeight="1">
      <c r="A22" s="165" t="s">
        <v>32</v>
      </c>
      <c r="B22" s="15"/>
      <c r="C22" s="141"/>
      <c r="D22" s="142">
        <f>SUM(D19:D21)</f>
        <v>4401</v>
      </c>
      <c r="E22" s="142">
        <f>SUM(E19:E21)</f>
        <v>1719</v>
      </c>
      <c r="F22" s="142">
        <f>SUM(F19:F21)</f>
        <v>1204</v>
      </c>
      <c r="G22" s="142">
        <f>SUM(G19:G21)</f>
        <v>883</v>
      </c>
      <c r="H22" s="149"/>
      <c r="I22" s="149"/>
      <c r="J22" s="142">
        <f>SUM(J19:J21)</f>
        <v>4397.865</v>
      </c>
      <c r="K22" s="142">
        <f>SUM(K19:K21)</f>
        <v>1715.865</v>
      </c>
      <c r="L22" s="142">
        <f>SUM(L19:L21)</f>
        <v>1200.865</v>
      </c>
      <c r="M22" s="142">
        <f>SUM(M19:M21)</f>
        <v>879.865</v>
      </c>
      <c r="N22" s="149"/>
      <c r="O22" s="149"/>
      <c r="P22" s="142">
        <f>SUM(P19:P21)</f>
        <v>4401.32</v>
      </c>
      <c r="Q22" s="142">
        <f>SUM(Q19:Q21)</f>
        <v>1719.32</v>
      </c>
      <c r="R22" s="142">
        <f>SUM(R19:R21)</f>
        <v>1204.32</v>
      </c>
      <c r="S22" s="142">
        <f>SUM(S19:S21)</f>
        <v>883.3199999999999</v>
      </c>
      <c r="T22" s="149"/>
      <c r="U22" s="149"/>
      <c r="V22" s="142">
        <f>SUM(V19:V21)</f>
        <v>4401</v>
      </c>
      <c r="W22" s="142">
        <f>SUM(W19:W21)</f>
        <v>1719</v>
      </c>
      <c r="X22" s="142">
        <f>SUM(X19:X21)</f>
        <v>1204</v>
      </c>
      <c r="Y22" s="143">
        <f>SUM(Y19:Y21)</f>
        <v>883</v>
      </c>
      <c r="Z22" s="7"/>
      <c r="AA22" s="34" t="s">
        <v>91</v>
      </c>
      <c r="AB22" s="81">
        <f>P19</f>
        <v>542.945</v>
      </c>
      <c r="AC22" s="79">
        <f>P30</f>
        <v>102.05733082706767</v>
      </c>
      <c r="AD22" s="80">
        <f>P29</f>
        <v>4.1613611738823355</v>
      </c>
      <c r="AE22" s="7"/>
      <c r="AF22" s="7"/>
      <c r="AG22" s="7"/>
    </row>
    <row r="23" spans="1:33" ht="21" customHeight="1">
      <c r="A23" s="209" t="s">
        <v>22</v>
      </c>
      <c r="B23" s="24" t="s">
        <v>16</v>
      </c>
      <c r="C23" s="141"/>
      <c r="D23" s="141"/>
      <c r="E23" s="141"/>
      <c r="F23" s="141"/>
      <c r="G23" s="141"/>
      <c r="H23" s="141"/>
      <c r="I23" s="151"/>
      <c r="J23" s="141"/>
      <c r="K23" s="141"/>
      <c r="L23" s="141"/>
      <c r="M23" s="141"/>
      <c r="N23" s="141"/>
      <c r="O23" s="151"/>
      <c r="P23" s="141"/>
      <c r="Q23" s="141"/>
      <c r="R23" s="141"/>
      <c r="S23" s="141"/>
      <c r="T23" s="141"/>
      <c r="U23" s="151"/>
      <c r="V23" s="141"/>
      <c r="W23" s="141"/>
      <c r="X23" s="141"/>
      <c r="Y23" s="152"/>
      <c r="Z23" s="7"/>
      <c r="AA23" s="34" t="s">
        <v>1</v>
      </c>
      <c r="AB23" s="35">
        <f>Q19</f>
        <v>207.695</v>
      </c>
      <c r="AC23" s="36">
        <f>Q30</f>
        <v>39.04041353383458</v>
      </c>
      <c r="AD23" s="37">
        <f>Q29</f>
        <v>2.9295273043936385</v>
      </c>
      <c r="AE23" s="7"/>
      <c r="AF23" s="7"/>
      <c r="AG23" s="7"/>
    </row>
    <row r="24" spans="1:33" ht="21" customHeight="1">
      <c r="A24" s="189" t="s">
        <v>15</v>
      </c>
      <c r="B24" s="24">
        <v>1</v>
      </c>
      <c r="C24" s="153"/>
      <c r="D24" s="141">
        <v>-5.32</v>
      </c>
      <c r="E24" s="141">
        <v>-5.32</v>
      </c>
      <c r="F24" s="141">
        <v>-5.32</v>
      </c>
      <c r="G24" s="141">
        <v>-5.32</v>
      </c>
      <c r="H24" s="141"/>
      <c r="I24" s="141"/>
      <c r="J24" s="141">
        <v>-5.32</v>
      </c>
      <c r="K24" s="141">
        <v>-5.32</v>
      </c>
      <c r="L24" s="141">
        <v>-5.32</v>
      </c>
      <c r="M24" s="141">
        <v>-5.32</v>
      </c>
      <c r="N24" s="141"/>
      <c r="O24" s="141"/>
      <c r="P24" s="141">
        <v>-5.32</v>
      </c>
      <c r="Q24" s="141">
        <v>-5.32</v>
      </c>
      <c r="R24" s="141">
        <v>-5.32</v>
      </c>
      <c r="S24" s="141">
        <v>-5.32</v>
      </c>
      <c r="T24" s="141"/>
      <c r="U24" s="141"/>
      <c r="V24" s="141">
        <v>-5.32</v>
      </c>
      <c r="W24" s="141">
        <v>-5.32</v>
      </c>
      <c r="X24" s="141">
        <v>-5.32</v>
      </c>
      <c r="Y24" s="152">
        <v>-5.32</v>
      </c>
      <c r="Z24" s="7"/>
      <c r="AA24" s="34" t="s">
        <v>7</v>
      </c>
      <c r="AB24" s="81">
        <f>R19</f>
        <v>143.32</v>
      </c>
      <c r="AC24" s="36">
        <f>R30</f>
        <v>26.939849624060148</v>
      </c>
      <c r="AD24" s="37">
        <f>R29</f>
        <v>2.556834256782511</v>
      </c>
      <c r="AE24" s="7"/>
      <c r="AF24" s="7"/>
      <c r="AG24" s="7"/>
    </row>
    <row r="25" spans="1:33" ht="21" customHeight="1">
      <c r="A25" s="126"/>
      <c r="B25" s="24">
        <v>2</v>
      </c>
      <c r="C25" s="153"/>
      <c r="D25" s="141">
        <v>0</v>
      </c>
      <c r="E25" s="141">
        <v>0</v>
      </c>
      <c r="F25" s="141">
        <v>0</v>
      </c>
      <c r="G25" s="141">
        <v>0</v>
      </c>
      <c r="H25" s="141"/>
      <c r="I25" s="151"/>
      <c r="J25" s="141">
        <v>0</v>
      </c>
      <c r="K25" s="141">
        <v>0</v>
      </c>
      <c r="L25" s="141">
        <v>0</v>
      </c>
      <c r="M25" s="141">
        <v>0</v>
      </c>
      <c r="N25" s="141"/>
      <c r="O25" s="141"/>
      <c r="P25" s="141">
        <v>5.32</v>
      </c>
      <c r="Q25" s="141">
        <v>5.32</v>
      </c>
      <c r="R25" s="141">
        <v>5.32</v>
      </c>
      <c r="S25" s="141">
        <v>5.32</v>
      </c>
      <c r="T25" s="141"/>
      <c r="U25" s="141"/>
      <c r="V25" s="141">
        <v>0</v>
      </c>
      <c r="W25" s="141">
        <v>0</v>
      </c>
      <c r="X25" s="141">
        <v>0</v>
      </c>
      <c r="Y25" s="152">
        <v>0</v>
      </c>
      <c r="Z25" s="7"/>
      <c r="AA25" s="34" t="s">
        <v>12</v>
      </c>
      <c r="AB25" s="81">
        <f>S19</f>
        <v>103.195</v>
      </c>
      <c r="AC25" s="36">
        <f>S30</f>
        <v>19.397556390977442</v>
      </c>
      <c r="AD25" s="37">
        <f>S29</f>
        <v>2.2667923863415966</v>
      </c>
      <c r="AE25" s="7"/>
      <c r="AF25" s="7"/>
      <c r="AG25" s="7"/>
    </row>
    <row r="26" spans="1:33" ht="21" customHeight="1" thickBot="1">
      <c r="A26" s="126"/>
      <c r="B26" s="24">
        <v>3</v>
      </c>
      <c r="C26" s="153"/>
      <c r="D26" s="142">
        <f>D16</f>
        <v>21.650000000000002</v>
      </c>
      <c r="E26" s="142">
        <f>E16</f>
        <v>21.650000000000002</v>
      </c>
      <c r="F26" s="142">
        <f>F16</f>
        <v>21.650000000000002</v>
      </c>
      <c r="G26" s="142">
        <f>G16</f>
        <v>21.650000000000002</v>
      </c>
      <c r="H26" s="142"/>
      <c r="I26" s="141"/>
      <c r="J26" s="142">
        <f>(190-5.3)*0.125+5.3</f>
        <v>28.3875</v>
      </c>
      <c r="K26" s="142">
        <f>(190-5.3)*0.125+5.3</f>
        <v>28.3875</v>
      </c>
      <c r="L26" s="142">
        <f>(190-5.3)*0.125+5.3</f>
        <v>28.3875</v>
      </c>
      <c r="M26" s="142">
        <f>(190-5.3)*0.125+5.3</f>
        <v>28.3875</v>
      </c>
      <c r="N26" s="141"/>
      <c r="O26" s="141"/>
      <c r="P26" s="142">
        <f>(190-100)*0.125</f>
        <v>11.25</v>
      </c>
      <c r="Q26" s="142">
        <f>(190-100)*0.125</f>
        <v>11.25</v>
      </c>
      <c r="R26" s="142">
        <f>(190-100)*0.125</f>
        <v>11.25</v>
      </c>
      <c r="S26" s="142">
        <f>(190-100)*0.125</f>
        <v>11.25</v>
      </c>
      <c r="T26" s="141"/>
      <c r="U26" s="141"/>
      <c r="V26" s="142">
        <f>(190-100)*0.125</f>
        <v>11.25</v>
      </c>
      <c r="W26" s="142">
        <f>(190-100)*0.125</f>
        <v>11.25</v>
      </c>
      <c r="X26" s="142">
        <f>(190-100)*0.125</f>
        <v>11.25</v>
      </c>
      <c r="Y26" s="143">
        <f>(190-100)*0.125</f>
        <v>11.25</v>
      </c>
      <c r="Z26" s="7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4</v>
      </c>
      <c r="C27" s="153"/>
      <c r="D27" s="142">
        <f>D19</f>
        <v>1706.0500000000002</v>
      </c>
      <c r="E27" s="142">
        <f>E19</f>
        <v>633.25</v>
      </c>
      <c r="F27" s="142">
        <f>F18</f>
        <v>405.6</v>
      </c>
      <c r="G27" s="142">
        <f>G18</f>
        <v>277.2</v>
      </c>
      <c r="H27" s="142"/>
      <c r="I27" s="151"/>
      <c r="J27" s="142">
        <f>J19-J26</f>
        <v>521.2624999999999</v>
      </c>
      <c r="K27" s="142">
        <f>K19-K26</f>
        <v>186.01250000000002</v>
      </c>
      <c r="L27" s="142">
        <f>L19-L26</f>
        <v>121.6375</v>
      </c>
      <c r="M27" s="142">
        <f>M19-M26</f>
        <v>81.5125</v>
      </c>
      <c r="N27" s="142"/>
      <c r="O27" s="151"/>
      <c r="P27" s="142">
        <f>P19-P26</f>
        <v>531.695</v>
      </c>
      <c r="Q27" s="142">
        <f>Q19-Q26</f>
        <v>196.445</v>
      </c>
      <c r="R27" s="142">
        <f>R19-R26</f>
        <v>132.07</v>
      </c>
      <c r="S27" s="142">
        <f>S19-S26</f>
        <v>91.945</v>
      </c>
      <c r="T27" s="142"/>
      <c r="U27" s="151"/>
      <c r="V27" s="142">
        <f>V19-V26</f>
        <v>529.025</v>
      </c>
      <c r="W27" s="142">
        <f>W19-W26</f>
        <v>193.775</v>
      </c>
      <c r="X27" s="142">
        <f>X19-X26</f>
        <v>129.4</v>
      </c>
      <c r="Y27" s="143">
        <f>Y19-Y26</f>
        <v>89.27499999999999</v>
      </c>
      <c r="Z27" s="7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15"/>
      <c r="C28" s="141"/>
      <c r="D28" s="141"/>
      <c r="E28" s="141"/>
      <c r="F28" s="141"/>
      <c r="G28" s="141"/>
      <c r="H28" s="141"/>
      <c r="I28" s="151"/>
      <c r="J28" s="145"/>
      <c r="K28" s="145"/>
      <c r="L28" s="145"/>
      <c r="M28" s="141"/>
      <c r="N28" s="141"/>
      <c r="O28" s="151"/>
      <c r="P28" s="145"/>
      <c r="Q28" s="145"/>
      <c r="R28" s="145"/>
      <c r="S28" s="141"/>
      <c r="T28" s="141"/>
      <c r="U28" s="151"/>
      <c r="V28" s="145"/>
      <c r="W28" s="145"/>
      <c r="X28" s="145"/>
      <c r="Y28" s="152"/>
      <c r="Z28" s="7"/>
      <c r="AA28" s="34" t="s">
        <v>91</v>
      </c>
      <c r="AB28" s="81">
        <f>V19</f>
        <v>540.275</v>
      </c>
      <c r="AC28" s="79">
        <f>V30</f>
        <v>101.55545112781954</v>
      </c>
      <c r="AD28" s="80">
        <f>V29</f>
        <v>3.7850151539673567</v>
      </c>
      <c r="AE28" s="7"/>
      <c r="AF28" s="7"/>
      <c r="AG28" s="7"/>
    </row>
    <row r="29" spans="1:33" ht="21" customHeight="1">
      <c r="A29" s="126" t="s">
        <v>56</v>
      </c>
      <c r="B29" s="15"/>
      <c r="C29" s="141"/>
      <c r="D29" s="154">
        <f>IRR(D24:D27)</f>
        <v>6.042917192522192</v>
      </c>
      <c r="E29" s="154">
        <f>IRR(E24:E27)</f>
        <v>4.194615955817978</v>
      </c>
      <c r="F29" s="154">
        <f aca="true" t="shared" si="0" ref="F29:S29">IRR(F24:F27)</f>
        <v>3.5596386043807353</v>
      </c>
      <c r="G29" s="154">
        <f t="shared" si="0"/>
        <v>3.0971811279466195</v>
      </c>
      <c r="H29" s="154"/>
      <c r="I29" s="154"/>
      <c r="J29" s="154">
        <f>IRR(J24:J27)</f>
        <v>3.99513808704034</v>
      </c>
      <c r="K29" s="154">
        <f t="shared" si="0"/>
        <v>2.809700601438867</v>
      </c>
      <c r="L29" s="154">
        <f t="shared" si="0"/>
        <v>2.456890079802732</v>
      </c>
      <c r="M29" s="154">
        <f t="shared" si="0"/>
        <v>2.185306375226528</v>
      </c>
      <c r="N29" s="154"/>
      <c r="O29" s="154"/>
      <c r="P29" s="154">
        <f>IRR(P24:P27)</f>
        <v>4.1613611738823355</v>
      </c>
      <c r="Q29" s="154">
        <f t="shared" si="0"/>
        <v>2.9295273043936385</v>
      </c>
      <c r="R29" s="154">
        <f t="shared" si="0"/>
        <v>2.556834256782511</v>
      </c>
      <c r="S29" s="154">
        <f t="shared" si="0"/>
        <v>2.2667923863415966</v>
      </c>
      <c r="T29" s="154"/>
      <c r="U29" s="154"/>
      <c r="V29" s="154">
        <f>IRR(V24:V27)</f>
        <v>3.7850151539673567</v>
      </c>
      <c r="W29" s="154">
        <f>IRR(W24:W27)</f>
        <v>2.527209041000696</v>
      </c>
      <c r="X29" s="154">
        <f>IRR(X24:X27)</f>
        <v>2.140152986564205</v>
      </c>
      <c r="Y29" s="155">
        <f>IRR(Y24:Y27)</f>
        <v>1.83457023171353</v>
      </c>
      <c r="Z29" s="7"/>
      <c r="AA29" s="34" t="s">
        <v>1</v>
      </c>
      <c r="AB29" s="35">
        <f>W19</f>
        <v>205.025</v>
      </c>
      <c r="AC29" s="36">
        <f>W30</f>
        <v>38.53853383458647</v>
      </c>
      <c r="AD29" s="37">
        <f>W29</f>
        <v>2.527209041000696</v>
      </c>
      <c r="AE29" s="7"/>
      <c r="AF29" s="7"/>
      <c r="AG29" s="7"/>
    </row>
    <row r="30" spans="1:33" ht="21" customHeight="1">
      <c r="A30" s="126" t="s">
        <v>90</v>
      </c>
      <c r="B30" s="15"/>
      <c r="C30" s="141"/>
      <c r="D30" s="156">
        <f>-D19/D24</f>
        <v>320.68609022556393</v>
      </c>
      <c r="E30" s="156">
        <f>-E19/E24</f>
        <v>119.03195488721803</v>
      </c>
      <c r="F30" s="156">
        <f>-F19/F24</f>
        <v>80.31015037593984</v>
      </c>
      <c r="G30" s="156">
        <f>-G19/G24</f>
        <v>56.17481203007518</v>
      </c>
      <c r="H30" s="156"/>
      <c r="I30" s="156"/>
      <c r="J30" s="156">
        <f>-J19/J24</f>
        <v>103.31766917293233</v>
      </c>
      <c r="K30" s="156">
        <f>-K19/K24</f>
        <v>40.30075187969925</v>
      </c>
      <c r="L30" s="156">
        <f>-L19/L24</f>
        <v>28.200187969924812</v>
      </c>
      <c r="M30" s="156">
        <f>-M19/M24</f>
        <v>20.657894736842106</v>
      </c>
      <c r="N30" s="156"/>
      <c r="O30" s="156"/>
      <c r="P30" s="156">
        <f>-P19/P24</f>
        <v>102.05733082706767</v>
      </c>
      <c r="Q30" s="156">
        <f>-Q19/Q24</f>
        <v>39.04041353383458</v>
      </c>
      <c r="R30" s="156">
        <f>-R19/R24</f>
        <v>26.939849624060148</v>
      </c>
      <c r="S30" s="156">
        <f>-S19/S24</f>
        <v>19.397556390977442</v>
      </c>
      <c r="T30" s="156"/>
      <c r="U30" s="156"/>
      <c r="V30" s="156">
        <f>-V19/V24</f>
        <v>101.55545112781954</v>
      </c>
      <c r="W30" s="156">
        <f>-W19/W24</f>
        <v>38.53853383458647</v>
      </c>
      <c r="X30" s="156">
        <f>-X19/X24</f>
        <v>26.43796992481203</v>
      </c>
      <c r="Y30" s="157">
        <f>-Y19/Y24</f>
        <v>18.89567669172932</v>
      </c>
      <c r="Z30" s="7"/>
      <c r="AA30" s="34" t="s">
        <v>7</v>
      </c>
      <c r="AB30" s="81">
        <f>X19</f>
        <v>140.65</v>
      </c>
      <c r="AC30" s="36">
        <f>X30</f>
        <v>26.43796992481203</v>
      </c>
      <c r="AD30" s="37">
        <f>X29</f>
        <v>2.140152986564205</v>
      </c>
      <c r="AE30" s="7"/>
      <c r="AF30" s="7"/>
      <c r="AG30" s="7"/>
    </row>
    <row r="31" spans="1:33" ht="21" customHeight="1" thickBot="1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7"/>
      <c r="Z31" s="7"/>
      <c r="AA31" s="34"/>
      <c r="AB31" s="81"/>
      <c r="AC31" s="36"/>
      <c r="AD31" s="37"/>
      <c r="AE31" s="7"/>
      <c r="AF31" s="7"/>
      <c r="AG31" s="7"/>
    </row>
    <row r="32" spans="1:33" ht="21" customHeight="1">
      <c r="A32" s="202" t="s">
        <v>73</v>
      </c>
      <c r="B32" s="203" t="s">
        <v>16</v>
      </c>
      <c r="C32" s="204"/>
      <c r="D32" s="204"/>
      <c r="E32" s="204"/>
      <c r="F32" s="204"/>
      <c r="G32" s="204"/>
      <c r="H32" s="204"/>
      <c r="I32" s="205"/>
      <c r="J32" s="204"/>
      <c r="K32" s="204"/>
      <c r="L32" s="204"/>
      <c r="M32" s="204"/>
      <c r="N32" s="204"/>
      <c r="O32" s="205"/>
      <c r="P32" s="204"/>
      <c r="Q32" s="204"/>
      <c r="R32" s="204"/>
      <c r="S32" s="204"/>
      <c r="T32" s="204"/>
      <c r="U32" s="205"/>
      <c r="V32" s="204"/>
      <c r="W32" s="204"/>
      <c r="X32" s="204"/>
      <c r="Y32" s="206"/>
      <c r="Z32" s="7"/>
      <c r="AA32" s="34" t="s">
        <v>12</v>
      </c>
      <c r="AB32" s="81">
        <f>Y19</f>
        <v>100.52499999999999</v>
      </c>
      <c r="AC32" s="36">
        <f>Y30</f>
        <v>18.89567669172932</v>
      </c>
      <c r="AD32" s="37">
        <f>Y29</f>
        <v>1.83457023171353</v>
      </c>
      <c r="AE32" s="7"/>
      <c r="AF32" s="7"/>
      <c r="AG32" s="7"/>
    </row>
    <row r="33" spans="1:33" ht="21" customHeight="1" thickBot="1">
      <c r="A33" s="191" t="s">
        <v>15</v>
      </c>
      <c r="B33" s="24">
        <v>1</v>
      </c>
      <c r="C33" s="24"/>
      <c r="D33" s="15">
        <v>-100</v>
      </c>
      <c r="E33" s="15">
        <v>-100</v>
      </c>
      <c r="F33" s="15">
        <v>-100</v>
      </c>
      <c r="G33" s="15">
        <v>-100</v>
      </c>
      <c r="H33" s="15"/>
      <c r="I33" s="15"/>
      <c r="J33" s="15">
        <v>-100</v>
      </c>
      <c r="K33" s="15">
        <v>-100</v>
      </c>
      <c r="L33" s="15">
        <v>-100</v>
      </c>
      <c r="M33" s="15">
        <v>-100</v>
      </c>
      <c r="N33" s="15"/>
      <c r="O33" s="15"/>
      <c r="P33" s="15">
        <v>-100</v>
      </c>
      <c r="Q33" s="15">
        <v>-100</v>
      </c>
      <c r="R33" s="15">
        <v>-100</v>
      </c>
      <c r="S33" s="15">
        <v>-100</v>
      </c>
      <c r="T33" s="15"/>
      <c r="U33" s="15"/>
      <c r="V33" s="15">
        <v>-100</v>
      </c>
      <c r="W33" s="15">
        <v>-100</v>
      </c>
      <c r="X33" s="15">
        <v>-100</v>
      </c>
      <c r="Y33" s="65">
        <v>-100</v>
      </c>
      <c r="Z33" s="7"/>
      <c r="AA33" s="56"/>
      <c r="AB33" s="57"/>
      <c r="AC33" s="58"/>
      <c r="AD33" s="59"/>
      <c r="AE33" s="7"/>
      <c r="AF33" s="7"/>
      <c r="AG33" s="7"/>
    </row>
    <row r="34" spans="1:33" ht="21" customHeight="1">
      <c r="A34" s="126"/>
      <c r="B34" s="24">
        <v>2</v>
      </c>
      <c r="C34" s="24"/>
      <c r="D34" s="15">
        <v>0</v>
      </c>
      <c r="E34" s="15">
        <v>0</v>
      </c>
      <c r="F34" s="15">
        <v>0</v>
      </c>
      <c r="G34" s="15">
        <v>0</v>
      </c>
      <c r="H34" s="15"/>
      <c r="I34" s="25"/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15">
        <v>0</v>
      </c>
      <c r="Q34" s="15">
        <v>0</v>
      </c>
      <c r="R34" s="15">
        <v>0</v>
      </c>
      <c r="S34" s="15">
        <v>0</v>
      </c>
      <c r="T34" s="15"/>
      <c r="U34" s="15"/>
      <c r="V34" s="15">
        <v>0</v>
      </c>
      <c r="W34" s="15">
        <v>0</v>
      </c>
      <c r="X34" s="15">
        <v>0</v>
      </c>
      <c r="Y34" s="65">
        <v>0</v>
      </c>
      <c r="Z34" s="7"/>
      <c r="AE34" s="7"/>
      <c r="AF34" s="7"/>
      <c r="AG34" s="7"/>
    </row>
    <row r="35" spans="1:33" ht="21" customHeight="1">
      <c r="A35" s="126"/>
      <c r="B35" s="24">
        <v>3</v>
      </c>
      <c r="C35" s="24"/>
      <c r="D35" s="16">
        <f>D11+D12</f>
        <v>152</v>
      </c>
      <c r="E35" s="16">
        <f>E11+E12</f>
        <v>152</v>
      </c>
      <c r="F35" s="16">
        <f>F11+F12</f>
        <v>152</v>
      </c>
      <c r="G35" s="16">
        <f>G11+G12</f>
        <v>152</v>
      </c>
      <c r="H35" s="16"/>
      <c r="I35" s="15"/>
      <c r="J35" s="16">
        <f>190*0.75</f>
        <v>142.5</v>
      </c>
      <c r="K35" s="16">
        <f>190*0.75</f>
        <v>142.5</v>
      </c>
      <c r="L35" s="16">
        <f>190*0.75</f>
        <v>142.5</v>
      </c>
      <c r="M35" s="16">
        <f>190*0.75</f>
        <v>142.5</v>
      </c>
      <c r="N35" s="15"/>
      <c r="O35" s="15"/>
      <c r="P35" s="15">
        <f>(190-100)*0.75+100</f>
        <v>167.5</v>
      </c>
      <c r="Q35" s="15">
        <f>(190-100)*0.75+100</f>
        <v>167.5</v>
      </c>
      <c r="R35" s="15">
        <f>(190-100)*0.75+100</f>
        <v>167.5</v>
      </c>
      <c r="S35" s="15">
        <f>(190-100)*0.75+100</f>
        <v>167.5</v>
      </c>
      <c r="T35" s="15"/>
      <c r="U35" s="15"/>
      <c r="V35" s="15">
        <f>(190-100)*0.75+100</f>
        <v>167.5</v>
      </c>
      <c r="W35" s="15">
        <f>(190-100)*0.75+100</f>
        <v>167.5</v>
      </c>
      <c r="X35" s="15">
        <f>(190-100)*0.75+100</f>
        <v>167.5</v>
      </c>
      <c r="Y35" s="65">
        <f>(190-100)*0.75+100</f>
        <v>167.5</v>
      </c>
      <c r="Z35" s="7"/>
      <c r="AE35" s="11"/>
      <c r="AF35" s="11"/>
      <c r="AG35" s="11"/>
    </row>
    <row r="36" spans="1:25" ht="21" customHeight="1">
      <c r="A36" s="126"/>
      <c r="B36" s="24">
        <v>4</v>
      </c>
      <c r="C36" s="24"/>
      <c r="D36" s="16">
        <f>D21-D35</f>
        <v>842.2</v>
      </c>
      <c r="E36" s="16">
        <f>E21-E35</f>
        <v>305.8</v>
      </c>
      <c r="F36" s="16">
        <f>F21-F35</f>
        <v>202.8</v>
      </c>
      <c r="G36" s="16">
        <f>G21-G35</f>
        <v>138.60000000000002</v>
      </c>
      <c r="H36" s="16"/>
      <c r="I36" s="16"/>
      <c r="J36" s="16">
        <f>J21-J35</f>
        <v>3158.25</v>
      </c>
      <c r="K36" s="16">
        <f>K21-K35</f>
        <v>1146.75</v>
      </c>
      <c r="L36" s="16">
        <f>L21-L35</f>
        <v>760.5</v>
      </c>
      <c r="M36" s="16">
        <f>M21-M35</f>
        <v>519.75</v>
      </c>
      <c r="N36" s="16"/>
      <c r="O36" s="16"/>
      <c r="P36" s="16">
        <f>P21-P35</f>
        <v>3153.25</v>
      </c>
      <c r="Q36" s="16">
        <f>Q21-Q35</f>
        <v>1141.75</v>
      </c>
      <c r="R36" s="16">
        <f>R21-R35</f>
        <v>755.5</v>
      </c>
      <c r="S36" s="16">
        <f>S21-S35</f>
        <v>514.75</v>
      </c>
      <c r="T36" s="16"/>
      <c r="U36" s="16"/>
      <c r="V36" s="16">
        <f>V21-V35</f>
        <v>3158.25</v>
      </c>
      <c r="W36" s="16">
        <f>W21-W35</f>
        <v>1146.75</v>
      </c>
      <c r="X36" s="16">
        <f>X21-X35</f>
        <v>760.5</v>
      </c>
      <c r="Y36" s="63">
        <f>Y21-Y35</f>
        <v>519.75</v>
      </c>
    </row>
    <row r="37" spans="1:25" ht="21" customHeight="1">
      <c r="A37" s="126"/>
      <c r="B37" s="15"/>
      <c r="C37" s="15"/>
      <c r="D37" s="15"/>
      <c r="E37" s="15"/>
      <c r="F37" s="15"/>
      <c r="G37" s="15"/>
      <c r="H37" s="15"/>
      <c r="I37" s="25"/>
      <c r="J37" s="20"/>
      <c r="K37" s="20"/>
      <c r="L37" s="20"/>
      <c r="M37" s="15"/>
      <c r="N37" s="15"/>
      <c r="O37" s="25"/>
      <c r="P37" s="20"/>
      <c r="Q37" s="20"/>
      <c r="R37" s="20"/>
      <c r="S37" s="15"/>
      <c r="T37" s="15"/>
      <c r="U37" s="25"/>
      <c r="V37" s="20"/>
      <c r="W37" s="20"/>
      <c r="X37" s="20"/>
      <c r="Y37" s="65"/>
    </row>
    <row r="38" spans="1:25" ht="21" customHeight="1">
      <c r="A38" s="190" t="s">
        <v>125</v>
      </c>
      <c r="B38" s="192"/>
      <c r="C38" s="192"/>
      <c r="D38" s="193">
        <f>IRR(D33:D36)</f>
        <v>1.2825012214794116</v>
      </c>
      <c r="E38" s="193">
        <f>IRR(E33:E36)</f>
        <v>0.7953516367219697</v>
      </c>
      <c r="F38" s="193">
        <f>IRR(F33:F36)</f>
        <v>0.656568059659977</v>
      </c>
      <c r="G38" s="193">
        <f>IRR(G33:G36)</f>
        <v>0.5531785473713591</v>
      </c>
      <c r="H38" s="193"/>
      <c r="I38" s="193"/>
      <c r="J38" s="193">
        <f>IRR(J33:J36)</f>
        <v>2.311098708174872</v>
      </c>
      <c r="K38" s="193">
        <f>IRR(K33:K36)</f>
        <v>1.4651327236267129</v>
      </c>
      <c r="L38" s="193">
        <f>IRR(L33:L36)</f>
        <v>1.2070008536079637</v>
      </c>
      <c r="M38" s="193">
        <f>IRR(M33:M36)</f>
        <v>1.0044803281233876</v>
      </c>
      <c r="N38" s="193"/>
      <c r="O38" s="193"/>
      <c r="P38" s="193">
        <f>IRR(P33:P36)</f>
        <v>2.3358203381681815</v>
      </c>
      <c r="Q38" s="193">
        <f>IRR(Q33:Q36)</f>
        <v>1.498828093781646</v>
      </c>
      <c r="R38" s="193">
        <f>IRR(R33:R36)</f>
        <v>1.2450385914522197</v>
      </c>
      <c r="S38" s="193">
        <f>IRR(S33:S36)</f>
        <v>1.046896023460465</v>
      </c>
      <c r="T38" s="193"/>
      <c r="U38" s="193"/>
      <c r="V38" s="193">
        <f>IRR(V33:V36)</f>
        <v>2.337396438572665</v>
      </c>
      <c r="W38" s="193">
        <f>IRR(W33:W36)</f>
        <v>1.5017556004995751</v>
      </c>
      <c r="X38" s="193">
        <f>IRR(X33:X36)</f>
        <v>1.2487503764238665</v>
      </c>
      <c r="Y38" s="194">
        <f>IRR(Y33:Y36)</f>
        <v>1.0514737378792036</v>
      </c>
    </row>
    <row r="39" spans="1:25" ht="21" customHeight="1">
      <c r="A39" s="190" t="s">
        <v>126</v>
      </c>
      <c r="B39" s="192"/>
      <c r="C39" s="192"/>
      <c r="D39" s="195">
        <f>D21/D11</f>
        <v>9.942</v>
      </c>
      <c r="E39" s="195">
        <f>E21/E11</f>
        <v>4.578</v>
      </c>
      <c r="F39" s="195">
        <f>F21/F11</f>
        <v>3.548</v>
      </c>
      <c r="G39" s="195">
        <f>G21/G11</f>
        <v>2.906</v>
      </c>
      <c r="H39" s="195"/>
      <c r="I39" s="195"/>
      <c r="J39" s="195">
        <f>J21/J11</f>
        <v>33.0075</v>
      </c>
      <c r="K39" s="195">
        <f>K21/K11</f>
        <v>12.8925</v>
      </c>
      <c r="L39" s="195">
        <f>L21/L11</f>
        <v>9.03</v>
      </c>
      <c r="M39" s="195">
        <f>M21/M11</f>
        <v>6.6225</v>
      </c>
      <c r="N39" s="195"/>
      <c r="O39" s="195"/>
      <c r="P39" s="195">
        <f>P21/P11</f>
        <v>33.2075</v>
      </c>
      <c r="Q39" s="195">
        <f>Q21/Q11</f>
        <v>13.0925</v>
      </c>
      <c r="R39" s="195">
        <f>R21/R11</f>
        <v>9.23</v>
      </c>
      <c r="S39" s="195">
        <f>S21/S11</f>
        <v>6.8225</v>
      </c>
      <c r="T39" s="195"/>
      <c r="U39" s="195"/>
      <c r="V39" s="195">
        <f>V21/V11</f>
        <v>33.2575</v>
      </c>
      <c r="W39" s="195">
        <f>W21/W11</f>
        <v>13.1425</v>
      </c>
      <c r="X39" s="195">
        <f>X21/X11</f>
        <v>9.28</v>
      </c>
      <c r="Y39" s="196">
        <f>Y21/Y11</f>
        <v>6.8725</v>
      </c>
    </row>
    <row r="40" spans="1:25" ht="21" customHeight="1">
      <c r="A40" s="166"/>
      <c r="B40" s="1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52"/>
    </row>
    <row r="41" spans="1:25" ht="21" customHeight="1" thickBot="1">
      <c r="A41" s="210" t="s">
        <v>26</v>
      </c>
      <c r="B41" s="68"/>
      <c r="C41" s="160"/>
      <c r="D41" s="56" t="s">
        <v>48</v>
      </c>
      <c r="E41" s="160"/>
      <c r="F41" s="160"/>
      <c r="G41" s="160"/>
      <c r="H41" s="160"/>
      <c r="I41" s="160"/>
      <c r="J41" s="56" t="s">
        <v>49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1"/>
    </row>
    <row r="42" ht="21" customHeight="1"/>
    <row r="43" spans="1:25" ht="18">
      <c r="A43" s="207"/>
      <c r="B43" s="97"/>
      <c r="C43" s="9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</row>
    <row r="44" spans="1:13" ht="15.75">
      <c r="A44" s="51"/>
      <c r="B44" s="51"/>
      <c r="C44" s="53"/>
      <c r="D44" s="53"/>
      <c r="E44" s="53"/>
      <c r="F44" s="53"/>
      <c r="G44" s="53"/>
      <c r="H44" s="53"/>
      <c r="I44" s="327" t="s">
        <v>36</v>
      </c>
      <c r="J44" s="327"/>
      <c r="K44" s="327"/>
      <c r="L44" s="327"/>
      <c r="M44" s="327"/>
    </row>
    <row r="45" spans="1:13" ht="15.75">
      <c r="A45" s="51"/>
      <c r="B45" s="51"/>
      <c r="C45" s="54" t="s">
        <v>27</v>
      </c>
      <c r="D45" s="54"/>
      <c r="E45" s="54" t="s">
        <v>31</v>
      </c>
      <c r="F45" s="54" t="s">
        <v>33</v>
      </c>
      <c r="G45" s="54" t="s">
        <v>34</v>
      </c>
      <c r="H45" s="54"/>
      <c r="I45" s="54" t="s">
        <v>37</v>
      </c>
      <c r="J45" s="54"/>
      <c r="K45" s="54" t="s">
        <v>38</v>
      </c>
      <c r="L45" s="54" t="s">
        <v>39</v>
      </c>
      <c r="M45" s="54" t="s">
        <v>32</v>
      </c>
    </row>
    <row r="46" spans="1:13" ht="15.75">
      <c r="A46" s="51" t="s">
        <v>28</v>
      </c>
      <c r="B46" s="51"/>
      <c r="C46" s="51">
        <v>45.5</v>
      </c>
      <c r="D46" s="51"/>
      <c r="E46" s="51">
        <v>1181</v>
      </c>
      <c r="F46" s="51">
        <v>821</v>
      </c>
      <c r="G46" s="51">
        <v>597</v>
      </c>
      <c r="H46" s="51"/>
      <c r="I46" s="51">
        <v>0</v>
      </c>
      <c r="J46" s="51"/>
      <c r="K46" s="51">
        <v>5.32</v>
      </c>
      <c r="L46" s="51">
        <v>0</v>
      </c>
      <c r="M46" s="51">
        <f>SUM(I46:L46)</f>
        <v>5.32</v>
      </c>
    </row>
    <row r="47" spans="1:13" ht="15.75">
      <c r="A47" s="51" t="s">
        <v>30</v>
      </c>
      <c r="B47" s="51"/>
      <c r="C47" s="51">
        <v>80</v>
      </c>
      <c r="D47" s="51"/>
      <c r="E47" s="51">
        <v>539</v>
      </c>
      <c r="F47" s="51">
        <v>413</v>
      </c>
      <c r="G47" s="51">
        <v>324</v>
      </c>
      <c r="H47" s="51"/>
      <c r="I47" s="51">
        <v>3.75</v>
      </c>
      <c r="J47" s="51"/>
      <c r="K47" s="51">
        <v>6.59</v>
      </c>
      <c r="L47" s="51">
        <v>2.5</v>
      </c>
      <c r="M47" s="51">
        <f>SUM(I47:L47)</f>
        <v>12.84</v>
      </c>
    </row>
    <row r="48" spans="1:13" ht="15.75">
      <c r="A48" s="51" t="s">
        <v>29</v>
      </c>
      <c r="B48" s="51"/>
      <c r="C48" s="55">
        <v>25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.75">
      <c r="A49" s="52" t="s">
        <v>32</v>
      </c>
      <c r="B49" s="51"/>
      <c r="C49" s="51">
        <f>SUM(C46:C48)</f>
        <v>150.5</v>
      </c>
      <c r="D49" s="51"/>
      <c r="E49" s="51">
        <f>SUM(E46:E48)</f>
        <v>1720</v>
      </c>
      <c r="F49" s="51">
        <f>SUM(F46:F48)</f>
        <v>1234</v>
      </c>
      <c r="G49" s="51">
        <f>SUM(G46:G48)</f>
        <v>921</v>
      </c>
      <c r="H49" s="51"/>
      <c r="I49" s="51">
        <f>SUM(I46:I48)</f>
        <v>3.75</v>
      </c>
      <c r="J49" s="51"/>
      <c r="K49" s="51">
        <f>SUM(K46:K48)</f>
        <v>11.91</v>
      </c>
      <c r="L49" s="51">
        <f>SUM(L46:L48)</f>
        <v>2.5</v>
      </c>
      <c r="M49" s="51">
        <f>SUM(M46:M48)</f>
        <v>18.16</v>
      </c>
    </row>
  </sheetData>
  <sheetProtection/>
  <mergeCells count="16">
    <mergeCell ref="C6:G6"/>
    <mergeCell ref="I6:M6"/>
    <mergeCell ref="O6:S6"/>
    <mergeCell ref="U6:Y6"/>
    <mergeCell ref="I44:M44"/>
    <mergeCell ref="A31:Y31"/>
    <mergeCell ref="A1:Y1"/>
    <mergeCell ref="A2:Y2"/>
    <mergeCell ref="A3:Y3"/>
    <mergeCell ref="A4:Y4"/>
    <mergeCell ref="AA4:AD4"/>
    <mergeCell ref="C5:G5"/>
    <mergeCell ref="I5:M5"/>
    <mergeCell ref="O5:S5"/>
    <mergeCell ref="U5:Y5"/>
    <mergeCell ref="AA5:AD5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="50" zoomScaleNormal="50" zoomScalePageLayoutView="0" workbookViewId="0" topLeftCell="A1">
      <selection activeCell="AA4" sqref="AA4:AD32"/>
    </sheetView>
  </sheetViews>
  <sheetFormatPr defaultColWidth="9.140625" defaultRowHeight="12.75"/>
  <cols>
    <col min="1" max="1" width="42.57421875" style="0" customWidth="1"/>
    <col min="2" max="2" width="5.57421875" style="0" customWidth="1"/>
    <col min="3" max="4" width="14.00390625" style="0" customWidth="1"/>
    <col min="5" max="7" width="10.7109375" style="0" customWidth="1"/>
    <col min="8" max="8" width="5.7109375" style="0" customWidth="1"/>
    <col min="9" max="10" width="9.5742187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7109375" style="0" customWidth="1"/>
    <col min="23" max="23" width="11.421875" style="0" customWidth="1"/>
    <col min="24" max="24" width="10.7109375" style="0" customWidth="1"/>
    <col min="25" max="25" width="12.00390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103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122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74"/>
      <c r="C5" s="340" t="s">
        <v>58</v>
      </c>
      <c r="D5" s="341"/>
      <c r="E5" s="341"/>
      <c r="F5" s="341"/>
      <c r="G5" s="342"/>
      <c r="H5" s="123"/>
      <c r="I5" s="343" t="s">
        <v>100</v>
      </c>
      <c r="J5" s="344"/>
      <c r="K5" s="344"/>
      <c r="L5" s="344"/>
      <c r="M5" s="345"/>
      <c r="N5" s="123"/>
      <c r="O5" s="346" t="s">
        <v>99</v>
      </c>
      <c r="P5" s="347"/>
      <c r="Q5" s="347"/>
      <c r="R5" s="347"/>
      <c r="S5" s="348"/>
      <c r="T5" s="123"/>
      <c r="U5" s="352" t="s">
        <v>102</v>
      </c>
      <c r="V5" s="353"/>
      <c r="W5" s="353"/>
      <c r="X5" s="353"/>
      <c r="Y5" s="354"/>
      <c r="Z5" s="7"/>
      <c r="AA5" s="349" t="s">
        <v>67</v>
      </c>
      <c r="AB5" s="350"/>
      <c r="AC5" s="350"/>
      <c r="AD5" s="351"/>
      <c r="AE5" s="7"/>
      <c r="AF5" s="7"/>
      <c r="AG5" s="7"/>
    </row>
    <row r="6" spans="1:33" ht="21" customHeight="1" thickBot="1">
      <c r="A6" s="122" t="s">
        <v>97</v>
      </c>
      <c r="B6" s="12"/>
      <c r="C6" s="340" t="s">
        <v>104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101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321"/>
      <c r="AB6" s="322"/>
      <c r="AC6" s="322"/>
      <c r="AD6" s="323"/>
      <c r="AE6" s="7"/>
      <c r="AF6" s="7"/>
      <c r="AG6" s="7"/>
    </row>
    <row r="7" spans="1:43" ht="21" customHeight="1" thickBot="1">
      <c r="A7" s="126"/>
      <c r="B7" s="12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180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2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126"/>
      <c r="B9" s="13"/>
      <c r="C9" s="15"/>
      <c r="D9" s="1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48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62" t="s">
        <v>89</v>
      </c>
      <c r="B10" s="14"/>
      <c r="C10" s="141"/>
      <c r="D10" s="141">
        <v>7355</v>
      </c>
      <c r="E10" s="142">
        <v>3798</v>
      </c>
      <c r="F10" s="142">
        <v>2977</v>
      </c>
      <c r="G10" s="142">
        <v>2336</v>
      </c>
      <c r="H10" s="142"/>
      <c r="I10" s="142"/>
      <c r="J10" s="141">
        <v>7355</v>
      </c>
      <c r="K10" s="142">
        <v>3798</v>
      </c>
      <c r="L10" s="142">
        <v>2977</v>
      </c>
      <c r="M10" s="142">
        <v>2336</v>
      </c>
      <c r="N10" s="142"/>
      <c r="O10" s="142"/>
      <c r="P10" s="141">
        <v>7355</v>
      </c>
      <c r="Q10" s="142">
        <v>3798</v>
      </c>
      <c r="R10" s="142">
        <v>2977</v>
      </c>
      <c r="S10" s="142">
        <v>2336</v>
      </c>
      <c r="T10" s="142"/>
      <c r="U10" s="142"/>
      <c r="V10" s="141">
        <v>7355</v>
      </c>
      <c r="W10" s="142">
        <v>3798</v>
      </c>
      <c r="X10" s="142">
        <v>2977</v>
      </c>
      <c r="Y10" s="143">
        <v>2336</v>
      </c>
      <c r="Z10" s="121"/>
      <c r="AA10" s="34" t="s">
        <v>91</v>
      </c>
      <c r="AB10" s="81">
        <f>D19</f>
        <v>2817</v>
      </c>
      <c r="AC10" s="79">
        <f>D30</f>
        <v>70.425</v>
      </c>
      <c r="AD10" s="80">
        <f>D29</f>
        <v>3.229746073404992</v>
      </c>
      <c r="AE10" s="7"/>
      <c r="AF10" s="7"/>
      <c r="AG10" s="10" t="s">
        <v>4</v>
      </c>
      <c r="AH10" s="10"/>
      <c r="AI10" s="10" t="s">
        <v>2</v>
      </c>
      <c r="AJ10" s="10" t="s">
        <v>4</v>
      </c>
      <c r="AK10" s="10" t="s">
        <v>4</v>
      </c>
      <c r="AO10" s="10" t="s">
        <v>4</v>
      </c>
      <c r="AP10" s="10"/>
      <c r="AQ10" s="10" t="s">
        <v>2</v>
      </c>
      <c r="AR10" s="10" t="s">
        <v>4</v>
      </c>
      <c r="AS10" s="10" t="s">
        <v>4</v>
      </c>
    </row>
    <row r="11" spans="1:45" ht="21" customHeight="1">
      <c r="A11" s="162" t="s">
        <v>50</v>
      </c>
      <c r="B11" s="14"/>
      <c r="C11" s="141"/>
      <c r="D11" s="142">
        <v>250</v>
      </c>
      <c r="E11" s="142">
        <v>250</v>
      </c>
      <c r="F11" s="142">
        <v>250</v>
      </c>
      <c r="G11" s="142">
        <v>250</v>
      </c>
      <c r="H11" s="142"/>
      <c r="I11" s="142"/>
      <c r="J11" s="142">
        <v>250</v>
      </c>
      <c r="K11" s="142">
        <v>250</v>
      </c>
      <c r="L11" s="142">
        <v>250</v>
      </c>
      <c r="M11" s="142">
        <v>250</v>
      </c>
      <c r="N11" s="142"/>
      <c r="O11" s="142"/>
      <c r="P11" s="142">
        <v>250</v>
      </c>
      <c r="Q11" s="142">
        <v>250</v>
      </c>
      <c r="R11" s="142">
        <v>250</v>
      </c>
      <c r="S11" s="142">
        <v>250</v>
      </c>
      <c r="T11" s="142"/>
      <c r="U11" s="142"/>
      <c r="V11" s="142">
        <v>250</v>
      </c>
      <c r="W11" s="142">
        <v>250</v>
      </c>
      <c r="X11" s="142">
        <v>250</v>
      </c>
      <c r="Y11" s="143">
        <v>250</v>
      </c>
      <c r="Z11" s="121"/>
      <c r="AA11" s="34" t="s">
        <v>1</v>
      </c>
      <c r="AB11" s="35">
        <f>E19</f>
        <v>1394.2</v>
      </c>
      <c r="AC11" s="36">
        <f>E30</f>
        <v>34.855000000000004</v>
      </c>
      <c r="AD11" s="37">
        <f>E29</f>
        <v>2.3833054554898117</v>
      </c>
      <c r="AE11" s="7"/>
      <c r="AF11" s="7"/>
      <c r="AG11" s="5">
        <v>250</v>
      </c>
      <c r="AH11" s="5">
        <v>1</v>
      </c>
      <c r="AI11" s="6">
        <v>0.15</v>
      </c>
      <c r="AJ11" s="4">
        <f>$AG$11*AI11</f>
        <v>37.5</v>
      </c>
      <c r="AK11" s="2">
        <f>AJ11</f>
        <v>37.5</v>
      </c>
      <c r="AO11" s="5">
        <v>150</v>
      </c>
      <c r="AP11" s="5">
        <v>1</v>
      </c>
      <c r="AQ11" s="6">
        <v>0.15</v>
      </c>
      <c r="AR11" s="4">
        <f>$AO$11*AQ11</f>
        <v>22.5</v>
      </c>
      <c r="AS11" s="2">
        <f>AR11</f>
        <v>22.5</v>
      </c>
    </row>
    <row r="12" spans="1:45" ht="21" customHeight="1">
      <c r="A12" s="162" t="s">
        <v>23</v>
      </c>
      <c r="B12" s="14"/>
      <c r="C12" s="141"/>
      <c r="D12" s="142">
        <v>130</v>
      </c>
      <c r="E12" s="142">
        <v>130</v>
      </c>
      <c r="F12" s="142">
        <v>130</v>
      </c>
      <c r="G12" s="142">
        <v>130</v>
      </c>
      <c r="H12" s="142"/>
      <c r="I12" s="144"/>
      <c r="J12" s="142"/>
      <c r="K12" s="142"/>
      <c r="L12" s="142"/>
      <c r="M12" s="142"/>
      <c r="N12" s="142"/>
      <c r="O12" s="144"/>
      <c r="P12" s="142"/>
      <c r="Q12" s="142"/>
      <c r="R12" s="142"/>
      <c r="S12" s="142"/>
      <c r="T12" s="142"/>
      <c r="U12" s="144"/>
      <c r="V12" s="142"/>
      <c r="W12" s="142"/>
      <c r="X12" s="142"/>
      <c r="Y12" s="143"/>
      <c r="Z12" s="121"/>
      <c r="AA12" s="34" t="s">
        <v>7</v>
      </c>
      <c r="AB12" s="81">
        <f>F19</f>
        <v>1065.8000000000002</v>
      </c>
      <c r="AC12" s="36">
        <f>F30</f>
        <v>26.645000000000003</v>
      </c>
      <c r="AD12" s="37">
        <f>F29</f>
        <v>2.1097633729535454</v>
      </c>
      <c r="AE12" s="7"/>
      <c r="AF12" s="7"/>
      <c r="AG12" s="3"/>
      <c r="AH12" s="5">
        <v>2</v>
      </c>
      <c r="AI12" s="6">
        <f>AI11*1.15</f>
        <v>0.1725</v>
      </c>
      <c r="AJ12" s="4">
        <f>$AG$11*AI12</f>
        <v>43.125</v>
      </c>
      <c r="AK12" s="2">
        <f>AK11+AJ12</f>
        <v>80.625</v>
      </c>
      <c r="AO12" s="3"/>
      <c r="AP12" s="5">
        <v>2</v>
      </c>
      <c r="AQ12" s="6">
        <f>AQ11*1.15</f>
        <v>0.1725</v>
      </c>
      <c r="AR12" s="4">
        <f>$AO$11*AQ12</f>
        <v>25.874999999999996</v>
      </c>
      <c r="AS12" s="2">
        <f>AS11+AR12</f>
        <v>48.375</v>
      </c>
    </row>
    <row r="13" spans="1:45" ht="21" customHeight="1">
      <c r="A13" s="162" t="s">
        <v>53</v>
      </c>
      <c r="B13" s="14"/>
      <c r="C13" s="141"/>
      <c r="D13" s="142">
        <f>(D11+D12)/0.8</f>
        <v>475</v>
      </c>
      <c r="E13" s="142">
        <f>(E11+E12)/0.8</f>
        <v>475</v>
      </c>
      <c r="F13" s="142">
        <f>(F11+F12)/0.8</f>
        <v>475</v>
      </c>
      <c r="G13" s="142">
        <f>(G11+G12)/0.8</f>
        <v>475</v>
      </c>
      <c r="H13" s="142"/>
      <c r="I13" s="144"/>
      <c r="J13" s="142"/>
      <c r="K13" s="142"/>
      <c r="L13" s="142"/>
      <c r="M13" s="142"/>
      <c r="N13" s="142"/>
      <c r="O13" s="144"/>
      <c r="P13" s="142">
        <v>250</v>
      </c>
      <c r="Q13" s="142">
        <v>250</v>
      </c>
      <c r="R13" s="142">
        <v>250</v>
      </c>
      <c r="S13" s="142">
        <v>250</v>
      </c>
      <c r="T13" s="142"/>
      <c r="U13" s="144"/>
      <c r="V13" s="142">
        <v>250</v>
      </c>
      <c r="W13" s="142">
        <v>250</v>
      </c>
      <c r="X13" s="142">
        <v>250</v>
      </c>
      <c r="Y13" s="143">
        <v>250</v>
      </c>
      <c r="Z13" s="121"/>
      <c r="AA13" s="34" t="s">
        <v>12</v>
      </c>
      <c r="AB13" s="81">
        <f>G19</f>
        <v>809.4000000000001</v>
      </c>
      <c r="AC13" s="36">
        <f>G30</f>
        <v>20.235000000000003</v>
      </c>
      <c r="AD13" s="37">
        <f>G29</f>
        <v>1.8540446329079998</v>
      </c>
      <c r="AE13" s="7"/>
      <c r="AF13" s="7"/>
      <c r="AG13" s="3"/>
      <c r="AH13" s="5"/>
      <c r="AI13" s="6"/>
      <c r="AJ13" s="4"/>
      <c r="AK13" s="2"/>
      <c r="AO13" s="3"/>
      <c r="AP13" s="5"/>
      <c r="AQ13" s="6"/>
      <c r="AR13" s="4"/>
      <c r="AS13" s="2"/>
    </row>
    <row r="14" spans="1:45" ht="21" customHeight="1">
      <c r="A14" s="162" t="s">
        <v>51</v>
      </c>
      <c r="B14" s="14"/>
      <c r="C14" s="146">
        <v>0.2</v>
      </c>
      <c r="D14" s="142">
        <f>D13*0.2</f>
        <v>95</v>
      </c>
      <c r="E14" s="142">
        <f>E13*0.2</f>
        <v>95</v>
      </c>
      <c r="F14" s="142">
        <f>F13*0.2</f>
        <v>95</v>
      </c>
      <c r="G14" s="142">
        <f>G13*0.2</f>
        <v>95</v>
      </c>
      <c r="H14" s="142"/>
      <c r="I14" s="146">
        <v>0.25</v>
      </c>
      <c r="J14" s="142">
        <f>150*0.25</f>
        <v>37.5</v>
      </c>
      <c r="K14" s="142">
        <f>150*0.25</f>
        <v>37.5</v>
      </c>
      <c r="L14" s="142">
        <f>150*0.25</f>
        <v>37.5</v>
      </c>
      <c r="M14" s="142">
        <f>150*0.25</f>
        <v>37.5</v>
      </c>
      <c r="N14" s="142"/>
      <c r="O14" s="146">
        <v>0</v>
      </c>
      <c r="P14" s="142"/>
      <c r="Q14" s="142"/>
      <c r="R14" s="142"/>
      <c r="S14" s="142"/>
      <c r="T14" s="142"/>
      <c r="U14" s="146">
        <v>0</v>
      </c>
      <c r="V14" s="142"/>
      <c r="W14" s="142"/>
      <c r="X14" s="142"/>
      <c r="Y14" s="143"/>
      <c r="Z14" s="121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107</v>
      </c>
      <c r="B15" s="14"/>
      <c r="C15" s="153"/>
      <c r="D15" s="142">
        <f>D10-D13</f>
        <v>6880</v>
      </c>
      <c r="E15" s="142">
        <f>E10-E13</f>
        <v>3323</v>
      </c>
      <c r="F15" s="142">
        <f>F10-F13</f>
        <v>2502</v>
      </c>
      <c r="G15" s="142">
        <f>G10-G13</f>
        <v>1861</v>
      </c>
      <c r="H15" s="142"/>
      <c r="I15" s="145"/>
      <c r="J15" s="142"/>
      <c r="K15" s="142"/>
      <c r="L15" s="142"/>
      <c r="M15" s="142"/>
      <c r="N15" s="142"/>
      <c r="O15" s="147"/>
      <c r="P15" s="142">
        <f>P10-P11-P12</f>
        <v>7105</v>
      </c>
      <c r="Q15" s="142">
        <f>Q10-Q11-Q12</f>
        <v>3548</v>
      </c>
      <c r="R15" s="142">
        <f>R10-R11-R12</f>
        <v>2727</v>
      </c>
      <c r="S15" s="142">
        <f>S10-S11-S12</f>
        <v>2086</v>
      </c>
      <c r="T15" s="142"/>
      <c r="U15" s="147"/>
      <c r="V15" s="142">
        <f>V10-V11-V12</f>
        <v>7105</v>
      </c>
      <c r="W15" s="142">
        <f>W10-W11-W12</f>
        <v>3548</v>
      </c>
      <c r="X15" s="142">
        <f>X10-X11-X12</f>
        <v>2727</v>
      </c>
      <c r="Y15" s="143">
        <f>Y10-Y11-Y12</f>
        <v>2086</v>
      </c>
      <c r="Z15" s="121"/>
      <c r="AA15" s="49" t="s">
        <v>20</v>
      </c>
      <c r="AB15" s="42"/>
      <c r="AC15" s="36"/>
      <c r="AD15" s="43"/>
      <c r="AE15" s="7"/>
      <c r="AF15" s="7"/>
      <c r="AG15" s="3"/>
      <c r="AH15" s="5">
        <v>3</v>
      </c>
      <c r="AI15" s="6">
        <f>AI12*1.15</f>
        <v>0.19837499999999997</v>
      </c>
      <c r="AJ15" s="4">
        <f>$AG$11*AI15</f>
        <v>49.59374999999999</v>
      </c>
      <c r="AK15" s="2">
        <f>AK12+AJ15</f>
        <v>130.21875</v>
      </c>
      <c r="AO15" s="3"/>
      <c r="AP15" s="5">
        <v>3</v>
      </c>
      <c r="AQ15" s="6">
        <f>AQ12*1.15</f>
        <v>0.19837499999999997</v>
      </c>
      <c r="AR15" s="4">
        <f>$AO$11*AQ15</f>
        <v>29.756249999999994</v>
      </c>
      <c r="AS15" s="2">
        <f>AS12+AR15</f>
        <v>78.13125</v>
      </c>
    </row>
    <row r="16" spans="1:45" ht="21" customHeight="1">
      <c r="A16" s="163" t="s">
        <v>24</v>
      </c>
      <c r="B16" s="19"/>
      <c r="C16" s="146" t="s">
        <v>70</v>
      </c>
      <c r="D16" s="142">
        <f>35+(D14-35)/2</f>
        <v>65</v>
      </c>
      <c r="E16" s="142">
        <f>35+(E14-35)/2</f>
        <v>65</v>
      </c>
      <c r="F16" s="142">
        <f>35+(F14-35)/2</f>
        <v>65</v>
      </c>
      <c r="G16" s="142">
        <f>35+(G14-35)/2</f>
        <v>65</v>
      </c>
      <c r="H16" s="142"/>
      <c r="I16" s="146">
        <v>0.25</v>
      </c>
      <c r="J16" s="142">
        <f>(J14-35)/2+35</f>
        <v>36.25</v>
      </c>
      <c r="K16" s="142">
        <f>(K14-35)/2+35</f>
        <v>36.25</v>
      </c>
      <c r="L16" s="142">
        <f>(L14-35)/2+35</f>
        <v>36.25</v>
      </c>
      <c r="M16" s="142">
        <f>(M14-35)/2+35</f>
        <v>36.25</v>
      </c>
      <c r="N16" s="142"/>
      <c r="O16" s="146" t="s">
        <v>47</v>
      </c>
      <c r="P16" s="142">
        <v>40</v>
      </c>
      <c r="Q16" s="142">
        <v>40</v>
      </c>
      <c r="R16" s="142">
        <v>40</v>
      </c>
      <c r="S16" s="142">
        <v>40</v>
      </c>
      <c r="T16" s="142"/>
      <c r="U16" s="146">
        <v>0</v>
      </c>
      <c r="V16" s="142"/>
      <c r="W16" s="142"/>
      <c r="X16" s="142"/>
      <c r="Y16" s="143"/>
      <c r="Z16" s="121"/>
      <c r="AA16" s="34" t="s">
        <v>91</v>
      </c>
      <c r="AB16" s="81">
        <f>J19</f>
        <v>924.375</v>
      </c>
      <c r="AC16" s="79">
        <f>J30</f>
        <v>23.109375</v>
      </c>
      <c r="AD16" s="80">
        <f>J29</f>
        <v>1.9981295858642003</v>
      </c>
      <c r="AE16" s="7"/>
      <c r="AF16" s="7"/>
      <c r="AG16" s="3"/>
      <c r="AH16" s="5">
        <v>4</v>
      </c>
      <c r="AI16" s="6">
        <f>AI15*1.15</f>
        <v>0.22813124999999995</v>
      </c>
      <c r="AJ16" s="4">
        <f>$AG$11*AI16</f>
        <v>57.03281249999999</v>
      </c>
      <c r="AK16" s="2">
        <f>AK15+AJ16</f>
        <v>187.25156249999998</v>
      </c>
      <c r="AO16" s="3"/>
      <c r="AP16" s="5">
        <v>4</v>
      </c>
      <c r="AQ16" s="6">
        <f>AQ15*1.15</f>
        <v>0.22813124999999995</v>
      </c>
      <c r="AR16" s="4">
        <f>$AO$11*AQ16</f>
        <v>34.21968749999999</v>
      </c>
      <c r="AS16" s="2">
        <f>AS15+AR16</f>
        <v>112.35093749999999</v>
      </c>
    </row>
    <row r="17" spans="1:33" ht="21" customHeight="1">
      <c r="A17" s="163" t="s">
        <v>35</v>
      </c>
      <c r="B17" s="19"/>
      <c r="C17" s="146">
        <v>0.8</v>
      </c>
      <c r="D17" s="142">
        <f>D15*0.8</f>
        <v>5504</v>
      </c>
      <c r="E17" s="142">
        <f>E15*0.8</f>
        <v>2658.4</v>
      </c>
      <c r="F17" s="142">
        <f>F15*0.8</f>
        <v>2001.6000000000001</v>
      </c>
      <c r="G17" s="142">
        <f>G15*0.8</f>
        <v>1488.8000000000002</v>
      </c>
      <c r="H17" s="142"/>
      <c r="I17" s="146">
        <v>0.25</v>
      </c>
      <c r="J17" s="142">
        <f>(J10-J11)*0.25</f>
        <v>1776.25</v>
      </c>
      <c r="K17" s="142">
        <f>(K10-K11)*0.25</f>
        <v>887</v>
      </c>
      <c r="L17" s="142">
        <f>(L10-L11)*0.25</f>
        <v>681.75</v>
      </c>
      <c r="M17" s="142">
        <f>(M10-M11)*0.25</f>
        <v>521.5</v>
      </c>
      <c r="N17" s="142"/>
      <c r="O17" s="146">
        <v>0.25</v>
      </c>
      <c r="P17" s="142">
        <f>P15*0.25</f>
        <v>1776.25</v>
      </c>
      <c r="Q17" s="142">
        <f>Q15*0.25</f>
        <v>887</v>
      </c>
      <c r="R17" s="142">
        <f>R15*0.25</f>
        <v>681.75</v>
      </c>
      <c r="S17" s="142">
        <f>S15*0.25</f>
        <v>521.5</v>
      </c>
      <c r="T17" s="142"/>
      <c r="U17" s="146">
        <v>0.25</v>
      </c>
      <c r="V17" s="142">
        <f>V15*0.25</f>
        <v>1776.25</v>
      </c>
      <c r="W17" s="142">
        <f>W15*0.25</f>
        <v>887</v>
      </c>
      <c r="X17" s="142">
        <f>X15*0.25</f>
        <v>681.75</v>
      </c>
      <c r="Y17" s="143">
        <f>Y15*0.25</f>
        <v>521.5</v>
      </c>
      <c r="Z17" s="121"/>
      <c r="AA17" s="34" t="s">
        <v>1</v>
      </c>
      <c r="AB17" s="35">
        <f>K19</f>
        <v>479.75</v>
      </c>
      <c r="AC17" s="36">
        <f>K30</f>
        <v>11.99375</v>
      </c>
      <c r="AD17" s="37">
        <f>K29</f>
        <v>1.454612025436639</v>
      </c>
      <c r="AE17" s="7"/>
      <c r="AF17" s="7"/>
      <c r="AG17" s="7"/>
    </row>
    <row r="18" spans="1:33" ht="21" customHeight="1">
      <c r="A18" s="163" t="s">
        <v>40</v>
      </c>
      <c r="B18" s="19"/>
      <c r="C18" s="146">
        <v>0.4</v>
      </c>
      <c r="D18" s="142">
        <f>D17/2</f>
        <v>2752</v>
      </c>
      <c r="E18" s="142">
        <f>E17/2</f>
        <v>1329.2</v>
      </c>
      <c r="F18" s="142">
        <f>F17/2</f>
        <v>1000.8000000000001</v>
      </c>
      <c r="G18" s="142">
        <f>G17/2</f>
        <v>744.4000000000001</v>
      </c>
      <c r="H18" s="142"/>
      <c r="I18" s="148">
        <v>0.125</v>
      </c>
      <c r="J18" s="142">
        <f>J17/2</f>
        <v>888.125</v>
      </c>
      <c r="K18" s="142">
        <f>K17/2</f>
        <v>443.5</v>
      </c>
      <c r="L18" s="142">
        <f>L17/2</f>
        <v>340.875</v>
      </c>
      <c r="M18" s="142">
        <f>M17/2</f>
        <v>260.75</v>
      </c>
      <c r="N18" s="142"/>
      <c r="O18" s="148">
        <v>0.125</v>
      </c>
      <c r="P18" s="142">
        <f>P17/2</f>
        <v>888.125</v>
      </c>
      <c r="Q18" s="142">
        <f>Q17/2</f>
        <v>443.5</v>
      </c>
      <c r="R18" s="142">
        <f>R17/2</f>
        <v>340.875</v>
      </c>
      <c r="S18" s="142">
        <f>S17/2</f>
        <v>260.75</v>
      </c>
      <c r="T18" s="142"/>
      <c r="U18" s="148">
        <v>0.125</v>
      </c>
      <c r="V18" s="142">
        <f>(V17-40)/2+40</f>
        <v>908.125</v>
      </c>
      <c r="W18" s="142">
        <f>(W17-40)/2+40</f>
        <v>463.5</v>
      </c>
      <c r="X18" s="142">
        <f>(X17-40)/2+40</f>
        <v>360.875</v>
      </c>
      <c r="Y18" s="143">
        <f>(Y17-40)/2+40</f>
        <v>280.75</v>
      </c>
      <c r="Z18" s="121"/>
      <c r="AA18" s="34" t="s">
        <v>7</v>
      </c>
      <c r="AB18" s="81">
        <f>L19</f>
        <v>377.125</v>
      </c>
      <c r="AC18" s="36">
        <f>L30</f>
        <v>9.428125</v>
      </c>
      <c r="AD18" s="37">
        <f>L29</f>
        <v>1.2826128455035337</v>
      </c>
      <c r="AE18" s="7"/>
      <c r="AF18" s="7"/>
      <c r="AG18" s="7"/>
    </row>
    <row r="19" spans="1:33" ht="21" customHeight="1">
      <c r="A19" s="164" t="s">
        <v>25</v>
      </c>
      <c r="B19" s="15"/>
      <c r="C19" s="141"/>
      <c r="D19" s="149">
        <f>D18+D16</f>
        <v>2817</v>
      </c>
      <c r="E19" s="149">
        <f>E18+E16</f>
        <v>1394.2</v>
      </c>
      <c r="F19" s="149">
        <f>F18+F16</f>
        <v>1065.8000000000002</v>
      </c>
      <c r="G19" s="149">
        <f>G18+G16</f>
        <v>809.4000000000001</v>
      </c>
      <c r="H19" s="149"/>
      <c r="I19" s="149"/>
      <c r="J19" s="149">
        <f>J16+J18</f>
        <v>924.375</v>
      </c>
      <c r="K19" s="149">
        <f>K16+K18</f>
        <v>479.75</v>
      </c>
      <c r="L19" s="149">
        <f>L16+L18</f>
        <v>377.125</v>
      </c>
      <c r="M19" s="149">
        <f>M16+M18</f>
        <v>297</v>
      </c>
      <c r="N19" s="149"/>
      <c r="O19" s="149"/>
      <c r="P19" s="149">
        <f>P16+P18</f>
        <v>928.125</v>
      </c>
      <c r="Q19" s="149">
        <f>Q16+Q18</f>
        <v>483.5</v>
      </c>
      <c r="R19" s="149">
        <f>R16+R18</f>
        <v>380.875</v>
      </c>
      <c r="S19" s="149">
        <f>S16+S18</f>
        <v>300.75</v>
      </c>
      <c r="T19" s="149"/>
      <c r="U19" s="149"/>
      <c r="V19" s="149">
        <f>(V17-40)/2+40</f>
        <v>908.125</v>
      </c>
      <c r="W19" s="149">
        <f>(W17-40)/2+40</f>
        <v>463.5</v>
      </c>
      <c r="X19" s="149">
        <f>(X17-40)/2+40</f>
        <v>360.875</v>
      </c>
      <c r="Y19" s="149">
        <f>(Y17-40)/2</f>
        <v>240.75</v>
      </c>
      <c r="Z19" s="121"/>
      <c r="AA19" s="34" t="s">
        <v>12</v>
      </c>
      <c r="AB19" s="81">
        <f>M19</f>
        <v>297</v>
      </c>
      <c r="AC19" s="36">
        <f>M30</f>
        <v>7.425</v>
      </c>
      <c r="AD19" s="37">
        <f>M29</f>
        <v>1.124260452793573</v>
      </c>
      <c r="AE19" s="7"/>
      <c r="AF19" s="7"/>
      <c r="AG19" s="7"/>
    </row>
    <row r="20" spans="1:33" ht="21" customHeight="1" thickBot="1">
      <c r="A20" s="165" t="s">
        <v>54</v>
      </c>
      <c r="B20" s="15"/>
      <c r="C20" s="141"/>
      <c r="D20" s="142">
        <f>D18+(D14-D16)</f>
        <v>2782</v>
      </c>
      <c r="E20" s="142">
        <f>E18+(E14-E16)</f>
        <v>1359.2</v>
      </c>
      <c r="F20" s="142">
        <f>F18+(F14-F16)</f>
        <v>1030.8000000000002</v>
      </c>
      <c r="G20" s="142">
        <f>G18+(G14-G16)</f>
        <v>774.4000000000001</v>
      </c>
      <c r="H20" s="149"/>
      <c r="I20" s="149"/>
      <c r="J20" s="142">
        <f>J10*0.125-35/2</f>
        <v>901.875</v>
      </c>
      <c r="K20" s="142">
        <f>K10*0.125-35/2</f>
        <v>457.25</v>
      </c>
      <c r="L20" s="142">
        <f>L10*0.125-35/2</f>
        <v>354.625</v>
      </c>
      <c r="M20" s="142">
        <f>M10*0.125-35/2</f>
        <v>274.5</v>
      </c>
      <c r="N20" s="149"/>
      <c r="O20" s="149"/>
      <c r="P20" s="142">
        <f>P17*0.5</f>
        <v>888.125</v>
      </c>
      <c r="Q20" s="142">
        <f>Q17*0.5</f>
        <v>443.5</v>
      </c>
      <c r="R20" s="142">
        <f>R17*0.5</f>
        <v>340.875</v>
      </c>
      <c r="S20" s="142">
        <f>S17*0.5</f>
        <v>260.75</v>
      </c>
      <c r="T20" s="149"/>
      <c r="U20" s="149"/>
      <c r="V20" s="142">
        <f>(V17-40)/2</f>
        <v>868.125</v>
      </c>
      <c r="W20" s="142">
        <f>(W17-40)/2</f>
        <v>423.5</v>
      </c>
      <c r="X20" s="142">
        <f>(X17-40)/2</f>
        <v>320.875</v>
      </c>
      <c r="Y20" s="143">
        <f>(Y17-40)/2</f>
        <v>240.75</v>
      </c>
      <c r="Z20" s="121"/>
      <c r="AA20" s="44"/>
      <c r="AB20" s="45"/>
      <c r="AC20" s="46"/>
      <c r="AD20" s="47"/>
      <c r="AE20" s="7"/>
      <c r="AF20" s="7"/>
      <c r="AG20" s="7"/>
    </row>
    <row r="21" spans="1:33" ht="21" customHeight="1" thickTop="1">
      <c r="A21" s="165" t="s">
        <v>21</v>
      </c>
      <c r="B21" s="15"/>
      <c r="C21" s="141"/>
      <c r="D21" s="142">
        <f>D11+D12+(D15*0.2)</f>
        <v>1756</v>
      </c>
      <c r="E21" s="142">
        <f>E11+E12+(E15*0.2)</f>
        <v>1044.6</v>
      </c>
      <c r="F21" s="142">
        <f>F11+F12+(F15*0.2)</f>
        <v>880.4000000000001</v>
      </c>
      <c r="G21" s="142">
        <f>G11+G12+(G15*0.2)</f>
        <v>752.2</v>
      </c>
      <c r="H21" s="149"/>
      <c r="I21" s="149"/>
      <c r="J21" s="142">
        <f>0.75*J10</f>
        <v>5516.25</v>
      </c>
      <c r="K21" s="142">
        <f>0.75*K10</f>
        <v>2848.5</v>
      </c>
      <c r="L21" s="142">
        <f>0.75*L10</f>
        <v>2232.75</v>
      </c>
      <c r="M21" s="142">
        <f>0.75*M10</f>
        <v>1752</v>
      </c>
      <c r="N21" s="149"/>
      <c r="O21" s="149"/>
      <c r="P21" s="142">
        <f>P11+(P15*0.75)-40</f>
        <v>5538.75</v>
      </c>
      <c r="Q21" s="142">
        <f>Q11+(Q15*0.75)-40</f>
        <v>2871</v>
      </c>
      <c r="R21" s="142">
        <f>R11+(R15*0.75)-40</f>
        <v>2255.25</v>
      </c>
      <c r="S21" s="142">
        <f>S11+(S15*0.75)-40</f>
        <v>1774.5</v>
      </c>
      <c r="T21" s="149"/>
      <c r="U21" s="149"/>
      <c r="V21" s="142">
        <f>V11+(V15*0.75)</f>
        <v>5578.75</v>
      </c>
      <c r="W21" s="142">
        <f>W11+(W15*0.75)</f>
        <v>2911</v>
      </c>
      <c r="X21" s="142">
        <f>X11+(X15*0.75)</f>
        <v>2295.25</v>
      </c>
      <c r="Y21" s="143">
        <f>Y11+(Y15*0.75)</f>
        <v>1814.5</v>
      </c>
      <c r="Z21" s="121"/>
      <c r="AA21" s="50" t="s">
        <v>41</v>
      </c>
      <c r="AB21" s="42"/>
      <c r="AC21" s="36"/>
      <c r="AD21" s="43"/>
      <c r="AE21" s="7"/>
      <c r="AF21" s="7"/>
      <c r="AG21" s="7"/>
    </row>
    <row r="22" spans="1:33" ht="21" customHeight="1">
      <c r="A22" s="165" t="s">
        <v>32</v>
      </c>
      <c r="B22" s="15"/>
      <c r="C22" s="141"/>
      <c r="D22" s="142">
        <f>SUM(D19:D21)</f>
        <v>7355</v>
      </c>
      <c r="E22" s="142">
        <f>SUM(E19:E21)</f>
        <v>3798</v>
      </c>
      <c r="F22" s="142">
        <f>SUM(F19:F21)</f>
        <v>2977.0000000000005</v>
      </c>
      <c r="G22" s="142">
        <f>SUM(G19:G21)</f>
        <v>2336</v>
      </c>
      <c r="H22" s="149"/>
      <c r="I22" s="149"/>
      <c r="J22" s="142">
        <f>SUM(J19:J21)</f>
        <v>7342.5</v>
      </c>
      <c r="K22" s="142">
        <f>SUM(K19:K21)</f>
        <v>3785.5</v>
      </c>
      <c r="L22" s="142">
        <f>SUM(L19:L21)</f>
        <v>2964.5</v>
      </c>
      <c r="M22" s="142">
        <f>SUM(M19:M21)</f>
        <v>2323.5</v>
      </c>
      <c r="N22" s="149"/>
      <c r="O22" s="149"/>
      <c r="P22" s="142">
        <f>SUM(P19:P21)</f>
        <v>7355</v>
      </c>
      <c r="Q22" s="142">
        <f>SUM(Q19:Q21)</f>
        <v>3798</v>
      </c>
      <c r="R22" s="142">
        <f>SUM(R19:R21)</f>
        <v>2977</v>
      </c>
      <c r="S22" s="142">
        <f>SUM(S19:S21)</f>
        <v>2336</v>
      </c>
      <c r="T22" s="149"/>
      <c r="U22" s="149"/>
      <c r="V22" s="142">
        <f>SUM(V19:V21)</f>
        <v>7355</v>
      </c>
      <c r="W22" s="142">
        <f>SUM(W19:W21)</f>
        <v>3798</v>
      </c>
      <c r="X22" s="142">
        <f>SUM(X19:X21)</f>
        <v>2977</v>
      </c>
      <c r="Y22" s="143">
        <f>SUM(Y19:Y21)</f>
        <v>2296</v>
      </c>
      <c r="Z22" s="121"/>
      <c r="AA22" s="34" t="s">
        <v>91</v>
      </c>
      <c r="AB22" s="81">
        <f>P19</f>
        <v>928.125</v>
      </c>
      <c r="AC22" s="79">
        <f>P30</f>
        <v>23.203125</v>
      </c>
      <c r="AD22" s="80">
        <f>P29</f>
        <v>2.330928156557796</v>
      </c>
      <c r="AE22" s="7"/>
      <c r="AF22" s="7"/>
      <c r="AG22" s="7"/>
    </row>
    <row r="23" spans="1:33" ht="21" customHeight="1">
      <c r="A23" s="162" t="s">
        <v>22</v>
      </c>
      <c r="B23" s="24" t="s">
        <v>16</v>
      </c>
      <c r="C23" s="141"/>
      <c r="D23" s="141"/>
      <c r="E23" s="141"/>
      <c r="F23" s="141"/>
      <c r="G23" s="141"/>
      <c r="H23" s="141"/>
      <c r="I23" s="151"/>
      <c r="J23" s="141"/>
      <c r="K23" s="141"/>
      <c r="L23" s="141"/>
      <c r="M23" s="141"/>
      <c r="N23" s="141"/>
      <c r="O23" s="151"/>
      <c r="P23" s="141"/>
      <c r="Q23" s="141"/>
      <c r="R23" s="141"/>
      <c r="S23" s="141"/>
      <c r="T23" s="141"/>
      <c r="U23" s="151"/>
      <c r="V23" s="141"/>
      <c r="W23" s="141"/>
      <c r="X23" s="141"/>
      <c r="Y23" s="152"/>
      <c r="Z23" s="121"/>
      <c r="AA23" s="34" t="s">
        <v>1</v>
      </c>
      <c r="AB23" s="35">
        <f>Q19</f>
        <v>483.5</v>
      </c>
      <c r="AC23" s="36">
        <f>Q30</f>
        <v>12.0875</v>
      </c>
      <c r="AD23" s="37">
        <f>Q29</f>
        <v>1.801704681528863</v>
      </c>
      <c r="AE23" s="7"/>
      <c r="AF23" s="7"/>
      <c r="AG23" s="7"/>
    </row>
    <row r="24" spans="1:33" ht="21" customHeight="1">
      <c r="A24" s="126" t="s">
        <v>15</v>
      </c>
      <c r="B24" s="24">
        <v>1</v>
      </c>
      <c r="C24" s="153"/>
      <c r="D24" s="141">
        <v>-40</v>
      </c>
      <c r="E24" s="141">
        <v>-40</v>
      </c>
      <c r="F24" s="141">
        <v>-40</v>
      </c>
      <c r="G24" s="141">
        <v>-40</v>
      </c>
      <c r="H24" s="141"/>
      <c r="I24" s="141"/>
      <c r="J24" s="141">
        <v>-40</v>
      </c>
      <c r="K24" s="141">
        <v>-40</v>
      </c>
      <c r="L24" s="141">
        <v>-40</v>
      </c>
      <c r="M24" s="141">
        <v>-40</v>
      </c>
      <c r="N24" s="141"/>
      <c r="O24" s="141"/>
      <c r="P24" s="141">
        <v>-40</v>
      </c>
      <c r="Q24" s="141">
        <v>-40</v>
      </c>
      <c r="R24" s="141">
        <v>-40</v>
      </c>
      <c r="S24" s="141">
        <v>-40</v>
      </c>
      <c r="T24" s="141"/>
      <c r="U24" s="141"/>
      <c r="V24" s="141">
        <v>-40</v>
      </c>
      <c r="W24" s="141">
        <v>-40</v>
      </c>
      <c r="X24" s="141">
        <v>-40</v>
      </c>
      <c r="Y24" s="152">
        <v>-40</v>
      </c>
      <c r="Z24" s="121"/>
      <c r="AA24" s="34" t="s">
        <v>7</v>
      </c>
      <c r="AB24" s="81">
        <f>R19</f>
        <v>380.875</v>
      </c>
      <c r="AC24" s="36">
        <f>R30</f>
        <v>9.521875</v>
      </c>
      <c r="AD24" s="37">
        <f>R29</f>
        <v>1.637398511878284</v>
      </c>
      <c r="AE24" s="7"/>
      <c r="AF24" s="7"/>
      <c r="AG24" s="7"/>
    </row>
    <row r="25" spans="1:33" ht="21" customHeight="1">
      <c r="A25" s="126"/>
      <c r="B25" s="24">
        <v>2</v>
      </c>
      <c r="C25" s="153"/>
      <c r="D25" s="141">
        <v>0</v>
      </c>
      <c r="E25" s="141">
        <v>0</v>
      </c>
      <c r="F25" s="141">
        <v>0</v>
      </c>
      <c r="G25" s="141">
        <v>0</v>
      </c>
      <c r="H25" s="141"/>
      <c r="I25" s="151"/>
      <c r="J25" s="141">
        <v>0</v>
      </c>
      <c r="K25" s="141">
        <v>0</v>
      </c>
      <c r="L25" s="141">
        <v>0</v>
      </c>
      <c r="M25" s="141">
        <v>0</v>
      </c>
      <c r="N25" s="141"/>
      <c r="O25" s="141"/>
      <c r="P25" s="141">
        <v>40</v>
      </c>
      <c r="Q25" s="141">
        <v>40</v>
      </c>
      <c r="R25" s="141">
        <v>40</v>
      </c>
      <c r="S25" s="141">
        <v>40</v>
      </c>
      <c r="T25" s="141"/>
      <c r="U25" s="141"/>
      <c r="V25" s="141">
        <v>0</v>
      </c>
      <c r="W25" s="141">
        <v>0</v>
      </c>
      <c r="X25" s="141">
        <v>0</v>
      </c>
      <c r="Y25" s="152">
        <v>0</v>
      </c>
      <c r="Z25" s="121"/>
      <c r="AA25" s="34" t="s">
        <v>12</v>
      </c>
      <c r="AB25" s="81">
        <f>S19</f>
        <v>300.75</v>
      </c>
      <c r="AC25" s="36">
        <f>S30</f>
        <v>7.51875</v>
      </c>
      <c r="AD25" s="37">
        <f>S29</f>
        <v>1.4884066755558294</v>
      </c>
      <c r="AE25" s="7"/>
      <c r="AF25" s="7"/>
      <c r="AG25" s="7"/>
    </row>
    <row r="26" spans="1:33" ht="21" customHeight="1" thickBot="1">
      <c r="A26" s="126"/>
      <c r="B26" s="24">
        <v>3</v>
      </c>
      <c r="C26" s="153"/>
      <c r="D26" s="142">
        <f>D16</f>
        <v>65</v>
      </c>
      <c r="E26" s="142">
        <f>E16</f>
        <v>65</v>
      </c>
      <c r="F26" s="142">
        <f>F16</f>
        <v>65</v>
      </c>
      <c r="G26" s="142">
        <f>G16</f>
        <v>65</v>
      </c>
      <c r="H26" s="142"/>
      <c r="I26" s="141"/>
      <c r="J26" s="142">
        <f>((475*0.25)-35)/2+35</f>
        <v>76.875</v>
      </c>
      <c r="K26" s="142">
        <f>((475*0.25)-35)/2+35</f>
        <v>76.875</v>
      </c>
      <c r="L26" s="142">
        <f>((475*0.25)-35)/2+35</f>
        <v>76.875</v>
      </c>
      <c r="M26" s="142">
        <f>((475*0.25)-35)/2+35</f>
        <v>76.875</v>
      </c>
      <c r="N26" s="141"/>
      <c r="O26" s="141"/>
      <c r="P26" s="142">
        <f>(((475-250)*0.25)-35)/2+35</f>
        <v>45.625</v>
      </c>
      <c r="Q26" s="142">
        <f>(((475-250)*0.25)-35)/2+35</f>
        <v>45.625</v>
      </c>
      <c r="R26" s="142">
        <f>(((475-250)*0.25)-35)/2+35</f>
        <v>45.625</v>
      </c>
      <c r="S26" s="142">
        <f>(((475-250)*0.25)-35)/2+35</f>
        <v>45.625</v>
      </c>
      <c r="T26" s="141"/>
      <c r="U26" s="141"/>
      <c r="V26" s="142">
        <f>(((475-250)*0.25)-40)/2+40</f>
        <v>48.125</v>
      </c>
      <c r="W26" s="142">
        <f>(((475-250)*0.25)-40)/2+40</f>
        <v>48.125</v>
      </c>
      <c r="X26" s="142">
        <f>(((475-250)*0.25)-40)/2+40</f>
        <v>48.125</v>
      </c>
      <c r="Y26" s="143">
        <f>(((475-250)*0.25)-40)/2+40</f>
        <v>48.125</v>
      </c>
      <c r="Z26" s="121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4</v>
      </c>
      <c r="C27" s="153"/>
      <c r="D27" s="142">
        <f>D19-D26</f>
        <v>2752</v>
      </c>
      <c r="E27" s="142">
        <f>E19-E26</f>
        <v>1329.2</v>
      </c>
      <c r="F27" s="142">
        <f>F19-F26</f>
        <v>1000.8000000000002</v>
      </c>
      <c r="G27" s="142">
        <f>G19-G26</f>
        <v>744.4000000000001</v>
      </c>
      <c r="H27" s="142"/>
      <c r="I27" s="151"/>
      <c r="J27" s="142">
        <f>J19-J26</f>
        <v>847.5</v>
      </c>
      <c r="K27" s="142">
        <f>K19-K26</f>
        <v>402.875</v>
      </c>
      <c r="L27" s="142">
        <f>L19-L26</f>
        <v>300.25</v>
      </c>
      <c r="M27" s="142">
        <f>M19-M26</f>
        <v>220.125</v>
      </c>
      <c r="N27" s="142"/>
      <c r="O27" s="151"/>
      <c r="P27" s="142">
        <f>P19-P26</f>
        <v>882.5</v>
      </c>
      <c r="Q27" s="142">
        <f>Q19-Q26</f>
        <v>437.875</v>
      </c>
      <c r="R27" s="142">
        <f>R19-R26</f>
        <v>335.25</v>
      </c>
      <c r="S27" s="142">
        <f>S19-S26</f>
        <v>255.125</v>
      </c>
      <c r="T27" s="142"/>
      <c r="U27" s="151"/>
      <c r="V27" s="142">
        <f>V19-V26</f>
        <v>860</v>
      </c>
      <c r="W27" s="142">
        <f>W19-W26</f>
        <v>415.375</v>
      </c>
      <c r="X27" s="142">
        <f>X19-X26</f>
        <v>312.75</v>
      </c>
      <c r="Y27" s="143">
        <f>Y19-Y26</f>
        <v>192.625</v>
      </c>
      <c r="Z27" s="121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15"/>
      <c r="C28" s="141"/>
      <c r="D28" s="141"/>
      <c r="E28" s="141"/>
      <c r="F28" s="141"/>
      <c r="G28" s="141"/>
      <c r="H28" s="141"/>
      <c r="I28" s="151"/>
      <c r="J28" s="145"/>
      <c r="K28" s="145"/>
      <c r="L28" s="145"/>
      <c r="M28" s="141"/>
      <c r="N28" s="141"/>
      <c r="O28" s="151"/>
      <c r="P28" s="145"/>
      <c r="Q28" s="145"/>
      <c r="R28" s="145"/>
      <c r="S28" s="141"/>
      <c r="T28" s="141"/>
      <c r="U28" s="151"/>
      <c r="V28" s="145"/>
      <c r="W28" s="145"/>
      <c r="X28" s="145"/>
      <c r="Y28" s="152"/>
      <c r="Z28" s="121"/>
      <c r="AA28" s="34" t="s">
        <v>91</v>
      </c>
      <c r="AB28" s="81">
        <f>V19</f>
        <v>908.125</v>
      </c>
      <c r="AC28" s="79">
        <f>V30</f>
        <v>22.703125</v>
      </c>
      <c r="AD28" s="80">
        <f>V29</f>
        <v>1.9247521623227368</v>
      </c>
      <c r="AE28" s="7"/>
      <c r="AF28" s="7"/>
      <c r="AG28" s="7"/>
    </row>
    <row r="29" spans="1:33" ht="21" customHeight="1">
      <c r="A29" s="126" t="s">
        <v>56</v>
      </c>
      <c r="B29" s="15"/>
      <c r="C29" s="141"/>
      <c r="D29" s="154">
        <f>IRR(D24:D27)</f>
        <v>3.229746073404992</v>
      </c>
      <c r="E29" s="154">
        <f>IRR(E24:E27)</f>
        <v>2.3833054554898117</v>
      </c>
      <c r="F29" s="154">
        <f aca="true" t="shared" si="0" ref="F29:S29">IRR(F24:F27)</f>
        <v>2.1097633729535454</v>
      </c>
      <c r="G29" s="154">
        <f t="shared" si="0"/>
        <v>1.8540446329079998</v>
      </c>
      <c r="H29" s="154"/>
      <c r="I29" s="154"/>
      <c r="J29" s="154">
        <f>IRR(J24:J27)</f>
        <v>1.9981295858642003</v>
      </c>
      <c r="K29" s="154">
        <f t="shared" si="0"/>
        <v>1.454612025436639</v>
      </c>
      <c r="L29" s="154">
        <f t="shared" si="0"/>
        <v>1.2826128455035337</v>
      </c>
      <c r="M29" s="154">
        <f t="shared" si="0"/>
        <v>1.124260452793573</v>
      </c>
      <c r="N29" s="154"/>
      <c r="O29" s="154"/>
      <c r="P29" s="154">
        <f>IRR(P24:P27)</f>
        <v>2.330928156557796</v>
      </c>
      <c r="Q29" s="154">
        <f t="shared" si="0"/>
        <v>1.801704681528863</v>
      </c>
      <c r="R29" s="154">
        <f t="shared" si="0"/>
        <v>1.637398511878284</v>
      </c>
      <c r="S29" s="154">
        <f t="shared" si="0"/>
        <v>1.4884066755558294</v>
      </c>
      <c r="T29" s="154"/>
      <c r="U29" s="154"/>
      <c r="V29" s="154">
        <f>IRR(V24:V27)</f>
        <v>1.9247521623227368</v>
      </c>
      <c r="W29" s="154">
        <f>IRR(W24:W27)</f>
        <v>1.3651148140290692</v>
      </c>
      <c r="X29" s="154">
        <f>IRR(X24:X27)</f>
        <v>1.1862109322541299</v>
      </c>
      <c r="Y29" s="155">
        <f>IRR(Y24:Y27)</f>
        <v>0.9248297649855701</v>
      </c>
      <c r="Z29" s="121"/>
      <c r="AA29" s="34" t="s">
        <v>1</v>
      </c>
      <c r="AB29" s="35">
        <f>W19</f>
        <v>463.5</v>
      </c>
      <c r="AC29" s="36">
        <f>W30</f>
        <v>11.5875</v>
      </c>
      <c r="AD29" s="37">
        <f>W29</f>
        <v>1.3651148140290692</v>
      </c>
      <c r="AE29" s="7"/>
      <c r="AF29" s="7"/>
      <c r="AG29" s="7"/>
    </row>
    <row r="30" spans="1:33" ht="21" customHeight="1">
      <c r="A30" s="126" t="s">
        <v>93</v>
      </c>
      <c r="B30" s="15"/>
      <c r="C30" s="141"/>
      <c r="D30" s="156">
        <f>-D19/D24</f>
        <v>70.425</v>
      </c>
      <c r="E30" s="156">
        <f>-E19/E24</f>
        <v>34.855000000000004</v>
      </c>
      <c r="F30" s="156">
        <f>-F19/F24</f>
        <v>26.645000000000003</v>
      </c>
      <c r="G30" s="156">
        <f>-G19/G24</f>
        <v>20.235000000000003</v>
      </c>
      <c r="H30" s="156"/>
      <c r="I30" s="156"/>
      <c r="J30" s="156">
        <f>-J19/J24</f>
        <v>23.109375</v>
      </c>
      <c r="K30" s="156">
        <f>-K19/K24</f>
        <v>11.99375</v>
      </c>
      <c r="L30" s="156">
        <f>-L19/L24</f>
        <v>9.428125</v>
      </c>
      <c r="M30" s="156">
        <f>-M19/M24</f>
        <v>7.425</v>
      </c>
      <c r="N30" s="156"/>
      <c r="O30" s="156"/>
      <c r="P30" s="156">
        <f>-P19/P24</f>
        <v>23.203125</v>
      </c>
      <c r="Q30" s="156">
        <f>-Q19/Q24</f>
        <v>12.0875</v>
      </c>
      <c r="R30" s="156">
        <f>-R19/R24</f>
        <v>9.521875</v>
      </c>
      <c r="S30" s="156">
        <f>-S19/S24</f>
        <v>7.51875</v>
      </c>
      <c r="T30" s="156"/>
      <c r="U30" s="156"/>
      <c r="V30" s="156">
        <f>-V19/V24</f>
        <v>22.703125</v>
      </c>
      <c r="W30" s="156">
        <f>-W19/W24</f>
        <v>11.5875</v>
      </c>
      <c r="X30" s="156">
        <f>-X19/X24</f>
        <v>9.021875</v>
      </c>
      <c r="Y30" s="157">
        <f>-Y19/Y24</f>
        <v>6.01875</v>
      </c>
      <c r="Z30" s="121"/>
      <c r="AA30" s="34" t="s">
        <v>7</v>
      </c>
      <c r="AB30" s="81">
        <f>X19</f>
        <v>360.875</v>
      </c>
      <c r="AC30" s="36">
        <f>X30</f>
        <v>9.021875</v>
      </c>
      <c r="AD30" s="37">
        <f>X29</f>
        <v>1.1862109322541299</v>
      </c>
      <c r="AE30" s="7"/>
      <c r="AF30" s="7"/>
      <c r="AG30" s="7"/>
    </row>
    <row r="31" spans="1:33" ht="21" customHeight="1" thickBot="1">
      <c r="A31" s="166"/>
      <c r="B31" s="66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9"/>
      <c r="Z31" s="121"/>
      <c r="AA31" s="34" t="s">
        <v>12</v>
      </c>
      <c r="AB31" s="81">
        <f>Y19</f>
        <v>240.75</v>
      </c>
      <c r="AC31" s="36">
        <f>Y30</f>
        <v>6.01875</v>
      </c>
      <c r="AD31" s="37">
        <f>Y29</f>
        <v>0.9248297649855701</v>
      </c>
      <c r="AE31" s="7"/>
      <c r="AF31" s="7"/>
      <c r="AG31" s="7"/>
    </row>
    <row r="32" spans="1:33" ht="21" customHeight="1" thickBot="1">
      <c r="A32" s="122" t="s">
        <v>98</v>
      </c>
      <c r="B32" s="66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9"/>
      <c r="Z32" s="121"/>
      <c r="AA32" s="56"/>
      <c r="AB32" s="57"/>
      <c r="AC32" s="58"/>
      <c r="AD32" s="59"/>
      <c r="AE32" s="7"/>
      <c r="AF32" s="7"/>
      <c r="AG32" s="7"/>
    </row>
    <row r="33" spans="1:33" ht="21" customHeight="1" thickBot="1">
      <c r="A33" s="167" t="s">
        <v>48</v>
      </c>
      <c r="B33" s="66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121"/>
      <c r="AE33" s="7"/>
      <c r="AF33" s="7"/>
      <c r="AG33" s="7"/>
    </row>
    <row r="34" spans="1:33" ht="21" customHeight="1" thickBot="1">
      <c r="A34" s="56" t="s">
        <v>49</v>
      </c>
      <c r="B34" s="68"/>
      <c r="C34" s="158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1"/>
      <c r="Z34" s="121"/>
      <c r="AE34" s="11"/>
      <c r="AF34" s="11"/>
      <c r="AG34" s="11"/>
    </row>
    <row r="35" ht="21" customHeight="1"/>
    <row r="36" spans="1:13" ht="21" customHeight="1">
      <c r="A36" s="51"/>
      <c r="B36" s="51"/>
      <c r="C36" s="53"/>
      <c r="D36" s="53"/>
      <c r="E36" s="53"/>
      <c r="F36" s="53"/>
      <c r="G36" s="53"/>
      <c r="H36" s="53"/>
      <c r="I36" s="327" t="s">
        <v>36</v>
      </c>
      <c r="J36" s="327"/>
      <c r="K36" s="327"/>
      <c r="L36" s="327"/>
      <c r="M36" s="327"/>
    </row>
    <row r="37" spans="1:13" ht="21" customHeight="1">
      <c r="A37" s="51"/>
      <c r="B37" s="51"/>
      <c r="C37" s="54" t="s">
        <v>27</v>
      </c>
      <c r="D37" s="54"/>
      <c r="E37" s="54" t="s">
        <v>31</v>
      </c>
      <c r="F37" s="54" t="s">
        <v>33</v>
      </c>
      <c r="G37" s="54" t="s">
        <v>34</v>
      </c>
      <c r="H37" s="54"/>
      <c r="I37" s="54" t="s">
        <v>37</v>
      </c>
      <c r="J37" s="54"/>
      <c r="K37" s="54" t="s">
        <v>38</v>
      </c>
      <c r="L37" s="54" t="s">
        <v>39</v>
      </c>
      <c r="M37" s="54" t="s">
        <v>32</v>
      </c>
    </row>
    <row r="38" spans="1:13" ht="21" customHeight="1">
      <c r="A38" s="51" t="s">
        <v>28</v>
      </c>
      <c r="B38" s="51"/>
      <c r="C38" s="51">
        <v>45.5</v>
      </c>
      <c r="D38" s="51"/>
      <c r="E38" s="51">
        <v>1181</v>
      </c>
      <c r="F38" s="51">
        <v>821</v>
      </c>
      <c r="G38" s="51">
        <v>597</v>
      </c>
      <c r="H38" s="51"/>
      <c r="I38" s="51">
        <v>0</v>
      </c>
      <c r="J38" s="51"/>
      <c r="K38" s="51">
        <v>5.32</v>
      </c>
      <c r="L38" s="51">
        <v>0</v>
      </c>
      <c r="M38" s="51">
        <f>SUM(I38:L38)</f>
        <v>5.32</v>
      </c>
    </row>
    <row r="39" spans="1:13" ht="21" customHeight="1">
      <c r="A39" s="51" t="s">
        <v>30</v>
      </c>
      <c r="B39" s="51"/>
      <c r="C39" s="51">
        <v>80</v>
      </c>
      <c r="D39" s="51"/>
      <c r="E39" s="51">
        <v>539</v>
      </c>
      <c r="F39" s="51">
        <v>413</v>
      </c>
      <c r="G39" s="51">
        <v>324</v>
      </c>
      <c r="H39" s="51"/>
      <c r="I39" s="51">
        <v>3.75</v>
      </c>
      <c r="J39" s="51"/>
      <c r="K39" s="51">
        <v>6.59</v>
      </c>
      <c r="L39" s="51">
        <v>2.5</v>
      </c>
      <c r="M39" s="51">
        <f>SUM(I39:L39)</f>
        <v>12.84</v>
      </c>
    </row>
    <row r="40" spans="1:13" ht="21" customHeight="1">
      <c r="A40" s="51" t="s">
        <v>29</v>
      </c>
      <c r="B40" s="51"/>
      <c r="C40" s="55">
        <v>25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21" customHeight="1">
      <c r="A41" s="52" t="s">
        <v>32</v>
      </c>
      <c r="B41" s="51"/>
      <c r="C41" s="51">
        <f>SUM(C38:C40)</f>
        <v>150.5</v>
      </c>
      <c r="D41" s="51"/>
      <c r="E41" s="51">
        <f>SUM(E38:E40)</f>
        <v>1720</v>
      </c>
      <c r="F41" s="51">
        <f>SUM(F38:F40)</f>
        <v>1234</v>
      </c>
      <c r="G41" s="51">
        <f>SUM(G38:G40)</f>
        <v>921</v>
      </c>
      <c r="H41" s="51"/>
      <c r="I41" s="51">
        <f>SUM(I38:I40)</f>
        <v>3.75</v>
      </c>
      <c r="J41" s="51"/>
      <c r="K41" s="51">
        <f>SUM(K38:K40)</f>
        <v>11.91</v>
      </c>
      <c r="L41" s="51">
        <f>SUM(L38:L40)</f>
        <v>2.5</v>
      </c>
      <c r="M41" s="51">
        <f>SUM(M38:M40)</f>
        <v>18.16</v>
      </c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16">
    <mergeCell ref="A1:Y1"/>
    <mergeCell ref="A2:Y2"/>
    <mergeCell ref="A3:Y3"/>
    <mergeCell ref="A4:Y4"/>
    <mergeCell ref="AA4:AD4"/>
    <mergeCell ref="C6:G6"/>
    <mergeCell ref="C5:G5"/>
    <mergeCell ref="I5:M5"/>
    <mergeCell ref="O5:S5"/>
    <mergeCell ref="U5:Y5"/>
    <mergeCell ref="AA5:AD5"/>
    <mergeCell ref="AA6:AD6"/>
    <mergeCell ref="I6:M6"/>
    <mergeCell ref="O6:S6"/>
    <mergeCell ref="U6:Y6"/>
    <mergeCell ref="I36:M36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50" zoomScaleNormal="50" zoomScalePageLayoutView="0" workbookViewId="0" topLeftCell="A1">
      <selection activeCell="AA4" sqref="AA4:AD32"/>
    </sheetView>
  </sheetViews>
  <sheetFormatPr defaultColWidth="9.140625" defaultRowHeight="12.75"/>
  <cols>
    <col min="1" max="1" width="42.00390625" style="0" customWidth="1"/>
    <col min="2" max="2" width="5.57421875" style="0" customWidth="1"/>
    <col min="3" max="3" width="14.57421875" style="0" customWidth="1"/>
    <col min="4" max="4" width="11.7109375" style="0" customWidth="1"/>
    <col min="5" max="7" width="10.7109375" style="0" customWidth="1"/>
    <col min="8" max="8" width="5.7109375" style="0" customWidth="1"/>
    <col min="9" max="9" width="9.57421875" style="0" customWidth="1"/>
    <col min="10" max="10" width="11.710937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7109375" style="0" customWidth="1"/>
    <col min="23" max="23" width="11.421875" style="0" customWidth="1"/>
    <col min="24" max="24" width="10.7109375" style="0" customWidth="1"/>
    <col min="25" max="25" width="12.00390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44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109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122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123"/>
      <c r="C5" s="340" t="s">
        <v>58</v>
      </c>
      <c r="D5" s="341"/>
      <c r="E5" s="341"/>
      <c r="F5" s="341"/>
      <c r="G5" s="342"/>
      <c r="H5" s="123"/>
      <c r="I5" s="343" t="s">
        <v>61</v>
      </c>
      <c r="J5" s="344"/>
      <c r="K5" s="344"/>
      <c r="L5" s="344"/>
      <c r="M5" s="345"/>
      <c r="N5" s="123"/>
      <c r="O5" s="346" t="s">
        <v>111</v>
      </c>
      <c r="P5" s="347"/>
      <c r="Q5" s="347"/>
      <c r="R5" s="347"/>
      <c r="S5" s="348"/>
      <c r="T5" s="123"/>
      <c r="U5" s="352" t="s">
        <v>63</v>
      </c>
      <c r="V5" s="353"/>
      <c r="W5" s="353"/>
      <c r="X5" s="353"/>
      <c r="Y5" s="354"/>
      <c r="Z5" s="7"/>
      <c r="AA5" s="358" t="s">
        <v>71</v>
      </c>
      <c r="AB5" s="359"/>
      <c r="AC5" s="359"/>
      <c r="AD5" s="360"/>
      <c r="AE5" s="7"/>
      <c r="AF5" s="7"/>
      <c r="AG5" s="7"/>
    </row>
    <row r="6" spans="1:33" ht="21" customHeight="1" thickBot="1">
      <c r="A6" s="122" t="s">
        <v>97</v>
      </c>
      <c r="B6" s="15"/>
      <c r="C6" s="340" t="s">
        <v>60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64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83"/>
      <c r="AB6" s="71"/>
      <c r="AC6" s="71"/>
      <c r="AD6" s="84"/>
      <c r="AE6" s="7"/>
      <c r="AF6" s="7"/>
      <c r="AG6" s="7"/>
    </row>
    <row r="7" spans="1:43" ht="21" customHeight="1" thickBot="1">
      <c r="A7" s="126"/>
      <c r="B7" s="15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27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5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126"/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119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26" t="s">
        <v>112</v>
      </c>
      <c r="B10" s="13"/>
      <c r="C10" s="26"/>
      <c r="D10" s="16">
        <v>7355</v>
      </c>
      <c r="E10" s="120"/>
      <c r="F10" s="26"/>
      <c r="G10" s="26"/>
      <c r="H10" s="26"/>
      <c r="I10" s="26"/>
      <c r="J10" s="16">
        <v>7355</v>
      </c>
      <c r="K10" s="120"/>
      <c r="L10" s="26"/>
      <c r="M10" s="26"/>
      <c r="N10" s="26"/>
      <c r="O10" s="26"/>
      <c r="P10" s="16">
        <v>7355</v>
      </c>
      <c r="Q10" s="120"/>
      <c r="R10" s="26"/>
      <c r="S10" s="26"/>
      <c r="T10" s="26"/>
      <c r="U10" s="26"/>
      <c r="V10" s="16">
        <v>7355</v>
      </c>
      <c r="W10" s="120"/>
      <c r="X10" s="26"/>
      <c r="Y10" s="62"/>
      <c r="Z10" s="7"/>
      <c r="AA10" s="34" t="s">
        <v>91</v>
      </c>
      <c r="AB10" s="81">
        <f>D22</f>
        <v>1756</v>
      </c>
      <c r="AC10" s="79">
        <f>D31</f>
        <v>7.024</v>
      </c>
      <c r="AD10" s="80">
        <f>D30</f>
        <v>1.0504395771420492</v>
      </c>
      <c r="AE10" s="7"/>
      <c r="AF10" s="7"/>
      <c r="AG10" s="10"/>
      <c r="AH10" s="10"/>
      <c r="AI10" s="10"/>
      <c r="AJ10" s="10"/>
      <c r="AK10" s="10"/>
      <c r="AO10" s="10"/>
      <c r="AP10" s="10"/>
      <c r="AQ10" s="10"/>
      <c r="AR10" s="10"/>
      <c r="AS10" s="10"/>
    </row>
    <row r="11" spans="1:45" ht="21" customHeight="1">
      <c r="A11" s="162" t="s">
        <v>89</v>
      </c>
      <c r="B11" s="14"/>
      <c r="C11" s="15"/>
      <c r="D11" s="16"/>
      <c r="E11" s="142">
        <v>3798</v>
      </c>
      <c r="F11" s="142">
        <v>2997</v>
      </c>
      <c r="G11" s="142">
        <v>2336</v>
      </c>
      <c r="H11" s="16"/>
      <c r="I11" s="16"/>
      <c r="J11" s="16"/>
      <c r="K11" s="142">
        <v>3798</v>
      </c>
      <c r="L11" s="142">
        <v>2997</v>
      </c>
      <c r="M11" s="142">
        <v>2336</v>
      </c>
      <c r="N11" s="16"/>
      <c r="O11" s="16"/>
      <c r="P11" s="16"/>
      <c r="Q11" s="142">
        <v>3798</v>
      </c>
      <c r="R11" s="142">
        <v>2997</v>
      </c>
      <c r="S11" s="142">
        <v>2336</v>
      </c>
      <c r="T11" s="16"/>
      <c r="U11" s="16"/>
      <c r="V11" s="16"/>
      <c r="W11" s="142">
        <v>3798</v>
      </c>
      <c r="X11" s="142">
        <v>2997</v>
      </c>
      <c r="Y11" s="143">
        <v>2336</v>
      </c>
      <c r="Z11" s="7"/>
      <c r="AA11" s="34" t="s">
        <v>1</v>
      </c>
      <c r="AB11" s="35">
        <f>E22</f>
        <v>1044.6</v>
      </c>
      <c r="AC11" s="36">
        <f>E31</f>
        <v>4.1784</v>
      </c>
      <c r="AD11" s="37">
        <f>E30</f>
        <v>0.7446363374907192</v>
      </c>
      <c r="AE11" s="7"/>
      <c r="AF11" s="7"/>
      <c r="AG11" s="10" t="s">
        <v>4</v>
      </c>
      <c r="AH11" s="10"/>
      <c r="AI11" s="10" t="s">
        <v>2</v>
      </c>
      <c r="AJ11" s="10" t="s">
        <v>4</v>
      </c>
      <c r="AK11" s="10" t="s">
        <v>4</v>
      </c>
      <c r="AO11" s="10" t="s">
        <v>4</v>
      </c>
      <c r="AP11" s="10"/>
      <c r="AQ11" s="10" t="s">
        <v>2</v>
      </c>
      <c r="AR11" s="10" t="s">
        <v>4</v>
      </c>
      <c r="AS11" s="10" t="s">
        <v>4</v>
      </c>
    </row>
    <row r="12" spans="1:45" ht="21" customHeight="1">
      <c r="A12" s="162" t="s">
        <v>50</v>
      </c>
      <c r="B12" s="14"/>
      <c r="C12" s="15"/>
      <c r="D12" s="16">
        <v>250</v>
      </c>
      <c r="E12" s="16">
        <v>250</v>
      </c>
      <c r="F12" s="16">
        <v>250</v>
      </c>
      <c r="G12" s="16">
        <v>250</v>
      </c>
      <c r="H12" s="16"/>
      <c r="I12" s="16"/>
      <c r="J12" s="16">
        <v>250</v>
      </c>
      <c r="K12" s="16">
        <v>250</v>
      </c>
      <c r="L12" s="16">
        <v>250</v>
      </c>
      <c r="M12" s="16">
        <v>250</v>
      </c>
      <c r="N12" s="16"/>
      <c r="O12" s="16"/>
      <c r="P12" s="16">
        <v>250</v>
      </c>
      <c r="Q12" s="16">
        <v>250</v>
      </c>
      <c r="R12" s="16">
        <v>250</v>
      </c>
      <c r="S12" s="16">
        <v>250</v>
      </c>
      <c r="T12" s="16"/>
      <c r="U12" s="16"/>
      <c r="V12" s="16">
        <v>250</v>
      </c>
      <c r="W12" s="16">
        <v>250</v>
      </c>
      <c r="X12" s="16">
        <v>250</v>
      </c>
      <c r="Y12" s="63">
        <v>250</v>
      </c>
      <c r="Z12" s="7"/>
      <c r="AA12" s="34" t="s">
        <v>7</v>
      </c>
      <c r="AB12" s="81">
        <f>F22</f>
        <v>884.4000000000001</v>
      </c>
      <c r="AC12" s="36">
        <f>F31</f>
        <v>3.5376000000000003</v>
      </c>
      <c r="AD12" s="37">
        <f>F30</f>
        <v>0.6550169661487766</v>
      </c>
      <c r="AE12" s="7"/>
      <c r="AF12" s="7"/>
      <c r="AG12" s="5">
        <v>150</v>
      </c>
      <c r="AH12" s="5">
        <v>1</v>
      </c>
      <c r="AI12" s="6">
        <v>0.15</v>
      </c>
      <c r="AJ12" s="4">
        <f>$AG$12*AI12</f>
        <v>22.5</v>
      </c>
      <c r="AK12" s="2">
        <f>AJ12</f>
        <v>22.5</v>
      </c>
      <c r="AO12" s="5">
        <v>150</v>
      </c>
      <c r="AP12" s="5">
        <v>1</v>
      </c>
      <c r="AQ12" s="6">
        <v>0.15</v>
      </c>
      <c r="AR12" s="4">
        <f>$AO$12*AQ12</f>
        <v>22.5</v>
      </c>
      <c r="AS12" s="2">
        <f>AR12</f>
        <v>22.5</v>
      </c>
    </row>
    <row r="13" spans="1:45" ht="21" customHeight="1">
      <c r="A13" s="162" t="s">
        <v>23</v>
      </c>
      <c r="B13" s="14"/>
      <c r="C13" s="15"/>
      <c r="D13" s="16">
        <v>130</v>
      </c>
      <c r="E13" s="16">
        <v>130</v>
      </c>
      <c r="F13" s="16">
        <v>130</v>
      </c>
      <c r="G13" s="16">
        <v>130</v>
      </c>
      <c r="H13" s="16"/>
      <c r="I13" s="17"/>
      <c r="J13" s="17"/>
      <c r="K13" s="16"/>
      <c r="L13" s="16"/>
      <c r="M13" s="16"/>
      <c r="N13" s="16"/>
      <c r="O13" s="17"/>
      <c r="P13" s="16"/>
      <c r="Q13" s="16"/>
      <c r="R13" s="16"/>
      <c r="S13" s="16"/>
      <c r="T13" s="16"/>
      <c r="U13" s="17"/>
      <c r="V13" s="16"/>
      <c r="W13" s="16"/>
      <c r="X13" s="16"/>
      <c r="Y13" s="63"/>
      <c r="Z13" s="7"/>
      <c r="AA13" s="34" t="s">
        <v>12</v>
      </c>
      <c r="AB13" s="81">
        <f>G22</f>
        <v>752.2</v>
      </c>
      <c r="AC13" s="36">
        <f>G31</f>
        <v>3.0088000000000004</v>
      </c>
      <c r="AD13" s="37">
        <f>G30</f>
        <v>0.5709027118207946</v>
      </c>
      <c r="AE13" s="7"/>
      <c r="AF13" s="7"/>
      <c r="AG13" s="3"/>
      <c r="AH13" s="5">
        <v>2</v>
      </c>
      <c r="AI13" s="6">
        <f>AI12*1.15</f>
        <v>0.1725</v>
      </c>
      <c r="AJ13" s="4">
        <f>$AG$12*AI13</f>
        <v>25.874999999999996</v>
      </c>
      <c r="AK13" s="2">
        <f>AK12+AJ13</f>
        <v>48.375</v>
      </c>
      <c r="AO13" s="3"/>
      <c r="AP13" s="5">
        <v>2</v>
      </c>
      <c r="AQ13" s="6">
        <f>AQ12*1.15</f>
        <v>0.1725</v>
      </c>
      <c r="AR13" s="4">
        <f>$AO$12*AQ13</f>
        <v>25.874999999999996</v>
      </c>
      <c r="AS13" s="2">
        <f>AS12+AR13</f>
        <v>48.375</v>
      </c>
    </row>
    <row r="14" spans="1:45" ht="21" customHeight="1">
      <c r="A14" s="162" t="s">
        <v>53</v>
      </c>
      <c r="B14" s="14"/>
      <c r="C14" s="15"/>
      <c r="D14" s="16">
        <f>(D12+D13)/0.8</f>
        <v>475</v>
      </c>
      <c r="E14" s="16">
        <f>(E12+E13)/0.8</f>
        <v>475</v>
      </c>
      <c r="F14" s="16">
        <f>(F12+F13)/0.8</f>
        <v>475</v>
      </c>
      <c r="G14" s="16">
        <f>(G12+G13)/0.8</f>
        <v>475</v>
      </c>
      <c r="H14" s="16"/>
      <c r="I14" s="17"/>
      <c r="J14" s="17"/>
      <c r="K14" s="16"/>
      <c r="L14" s="16"/>
      <c r="M14" s="16"/>
      <c r="N14" s="16"/>
      <c r="O14" s="17"/>
      <c r="P14" s="16">
        <v>250</v>
      </c>
      <c r="Q14" s="16">
        <v>250</v>
      </c>
      <c r="R14" s="16">
        <v>250</v>
      </c>
      <c r="S14" s="16">
        <v>250</v>
      </c>
      <c r="T14" s="16"/>
      <c r="U14" s="17"/>
      <c r="V14" s="16">
        <v>250</v>
      </c>
      <c r="W14" s="16">
        <v>250</v>
      </c>
      <c r="X14" s="16">
        <v>250</v>
      </c>
      <c r="Y14" s="63">
        <v>250</v>
      </c>
      <c r="Z14" s="7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51</v>
      </c>
      <c r="B15" s="14"/>
      <c r="C15" s="20">
        <v>0.2</v>
      </c>
      <c r="D15" s="16">
        <f>D14*0.2</f>
        <v>95</v>
      </c>
      <c r="E15" s="16">
        <f>E14*0.2</f>
        <v>95</v>
      </c>
      <c r="F15" s="16">
        <f>F14*0.2</f>
        <v>95</v>
      </c>
      <c r="G15" s="16">
        <f>G14*0.2</f>
        <v>95</v>
      </c>
      <c r="H15" s="16"/>
      <c r="I15" s="17"/>
      <c r="J15" s="22">
        <v>0.25</v>
      </c>
      <c r="K15" s="16"/>
      <c r="L15" s="16"/>
      <c r="M15" s="16"/>
      <c r="N15" s="16"/>
      <c r="O15" s="22">
        <v>0</v>
      </c>
      <c r="P15" s="16"/>
      <c r="Q15" s="16"/>
      <c r="R15" s="16"/>
      <c r="S15" s="16"/>
      <c r="T15" s="16"/>
      <c r="U15" s="22">
        <v>0</v>
      </c>
      <c r="V15" s="16"/>
      <c r="W15" s="16"/>
      <c r="X15" s="16"/>
      <c r="Y15" s="63"/>
      <c r="Z15" s="7"/>
      <c r="AA15" s="49" t="s">
        <v>20</v>
      </c>
      <c r="AB15" s="42"/>
      <c r="AC15" s="36"/>
      <c r="AD15" s="43"/>
      <c r="AE15" s="7"/>
      <c r="AF15" s="7"/>
      <c r="AG15" s="3"/>
      <c r="AH15" s="5"/>
      <c r="AI15" s="6"/>
      <c r="AJ15" s="4"/>
      <c r="AK15" s="2"/>
      <c r="AO15" s="3"/>
      <c r="AP15" s="5"/>
      <c r="AQ15" s="6"/>
      <c r="AR15" s="4"/>
      <c r="AS15" s="2"/>
    </row>
    <row r="16" spans="1:45" ht="21" customHeight="1">
      <c r="A16" s="162" t="s">
        <v>107</v>
      </c>
      <c r="B16" s="14"/>
      <c r="C16" s="15"/>
      <c r="D16" s="16">
        <f>D10-D14</f>
        <v>6880</v>
      </c>
      <c r="E16" s="16">
        <f>E11-E14</f>
        <v>3323</v>
      </c>
      <c r="F16" s="16">
        <f>F11-F14</f>
        <v>2522</v>
      </c>
      <c r="G16" s="16">
        <f>G11-G14</f>
        <v>1861</v>
      </c>
      <c r="H16" s="16"/>
      <c r="I16" s="18"/>
      <c r="J16" s="20"/>
      <c r="K16" s="16"/>
      <c r="L16" s="16"/>
      <c r="M16" s="16"/>
      <c r="N16" s="16"/>
      <c r="O16" s="18"/>
      <c r="P16" s="16">
        <f>P10-P12-P13</f>
        <v>7105</v>
      </c>
      <c r="Q16" s="16">
        <f>Q11-Q12-Q13</f>
        <v>3548</v>
      </c>
      <c r="R16" s="16">
        <f>R11-R12-R13</f>
        <v>2747</v>
      </c>
      <c r="S16" s="16">
        <f>S11-S12-S13</f>
        <v>2086</v>
      </c>
      <c r="T16" s="16"/>
      <c r="U16" s="18"/>
      <c r="V16" s="16">
        <f>V10-V12-V13</f>
        <v>7105</v>
      </c>
      <c r="W16" s="16">
        <f>W11-W12-W13</f>
        <v>3548</v>
      </c>
      <c r="X16" s="16">
        <f>X11-X12-X13</f>
        <v>2747</v>
      </c>
      <c r="Y16" s="63">
        <f>Y11-Y12-Y13</f>
        <v>2086</v>
      </c>
      <c r="Z16" s="7"/>
      <c r="AA16" s="34" t="s">
        <v>91</v>
      </c>
      <c r="AB16" s="81">
        <f>J22</f>
        <v>5516.25</v>
      </c>
      <c r="AC16" s="79">
        <f>J31</f>
        <v>22.065</v>
      </c>
      <c r="AD16" s="80">
        <f>P30</f>
        <v>1.939683173289973</v>
      </c>
      <c r="AE16" s="7"/>
      <c r="AF16" s="7"/>
      <c r="AG16" s="3"/>
      <c r="AH16" s="5">
        <v>3</v>
      </c>
      <c r="AI16" s="6">
        <f>AI13*1.15</f>
        <v>0.19837499999999997</v>
      </c>
      <c r="AJ16" s="4">
        <f>$AG$12*AI16</f>
        <v>29.756249999999994</v>
      </c>
      <c r="AK16" s="2">
        <f>AK13+AJ16</f>
        <v>78.13125</v>
      </c>
      <c r="AO16" s="3"/>
      <c r="AP16" s="5">
        <v>3</v>
      </c>
      <c r="AQ16" s="6">
        <f>AQ13*1.15</f>
        <v>0.19837499999999997</v>
      </c>
      <c r="AR16" s="4">
        <f>$AO$12*AQ16</f>
        <v>29.756249999999994</v>
      </c>
      <c r="AS16" s="2">
        <f>AS13+AR16</f>
        <v>78.13125</v>
      </c>
    </row>
    <row r="17" spans="1:45" ht="21" customHeight="1">
      <c r="A17" s="163" t="s">
        <v>24</v>
      </c>
      <c r="B17" s="19"/>
      <c r="C17" s="20" t="s">
        <v>55</v>
      </c>
      <c r="D17" s="16">
        <f>(D15-40)/2+40</f>
        <v>67.5</v>
      </c>
      <c r="E17" s="16">
        <f>(E15-40)/2+40</f>
        <v>67.5</v>
      </c>
      <c r="F17" s="16">
        <f>(F15-40)/2+40</f>
        <v>67.5</v>
      </c>
      <c r="G17" s="16">
        <f>(G15-40)/2+40</f>
        <v>67.5</v>
      </c>
      <c r="H17" s="16"/>
      <c r="I17" s="21"/>
      <c r="J17" s="22">
        <v>0.25</v>
      </c>
      <c r="K17" s="16"/>
      <c r="L17" s="16"/>
      <c r="M17" s="16"/>
      <c r="N17" s="16"/>
      <c r="O17" s="22" t="s">
        <v>47</v>
      </c>
      <c r="P17" s="16">
        <v>40</v>
      </c>
      <c r="Q17" s="16">
        <v>40</v>
      </c>
      <c r="R17" s="16">
        <v>40</v>
      </c>
      <c r="S17" s="16">
        <v>40</v>
      </c>
      <c r="T17" s="16"/>
      <c r="U17" s="22">
        <v>0</v>
      </c>
      <c r="V17" s="16"/>
      <c r="W17" s="16"/>
      <c r="X17" s="16"/>
      <c r="Y17" s="63"/>
      <c r="Z17" s="7"/>
      <c r="AA17" s="34" t="s">
        <v>1</v>
      </c>
      <c r="AB17" s="35">
        <f>K22</f>
        <v>2848.5</v>
      </c>
      <c r="AC17" s="36">
        <f>K31</f>
        <v>11.394</v>
      </c>
      <c r="AD17" s="37">
        <f>K30</f>
        <v>1.3068558969933117</v>
      </c>
      <c r="AE17" s="7"/>
      <c r="AF17" s="7"/>
      <c r="AG17" s="3"/>
      <c r="AH17" s="5">
        <v>4</v>
      </c>
      <c r="AI17" s="6">
        <f>AI16*1.15</f>
        <v>0.22813124999999995</v>
      </c>
      <c r="AJ17" s="4">
        <f>$AG$12*AI17</f>
        <v>34.21968749999999</v>
      </c>
      <c r="AK17" s="2">
        <f>AK16+AJ17</f>
        <v>112.35093749999999</v>
      </c>
      <c r="AO17" s="3"/>
      <c r="AP17" s="5">
        <v>4</v>
      </c>
      <c r="AQ17" s="6">
        <f>AQ16*1.15</f>
        <v>0.22813124999999995</v>
      </c>
      <c r="AR17" s="4">
        <f>$AO$12*AQ17</f>
        <v>34.21968749999999</v>
      </c>
      <c r="AS17" s="2">
        <f>AS16+AR17</f>
        <v>112.35093749999999</v>
      </c>
    </row>
    <row r="18" spans="1:33" ht="21" customHeight="1">
      <c r="A18" s="163" t="s">
        <v>35</v>
      </c>
      <c r="B18" s="19"/>
      <c r="C18" s="20">
        <v>0.8</v>
      </c>
      <c r="D18" s="16">
        <f>D16*0.8</f>
        <v>5504</v>
      </c>
      <c r="E18" s="16">
        <f>E16*0.8</f>
        <v>2658.4</v>
      </c>
      <c r="F18" s="16">
        <f>F16*0.8</f>
        <v>2017.6000000000001</v>
      </c>
      <c r="G18" s="16">
        <f>G16*0.8</f>
        <v>1488.8000000000002</v>
      </c>
      <c r="H18" s="16"/>
      <c r="I18" s="22"/>
      <c r="J18" s="21">
        <v>0.125</v>
      </c>
      <c r="K18" s="16"/>
      <c r="L18" s="16"/>
      <c r="M18" s="16"/>
      <c r="N18" s="16"/>
      <c r="O18" s="22">
        <v>0.25</v>
      </c>
      <c r="P18" s="16">
        <f>P16*0.25</f>
        <v>1776.25</v>
      </c>
      <c r="Q18" s="16">
        <f>Q16*0.25</f>
        <v>887</v>
      </c>
      <c r="R18" s="16">
        <f>R16*0.25</f>
        <v>686.75</v>
      </c>
      <c r="S18" s="16">
        <f>S16*0.25</f>
        <v>521.5</v>
      </c>
      <c r="T18" s="16"/>
      <c r="U18" s="22">
        <v>0.25</v>
      </c>
      <c r="V18" s="16">
        <f>V16*0.25</f>
        <v>1776.25</v>
      </c>
      <c r="W18" s="16">
        <f>W16*0.25</f>
        <v>887</v>
      </c>
      <c r="X18" s="16">
        <f>X16*0.25</f>
        <v>686.75</v>
      </c>
      <c r="Y18" s="63">
        <f>Y16*0.25</f>
        <v>521.5</v>
      </c>
      <c r="Z18" s="7"/>
      <c r="AA18" s="34" t="s">
        <v>7</v>
      </c>
      <c r="AB18" s="81">
        <f>L22</f>
        <v>2247.75</v>
      </c>
      <c r="AC18" s="36">
        <f>L31</f>
        <v>8.991</v>
      </c>
      <c r="AD18" s="37">
        <f>L30</f>
        <v>1.1369454621631117</v>
      </c>
      <c r="AE18" s="7"/>
      <c r="AF18" s="7"/>
      <c r="AG18" s="7"/>
    </row>
    <row r="19" spans="1:33" ht="21" customHeight="1">
      <c r="A19" s="163" t="s">
        <v>40</v>
      </c>
      <c r="B19" s="19"/>
      <c r="C19" s="20">
        <v>0.4</v>
      </c>
      <c r="D19" s="16">
        <f>D18/2</f>
        <v>2752</v>
      </c>
      <c r="E19" s="16">
        <f>E18/2</f>
        <v>1329.2</v>
      </c>
      <c r="F19" s="16">
        <f>F18/2</f>
        <v>1008.8000000000001</v>
      </c>
      <c r="G19" s="16">
        <f>G18/2</f>
        <v>744.4000000000001</v>
      </c>
      <c r="H19" s="16"/>
      <c r="I19" s="21"/>
      <c r="J19" s="21"/>
      <c r="K19" s="16"/>
      <c r="L19" s="16"/>
      <c r="M19" s="16"/>
      <c r="N19" s="16"/>
      <c r="O19" s="21">
        <v>0.125</v>
      </c>
      <c r="P19" s="16">
        <f>P18/2</f>
        <v>888.125</v>
      </c>
      <c r="Q19" s="16">
        <f>Q18/2</f>
        <v>443.5</v>
      </c>
      <c r="R19" s="16">
        <f>R18/2</f>
        <v>343.375</v>
      </c>
      <c r="S19" s="16">
        <f>S18/2</f>
        <v>260.75</v>
      </c>
      <c r="T19" s="16"/>
      <c r="U19" s="21">
        <v>0.125</v>
      </c>
      <c r="V19" s="16">
        <f>(V18-40)/2+40</f>
        <v>908.125</v>
      </c>
      <c r="W19" s="16">
        <f>(W18-40)/2+40</f>
        <v>463.5</v>
      </c>
      <c r="X19" s="16">
        <f>(X18-40)/2+40</f>
        <v>363.375</v>
      </c>
      <c r="Y19" s="63">
        <f>(Y18-40)/2+40</f>
        <v>280.75</v>
      </c>
      <c r="Z19" s="7"/>
      <c r="AA19" s="34" t="s">
        <v>12</v>
      </c>
      <c r="AB19" s="81">
        <f>M22</f>
        <v>1752</v>
      </c>
      <c r="AC19" s="36">
        <f>M31</f>
        <v>7.008</v>
      </c>
      <c r="AD19" s="37">
        <f>M30</f>
        <v>0.9715830288655654</v>
      </c>
      <c r="AE19" s="7"/>
      <c r="AF19" s="7"/>
      <c r="AG19" s="7"/>
    </row>
    <row r="20" spans="1:33" ht="21" customHeight="1" thickBot="1">
      <c r="A20" s="165" t="s">
        <v>25</v>
      </c>
      <c r="B20" s="15"/>
      <c r="C20" s="15"/>
      <c r="D20" s="16">
        <f>D19+D17</f>
        <v>2819.5</v>
      </c>
      <c r="E20" s="16">
        <f>E19+E17</f>
        <v>1396.7</v>
      </c>
      <c r="F20" s="16">
        <f>F19+F17</f>
        <v>1076.3000000000002</v>
      </c>
      <c r="G20" s="16">
        <f>G19+G17</f>
        <v>811.9000000000001</v>
      </c>
      <c r="H20" s="16"/>
      <c r="I20" s="16"/>
      <c r="J20" s="16">
        <f>J10*0.125+40/2</f>
        <v>939.375</v>
      </c>
      <c r="K20" s="16">
        <f>K11*0.125+40/2</f>
        <v>494.75</v>
      </c>
      <c r="L20" s="16">
        <f>L11*0.125+40/2</f>
        <v>394.625</v>
      </c>
      <c r="M20" s="16">
        <f>M11*0.125+40/2</f>
        <v>312</v>
      </c>
      <c r="N20" s="16"/>
      <c r="O20" s="16"/>
      <c r="P20" s="16">
        <f>P17+P19</f>
        <v>928.125</v>
      </c>
      <c r="Q20" s="16">
        <f>Q17+Q19</f>
        <v>483.5</v>
      </c>
      <c r="R20" s="16">
        <f>R17+R19</f>
        <v>383.375</v>
      </c>
      <c r="S20" s="16">
        <f>S17+S19</f>
        <v>300.75</v>
      </c>
      <c r="T20" s="16"/>
      <c r="U20" s="16"/>
      <c r="V20" s="16">
        <f>V19</f>
        <v>908.125</v>
      </c>
      <c r="W20" s="16">
        <f>W19</f>
        <v>463.5</v>
      </c>
      <c r="X20" s="16">
        <f>X19</f>
        <v>363.375</v>
      </c>
      <c r="Y20" s="63">
        <f>Y19</f>
        <v>280.75</v>
      </c>
      <c r="Z20" s="7"/>
      <c r="AA20" s="44"/>
      <c r="AB20" s="45"/>
      <c r="AC20" s="46"/>
      <c r="AD20" s="47"/>
      <c r="AE20" s="7"/>
      <c r="AF20" s="7"/>
      <c r="AG20" s="7"/>
    </row>
    <row r="21" spans="1:33" ht="21" customHeight="1" thickTop="1">
      <c r="A21" s="165" t="s">
        <v>68</v>
      </c>
      <c r="B21" s="15"/>
      <c r="C21" s="15"/>
      <c r="D21" s="16">
        <f>D19+(D15-D17)</f>
        <v>2779.5</v>
      </c>
      <c r="E21" s="16">
        <f>E19+(E15-E17)</f>
        <v>1356.7</v>
      </c>
      <c r="F21" s="16">
        <f>F19+(F15-F17)</f>
        <v>1036.3000000000002</v>
      </c>
      <c r="G21" s="16">
        <f>G19+(G15-G17)</f>
        <v>771.9000000000001</v>
      </c>
      <c r="H21" s="23"/>
      <c r="I21" s="23"/>
      <c r="J21" s="16">
        <f>J10*0.125-40/2</f>
        <v>899.375</v>
      </c>
      <c r="K21" s="16">
        <f>K11*0.125-40/2</f>
        <v>454.75</v>
      </c>
      <c r="L21" s="16">
        <f>L11*0.125-40/2</f>
        <v>354.625</v>
      </c>
      <c r="M21" s="16">
        <f>M11*0.125-40/2</f>
        <v>272</v>
      </c>
      <c r="N21" s="23"/>
      <c r="O21" s="23"/>
      <c r="P21" s="16">
        <f>P18*0.5</f>
        <v>888.125</v>
      </c>
      <c r="Q21" s="16">
        <f>Q18*0.5</f>
        <v>443.5</v>
      </c>
      <c r="R21" s="16">
        <f>R18*0.5</f>
        <v>343.375</v>
      </c>
      <c r="S21" s="16">
        <f>S18*0.5</f>
        <v>260.75</v>
      </c>
      <c r="T21" s="23"/>
      <c r="U21" s="23"/>
      <c r="V21" s="16">
        <f>(V18-40)/2</f>
        <v>868.125</v>
      </c>
      <c r="W21" s="16">
        <f>(W18-40)/2</f>
        <v>423.5</v>
      </c>
      <c r="X21" s="16">
        <f>(X18-40)/2</f>
        <v>323.375</v>
      </c>
      <c r="Y21" s="63">
        <f>(Y18-40)/2</f>
        <v>240.75</v>
      </c>
      <c r="Z21" s="7"/>
      <c r="AA21" s="50" t="s">
        <v>41</v>
      </c>
      <c r="AB21" s="42"/>
      <c r="AC21" s="36"/>
      <c r="AD21" s="43"/>
      <c r="AE21" s="7"/>
      <c r="AF21" s="7"/>
      <c r="AG21" s="7"/>
    </row>
    <row r="22" spans="1:33" ht="21" customHeight="1">
      <c r="A22" s="164" t="s">
        <v>69</v>
      </c>
      <c r="B22" s="15"/>
      <c r="C22" s="15"/>
      <c r="D22" s="23">
        <f>D12+D13+(D16*0.2)</f>
        <v>1756</v>
      </c>
      <c r="E22" s="23">
        <f>E12+E13+(E16*0.2)</f>
        <v>1044.6</v>
      </c>
      <c r="F22" s="23">
        <f>F12+F13+(F16*0.2)</f>
        <v>884.4000000000001</v>
      </c>
      <c r="G22" s="23">
        <f>G12+G13+(G16*0.2)</f>
        <v>752.2</v>
      </c>
      <c r="H22" s="23"/>
      <c r="I22" s="23"/>
      <c r="J22" s="23">
        <f>0.75*J10</f>
        <v>5516.25</v>
      </c>
      <c r="K22" s="23">
        <f>0.75*K11</f>
        <v>2848.5</v>
      </c>
      <c r="L22" s="23">
        <f>0.75*L11</f>
        <v>2247.75</v>
      </c>
      <c r="M22" s="23">
        <f>0.75*M11</f>
        <v>1752</v>
      </c>
      <c r="N22" s="23"/>
      <c r="O22" s="23"/>
      <c r="P22" s="23">
        <f>P12+(P16*0.75)-40</f>
        <v>5538.75</v>
      </c>
      <c r="Q22" s="23">
        <f>Q12+(Q16*0.75)-40</f>
        <v>2871</v>
      </c>
      <c r="R22" s="23">
        <f>R12+(R16*0.75)-40</f>
        <v>2270.25</v>
      </c>
      <c r="S22" s="23">
        <f>S12+(S16*0.75)-40</f>
        <v>1774.5</v>
      </c>
      <c r="T22" s="23"/>
      <c r="U22" s="23"/>
      <c r="V22" s="23">
        <f>V12+(V16*0.75)</f>
        <v>5578.75</v>
      </c>
      <c r="W22" s="23">
        <f>W12+(W16*0.75)</f>
        <v>2911</v>
      </c>
      <c r="X22" s="23">
        <f>X12+(X16*0.75)</f>
        <v>2310.25</v>
      </c>
      <c r="Y22" s="64">
        <f>Y12+(Y16*0.75)</f>
        <v>1814.5</v>
      </c>
      <c r="Z22" s="7"/>
      <c r="AA22" s="34" t="s">
        <v>91</v>
      </c>
      <c r="AB22" s="81">
        <f>P22</f>
        <v>5538.75</v>
      </c>
      <c r="AC22" s="79">
        <f>P31</f>
        <v>22.155</v>
      </c>
      <c r="AD22" s="80">
        <f>P30</f>
        <v>1.939683173289973</v>
      </c>
      <c r="AE22" s="7"/>
      <c r="AF22" s="7"/>
      <c r="AG22" s="7"/>
    </row>
    <row r="23" spans="1:33" ht="21" customHeight="1">
      <c r="A23" s="165" t="s">
        <v>32</v>
      </c>
      <c r="B23" s="15"/>
      <c r="C23" s="15"/>
      <c r="D23" s="16">
        <f>SUM(D20:D22)</f>
        <v>7355</v>
      </c>
      <c r="E23" s="16">
        <f>SUM(E20:E22)</f>
        <v>3798</v>
      </c>
      <c r="F23" s="16">
        <f>SUM(F20:F22)</f>
        <v>2997.0000000000005</v>
      </c>
      <c r="G23" s="16">
        <f>SUM(G20:G22)</f>
        <v>2336</v>
      </c>
      <c r="H23" s="23"/>
      <c r="I23" s="23"/>
      <c r="J23" s="16">
        <f>SUM(J20:J22)</f>
        <v>7355</v>
      </c>
      <c r="K23" s="16">
        <f>SUM(K20:K22)</f>
        <v>3798</v>
      </c>
      <c r="L23" s="16">
        <f>SUM(L20:L22)</f>
        <v>2997</v>
      </c>
      <c r="M23" s="16">
        <f>SUM(M20:M22)</f>
        <v>2336</v>
      </c>
      <c r="N23" s="23"/>
      <c r="O23" s="23"/>
      <c r="P23" s="16">
        <f>SUM(P20:P22)</f>
        <v>7355</v>
      </c>
      <c r="Q23" s="16">
        <f>SUM(Q20:Q22)</f>
        <v>3798</v>
      </c>
      <c r="R23" s="16">
        <f>SUM(R20:R22)</f>
        <v>2997</v>
      </c>
      <c r="S23" s="16">
        <f>SUM(S20:S22)</f>
        <v>2336</v>
      </c>
      <c r="T23" s="23"/>
      <c r="U23" s="23"/>
      <c r="V23" s="16">
        <f>SUM(V20:V22)</f>
        <v>7355</v>
      </c>
      <c r="W23" s="16">
        <f>SUM(W20:W22)</f>
        <v>3798</v>
      </c>
      <c r="X23" s="16">
        <f>SUM(X20:X22)</f>
        <v>2997</v>
      </c>
      <c r="Y23" s="63">
        <f>SUM(Y20:Y22)</f>
        <v>2336</v>
      </c>
      <c r="Z23" s="7"/>
      <c r="AA23" s="34" t="s">
        <v>1</v>
      </c>
      <c r="AB23" s="35">
        <f>Q22</f>
        <v>2871</v>
      </c>
      <c r="AC23" s="36">
        <f>Q31</f>
        <v>11.484</v>
      </c>
      <c r="AD23" s="37">
        <f>Q30</f>
        <v>1.4003203627689529</v>
      </c>
      <c r="AE23" s="7"/>
      <c r="AF23" s="7"/>
      <c r="AG23" s="7"/>
    </row>
    <row r="24" spans="1:33" ht="21" customHeight="1">
      <c r="A24" s="162" t="s">
        <v>22</v>
      </c>
      <c r="B24" s="24" t="s">
        <v>16</v>
      </c>
      <c r="C24" s="15"/>
      <c r="D24" s="15"/>
      <c r="E24" s="15"/>
      <c r="F24" s="15"/>
      <c r="G24" s="15"/>
      <c r="H24" s="15"/>
      <c r="I24" s="25"/>
      <c r="J24" s="15"/>
      <c r="K24" s="15"/>
      <c r="L24" s="15"/>
      <c r="M24" s="15"/>
      <c r="N24" s="15"/>
      <c r="O24" s="25"/>
      <c r="P24" s="15"/>
      <c r="Q24" s="15"/>
      <c r="R24" s="15"/>
      <c r="S24" s="15"/>
      <c r="T24" s="15"/>
      <c r="U24" s="25"/>
      <c r="V24" s="15"/>
      <c r="W24" s="15"/>
      <c r="X24" s="15"/>
      <c r="Y24" s="65"/>
      <c r="Z24" s="7"/>
      <c r="AA24" s="34" t="s">
        <v>7</v>
      </c>
      <c r="AB24" s="81">
        <f>R22</f>
        <v>2270.25</v>
      </c>
      <c r="AC24" s="36">
        <f>R31</f>
        <v>9.081</v>
      </c>
      <c r="AD24" s="37">
        <f>R30</f>
        <v>1.2338947920594383</v>
      </c>
      <c r="AE24" s="7"/>
      <c r="AF24" s="7"/>
      <c r="AG24" s="7"/>
    </row>
    <row r="25" spans="1:33" ht="21" customHeight="1">
      <c r="A25" s="126" t="s">
        <v>15</v>
      </c>
      <c r="B25" s="24">
        <v>1</v>
      </c>
      <c r="C25" s="24"/>
      <c r="D25" s="15">
        <v>-250</v>
      </c>
      <c r="E25" s="15">
        <v>-250</v>
      </c>
      <c r="F25" s="15">
        <v>-250</v>
      </c>
      <c r="G25" s="15">
        <v>-250</v>
      </c>
      <c r="H25" s="15"/>
      <c r="I25" s="15"/>
      <c r="J25" s="15">
        <v>-250</v>
      </c>
      <c r="K25" s="15">
        <v>-250</v>
      </c>
      <c r="L25" s="15">
        <v>-250</v>
      </c>
      <c r="M25" s="15">
        <v>-250</v>
      </c>
      <c r="N25" s="15"/>
      <c r="O25" s="15"/>
      <c r="P25" s="15">
        <v>-250</v>
      </c>
      <c r="Q25" s="15">
        <v>-250</v>
      </c>
      <c r="R25" s="15">
        <v>-250</v>
      </c>
      <c r="S25" s="15">
        <v>-250</v>
      </c>
      <c r="T25" s="15"/>
      <c r="U25" s="15"/>
      <c r="V25" s="15">
        <v>-250</v>
      </c>
      <c r="W25" s="15">
        <v>-250</v>
      </c>
      <c r="X25" s="15">
        <v>-250</v>
      </c>
      <c r="Y25" s="65">
        <v>-250</v>
      </c>
      <c r="Z25" s="7"/>
      <c r="AA25" s="34" t="s">
        <v>12</v>
      </c>
      <c r="AB25" s="81">
        <f>S22</f>
        <v>1774.5</v>
      </c>
      <c r="AC25" s="36">
        <f>S31</f>
        <v>7.098</v>
      </c>
      <c r="AD25" s="37">
        <f>S30</f>
        <v>1.0718324410904034</v>
      </c>
      <c r="AE25" s="7"/>
      <c r="AF25" s="7"/>
      <c r="AG25" s="7"/>
    </row>
    <row r="26" spans="1:33" ht="21" customHeight="1" thickBot="1">
      <c r="A26" s="126"/>
      <c r="B26" s="24">
        <v>2</v>
      </c>
      <c r="C26" s="24"/>
      <c r="D26" s="15">
        <v>0</v>
      </c>
      <c r="E26" s="15">
        <v>0</v>
      </c>
      <c r="F26" s="15">
        <v>0</v>
      </c>
      <c r="G26" s="15">
        <v>0</v>
      </c>
      <c r="H26" s="15"/>
      <c r="I26" s="25"/>
      <c r="J26" s="15">
        <v>0</v>
      </c>
      <c r="K26" s="15">
        <v>0</v>
      </c>
      <c r="L26" s="15">
        <v>0</v>
      </c>
      <c r="M26" s="15">
        <v>0</v>
      </c>
      <c r="N26" s="15"/>
      <c r="O26" s="15"/>
      <c r="P26" s="15">
        <v>0</v>
      </c>
      <c r="Q26" s="15">
        <v>0</v>
      </c>
      <c r="R26" s="15">
        <v>0</v>
      </c>
      <c r="S26" s="15">
        <v>0</v>
      </c>
      <c r="T26" s="15"/>
      <c r="U26" s="15"/>
      <c r="V26" s="15">
        <v>0</v>
      </c>
      <c r="W26" s="15">
        <v>0</v>
      </c>
      <c r="X26" s="15">
        <v>0</v>
      </c>
      <c r="Y26" s="65">
        <v>0</v>
      </c>
      <c r="Z26" s="7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3</v>
      </c>
      <c r="C27" s="24"/>
      <c r="D27" s="16">
        <f>D12+D13</f>
        <v>380</v>
      </c>
      <c r="E27" s="16">
        <f>E12+E13</f>
        <v>380</v>
      </c>
      <c r="F27" s="16">
        <f>F12+F13</f>
        <v>380</v>
      </c>
      <c r="G27" s="16">
        <f>G12+G13</f>
        <v>380</v>
      </c>
      <c r="H27" s="16"/>
      <c r="I27" s="15"/>
      <c r="J27" s="16">
        <f>(475-250)*0.75</f>
        <v>168.75</v>
      </c>
      <c r="K27" s="16">
        <f>(475-250)*0.75</f>
        <v>168.75</v>
      </c>
      <c r="L27" s="16">
        <f>(475-250)*0.75</f>
        <v>168.75</v>
      </c>
      <c r="M27" s="16">
        <f>(475-250)*0.75</f>
        <v>168.75</v>
      </c>
      <c r="N27" s="15"/>
      <c r="O27" s="15"/>
      <c r="P27" s="16">
        <f>(475-250)*0.75+250</f>
        <v>418.75</v>
      </c>
      <c r="Q27" s="16">
        <f>(475-250)*0.75+250</f>
        <v>418.75</v>
      </c>
      <c r="R27" s="16">
        <f>(475-250)*0.75+250</f>
        <v>418.75</v>
      </c>
      <c r="S27" s="16">
        <f>(475-250)*0.75+250</f>
        <v>418.75</v>
      </c>
      <c r="T27" s="15"/>
      <c r="U27" s="15"/>
      <c r="V27" s="16">
        <f>(475-250)*0.75+250</f>
        <v>418.75</v>
      </c>
      <c r="W27" s="16">
        <f>(475-250)*0.75+250</f>
        <v>418.75</v>
      </c>
      <c r="X27" s="16">
        <f>(475-250)*0.75+250</f>
        <v>418.75</v>
      </c>
      <c r="Y27" s="63">
        <f>(475-250)*0.75+250</f>
        <v>418.75</v>
      </c>
      <c r="Z27" s="7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24">
        <v>4</v>
      </c>
      <c r="C28" s="24"/>
      <c r="D28" s="16">
        <f>D22-D27</f>
        <v>1376</v>
      </c>
      <c r="E28" s="16">
        <f>E22-E27</f>
        <v>664.5999999999999</v>
      </c>
      <c r="F28" s="16">
        <f>F22-F27</f>
        <v>504.4000000000001</v>
      </c>
      <c r="G28" s="16">
        <f>G22-G27</f>
        <v>372.20000000000005</v>
      </c>
      <c r="H28" s="16"/>
      <c r="I28" s="25"/>
      <c r="J28" s="16">
        <f>J22-J27</f>
        <v>5347.5</v>
      </c>
      <c r="K28" s="16">
        <f>K22-K27</f>
        <v>2679.75</v>
      </c>
      <c r="L28" s="16">
        <f>L22-L27</f>
        <v>2079</v>
      </c>
      <c r="M28" s="16">
        <f>M22-M27</f>
        <v>1583.25</v>
      </c>
      <c r="N28" s="16"/>
      <c r="O28" s="25"/>
      <c r="P28" s="16">
        <f>P22-P27</f>
        <v>5120</v>
      </c>
      <c r="Q28" s="16">
        <f>Q22-Q27</f>
        <v>2452.25</v>
      </c>
      <c r="R28" s="16">
        <f>R22-R27</f>
        <v>1851.5</v>
      </c>
      <c r="S28" s="16">
        <f>S22-S27</f>
        <v>1355.75</v>
      </c>
      <c r="T28" s="16"/>
      <c r="U28" s="25"/>
      <c r="V28" s="16">
        <f>V22-V27</f>
        <v>5160</v>
      </c>
      <c r="W28" s="16">
        <f>W22-W27</f>
        <v>2492.25</v>
      </c>
      <c r="X28" s="16">
        <f>X22-X27</f>
        <v>1891.5</v>
      </c>
      <c r="Y28" s="63">
        <f>Y22-Y27</f>
        <v>1395.75</v>
      </c>
      <c r="Z28" s="7"/>
      <c r="AA28" s="34" t="s">
        <v>91</v>
      </c>
      <c r="AB28" s="81">
        <f>V22</f>
        <v>5578.75</v>
      </c>
      <c r="AC28" s="79">
        <f>V31</f>
        <v>22.315</v>
      </c>
      <c r="AD28" s="80">
        <f>V30</f>
        <v>1.9462652864642327</v>
      </c>
      <c r="AE28" s="7"/>
      <c r="AF28" s="7"/>
      <c r="AG28" s="7"/>
    </row>
    <row r="29" spans="1:33" ht="21" customHeight="1">
      <c r="A29" s="126"/>
      <c r="B29" s="15"/>
      <c r="C29" s="15"/>
      <c r="D29" s="15"/>
      <c r="E29" s="15"/>
      <c r="F29" s="15"/>
      <c r="G29" s="15"/>
      <c r="H29" s="15"/>
      <c r="I29" s="25"/>
      <c r="J29" s="20"/>
      <c r="K29" s="20"/>
      <c r="L29" s="20"/>
      <c r="M29" s="15"/>
      <c r="N29" s="15"/>
      <c r="O29" s="25"/>
      <c r="P29" s="20"/>
      <c r="Q29" s="20"/>
      <c r="R29" s="20"/>
      <c r="S29" s="15"/>
      <c r="T29" s="15"/>
      <c r="U29" s="25"/>
      <c r="V29" s="20"/>
      <c r="W29" s="20"/>
      <c r="X29" s="20"/>
      <c r="Y29" s="65"/>
      <c r="Z29" s="7"/>
      <c r="AA29" s="34" t="s">
        <v>1</v>
      </c>
      <c r="AB29" s="35">
        <f>W22</f>
        <v>2911</v>
      </c>
      <c r="AC29" s="36">
        <f>W31</f>
        <v>11.644</v>
      </c>
      <c r="AD29" s="37">
        <f>W30</f>
        <v>1.41052237413514</v>
      </c>
      <c r="AE29" s="7"/>
      <c r="AF29" s="7"/>
      <c r="AG29" s="7"/>
    </row>
    <row r="30" spans="1:33" ht="21" customHeight="1">
      <c r="A30" s="126" t="s">
        <v>56</v>
      </c>
      <c r="B30" s="15"/>
      <c r="C30" s="15"/>
      <c r="D30" s="75">
        <f>IRR(D25:D28)</f>
        <v>1.0504395771420492</v>
      </c>
      <c r="E30" s="75">
        <f>IRR(E25:E28)</f>
        <v>0.7446363374907192</v>
      </c>
      <c r="F30" s="75">
        <f aca="true" t="shared" si="0" ref="F30:S30">IRR(F25:F28)</f>
        <v>0.6550169661487766</v>
      </c>
      <c r="G30" s="75">
        <f t="shared" si="0"/>
        <v>0.5709027118207946</v>
      </c>
      <c r="H30" s="75"/>
      <c r="I30" s="75"/>
      <c r="J30" s="75">
        <f>IRR(J25:J28)</f>
        <v>1.8569310511581962</v>
      </c>
      <c r="K30" s="75">
        <f t="shared" si="0"/>
        <v>1.3068558969933117</v>
      </c>
      <c r="L30" s="75">
        <f t="shared" si="0"/>
        <v>1.1369454621631117</v>
      </c>
      <c r="M30" s="75">
        <f t="shared" si="0"/>
        <v>0.9715830288655654</v>
      </c>
      <c r="N30" s="75"/>
      <c r="O30" s="75"/>
      <c r="P30" s="75">
        <f>IRR(P25:P28)</f>
        <v>1.939683173289973</v>
      </c>
      <c r="Q30" s="75">
        <f t="shared" si="0"/>
        <v>1.4003203627689529</v>
      </c>
      <c r="R30" s="75">
        <f t="shared" si="0"/>
        <v>1.2338947920594383</v>
      </c>
      <c r="S30" s="75">
        <f t="shared" si="0"/>
        <v>1.0718324410904034</v>
      </c>
      <c r="T30" s="75"/>
      <c r="U30" s="75"/>
      <c r="V30" s="75">
        <f>IRR(V25:V28)</f>
        <v>1.9462652864642327</v>
      </c>
      <c r="W30" s="75">
        <f>IRR(W25:W28)</f>
        <v>1.41052237413514</v>
      </c>
      <c r="X30" s="75">
        <f>IRR(X25:X28)</f>
        <v>1.2458563682350725</v>
      </c>
      <c r="Y30" s="76">
        <f>IRR(Y25:Y28)</f>
        <v>1.0860033345024633</v>
      </c>
      <c r="Z30" s="7"/>
      <c r="AA30" s="34" t="s">
        <v>7</v>
      </c>
      <c r="AB30" s="81">
        <f>X22</f>
        <v>2310.25</v>
      </c>
      <c r="AC30" s="36">
        <f>X31</f>
        <v>9.241</v>
      </c>
      <c r="AD30" s="37">
        <f>X30</f>
        <v>1.2458563682350725</v>
      </c>
      <c r="AE30" s="7"/>
      <c r="AF30" s="7"/>
      <c r="AG30" s="7"/>
    </row>
    <row r="31" spans="1:33" ht="21" customHeight="1">
      <c r="A31" s="126" t="s">
        <v>57</v>
      </c>
      <c r="B31" s="15"/>
      <c r="C31" s="15"/>
      <c r="D31" s="77">
        <f>-D22/D25</f>
        <v>7.024</v>
      </c>
      <c r="E31" s="77">
        <f>-E22/E25</f>
        <v>4.1784</v>
      </c>
      <c r="F31" s="77">
        <f>-F22/F25</f>
        <v>3.5376000000000003</v>
      </c>
      <c r="G31" s="77">
        <f>-G22/G25</f>
        <v>3.0088000000000004</v>
      </c>
      <c r="H31" s="77"/>
      <c r="I31" s="77"/>
      <c r="J31" s="77">
        <f>-J22/J25</f>
        <v>22.065</v>
      </c>
      <c r="K31" s="77">
        <f>-K22/K25</f>
        <v>11.394</v>
      </c>
      <c r="L31" s="77">
        <f>-L22/L25</f>
        <v>8.991</v>
      </c>
      <c r="M31" s="77">
        <f>-M22/M25</f>
        <v>7.008</v>
      </c>
      <c r="N31" s="77"/>
      <c r="O31" s="77"/>
      <c r="P31" s="77">
        <f>-P22/P25</f>
        <v>22.155</v>
      </c>
      <c r="Q31" s="77">
        <f>-Q22/Q25</f>
        <v>11.484</v>
      </c>
      <c r="R31" s="77">
        <f>-R22/R25</f>
        <v>9.081</v>
      </c>
      <c r="S31" s="77">
        <f>-S22/S25</f>
        <v>7.098</v>
      </c>
      <c r="T31" s="77"/>
      <c r="U31" s="77"/>
      <c r="V31" s="77">
        <f>-V22/V25</f>
        <v>22.315</v>
      </c>
      <c r="W31" s="77">
        <f>-W22/W25</f>
        <v>11.644</v>
      </c>
      <c r="X31" s="77">
        <f>-X22/X25</f>
        <v>9.241</v>
      </c>
      <c r="Y31" s="78">
        <f>-Y22/Y25</f>
        <v>7.258</v>
      </c>
      <c r="Z31" s="7"/>
      <c r="AA31" s="34" t="s">
        <v>12</v>
      </c>
      <c r="AB31" s="81">
        <f>Y22</f>
        <v>1814.5</v>
      </c>
      <c r="AC31" s="36">
        <f>Y31</f>
        <v>7.258</v>
      </c>
      <c r="AD31" s="37">
        <f>Y30</f>
        <v>1.0860033345024633</v>
      </c>
      <c r="AE31" s="7"/>
      <c r="AF31" s="7"/>
      <c r="AG31" s="7"/>
    </row>
    <row r="32" spans="1:33" ht="21" customHeight="1" thickBot="1">
      <c r="A32" s="1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7"/>
      <c r="AA32" s="56"/>
      <c r="AB32" s="57"/>
      <c r="AC32" s="58"/>
      <c r="AD32" s="59"/>
      <c r="AE32" s="7"/>
      <c r="AF32" s="7"/>
      <c r="AG32" s="7"/>
    </row>
    <row r="33" spans="1:33" ht="21" customHeight="1" thickBot="1">
      <c r="A33" s="122" t="s">
        <v>98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7"/>
      <c r="Z33" s="7"/>
      <c r="AE33" s="7"/>
      <c r="AF33" s="7"/>
      <c r="AG33" s="7"/>
    </row>
    <row r="34" spans="1:33" ht="21" customHeight="1" thickBot="1">
      <c r="A34" s="167" t="s">
        <v>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/>
      <c r="Z34" s="7"/>
      <c r="AE34" s="7"/>
      <c r="AF34" s="7"/>
      <c r="AG34" s="7"/>
    </row>
    <row r="35" spans="1:33" ht="21" customHeight="1" thickBot="1">
      <c r="A35" s="56" t="s">
        <v>49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7"/>
      <c r="AE35" s="11"/>
      <c r="AF35" s="11"/>
      <c r="AG35" s="11"/>
    </row>
    <row r="36" ht="21" customHeight="1"/>
    <row r="37" spans="1:13" ht="21" customHeight="1">
      <c r="A37" s="51"/>
      <c r="B37" s="51"/>
      <c r="C37" s="53"/>
      <c r="D37" s="53"/>
      <c r="E37" s="53"/>
      <c r="F37" s="53"/>
      <c r="G37" s="53"/>
      <c r="H37" s="53"/>
      <c r="I37" s="327" t="s">
        <v>36</v>
      </c>
      <c r="J37" s="327"/>
      <c r="K37" s="327"/>
      <c r="L37" s="327"/>
      <c r="M37" s="327"/>
    </row>
    <row r="38" spans="1:13" ht="21" customHeight="1">
      <c r="A38" s="51"/>
      <c r="B38" s="51"/>
      <c r="C38" s="54" t="s">
        <v>27</v>
      </c>
      <c r="D38" s="54"/>
      <c r="E38" s="54" t="s">
        <v>31</v>
      </c>
      <c r="F38" s="54" t="s">
        <v>33</v>
      </c>
      <c r="G38" s="54" t="s">
        <v>34</v>
      </c>
      <c r="H38" s="54"/>
      <c r="I38" s="54" t="s">
        <v>37</v>
      </c>
      <c r="J38" s="54"/>
      <c r="K38" s="54" t="s">
        <v>38</v>
      </c>
      <c r="L38" s="54" t="s">
        <v>39</v>
      </c>
      <c r="M38" s="54" t="s">
        <v>32</v>
      </c>
    </row>
    <row r="39" spans="1:13" ht="21" customHeight="1">
      <c r="A39" s="51" t="s">
        <v>28</v>
      </c>
      <c r="B39" s="51"/>
      <c r="C39" s="51">
        <v>45.5</v>
      </c>
      <c r="D39" s="51"/>
      <c r="E39" s="51">
        <v>1181</v>
      </c>
      <c r="F39" s="51">
        <v>821</v>
      </c>
      <c r="G39" s="51">
        <v>597</v>
      </c>
      <c r="H39" s="51"/>
      <c r="I39" s="51">
        <v>0</v>
      </c>
      <c r="J39" s="51"/>
      <c r="K39" s="51">
        <v>5.32</v>
      </c>
      <c r="L39" s="51">
        <v>0</v>
      </c>
      <c r="M39" s="51">
        <f>SUM(I39:L39)</f>
        <v>5.32</v>
      </c>
    </row>
    <row r="40" spans="1:13" ht="21" customHeight="1">
      <c r="A40" s="51" t="s">
        <v>30</v>
      </c>
      <c r="B40" s="51"/>
      <c r="C40" s="51">
        <v>80</v>
      </c>
      <c r="D40" s="51"/>
      <c r="E40" s="51">
        <v>539</v>
      </c>
      <c r="F40" s="51">
        <v>413</v>
      </c>
      <c r="G40" s="51">
        <v>324</v>
      </c>
      <c r="H40" s="51"/>
      <c r="I40" s="51">
        <v>3.75</v>
      </c>
      <c r="J40" s="51"/>
      <c r="K40" s="51">
        <v>6.59</v>
      </c>
      <c r="L40" s="51">
        <v>2.5</v>
      </c>
      <c r="M40" s="51">
        <f>SUM(I40:L40)</f>
        <v>12.84</v>
      </c>
    </row>
    <row r="41" spans="1:13" ht="21" customHeight="1">
      <c r="A41" s="51" t="s">
        <v>29</v>
      </c>
      <c r="B41" s="51"/>
      <c r="C41" s="55">
        <v>25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21" customHeight="1">
      <c r="A42" s="52" t="s">
        <v>32</v>
      </c>
      <c r="B42" s="51"/>
      <c r="C42" s="51">
        <f>SUM(C39:C41)</f>
        <v>150.5</v>
      </c>
      <c r="D42" s="51"/>
      <c r="E42" s="51">
        <f>SUM(E39:E41)</f>
        <v>1720</v>
      </c>
      <c r="F42" s="51">
        <f>SUM(F39:F41)</f>
        <v>1234</v>
      </c>
      <c r="G42" s="51">
        <f>SUM(G39:G41)</f>
        <v>921</v>
      </c>
      <c r="H42" s="51"/>
      <c r="I42" s="51">
        <f>SUM(I39:I41)</f>
        <v>3.75</v>
      </c>
      <c r="J42" s="51"/>
      <c r="K42" s="51">
        <f>SUM(K39:K41)</f>
        <v>11.91</v>
      </c>
      <c r="L42" s="51">
        <f>SUM(L39:L41)</f>
        <v>2.5</v>
      </c>
      <c r="M42" s="51">
        <f>SUM(M39:M41)</f>
        <v>18.16</v>
      </c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15">
    <mergeCell ref="I37:M37"/>
    <mergeCell ref="C6:G6"/>
    <mergeCell ref="I6:M6"/>
    <mergeCell ref="O6:S6"/>
    <mergeCell ref="U6:Y6"/>
    <mergeCell ref="A1:Y1"/>
    <mergeCell ref="A2:Y2"/>
    <mergeCell ref="A3:Y3"/>
    <mergeCell ref="A4:Y4"/>
    <mergeCell ref="AA4:AD4"/>
    <mergeCell ref="C5:G5"/>
    <mergeCell ref="I5:M5"/>
    <mergeCell ref="O5:S5"/>
    <mergeCell ref="U5:Y5"/>
    <mergeCell ref="AA5:AD5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="50" zoomScaleNormal="50" zoomScalePageLayoutView="0" workbookViewId="0" topLeftCell="A4">
      <selection activeCell="G25" sqref="G25"/>
    </sheetView>
  </sheetViews>
  <sheetFormatPr defaultColWidth="9.140625" defaultRowHeight="12.75"/>
  <cols>
    <col min="1" max="1" width="44.421875" style="0" customWidth="1"/>
    <col min="2" max="2" width="5.57421875" style="0" customWidth="1"/>
    <col min="3" max="4" width="12.8515625" style="0" customWidth="1"/>
    <col min="5" max="6" width="10.7109375" style="0" customWidth="1"/>
    <col min="7" max="7" width="11.140625" style="0" customWidth="1"/>
    <col min="8" max="8" width="5.7109375" style="0" customWidth="1"/>
    <col min="9" max="9" width="10.421875" style="0" customWidth="1"/>
    <col min="10" max="10" width="11.2812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2" width="11.7109375" style="0" customWidth="1"/>
    <col min="23" max="23" width="11.421875" style="0" customWidth="1"/>
    <col min="24" max="24" width="10.7109375" style="0" customWidth="1"/>
    <col min="25" max="25" width="12.0039062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36" max="36" width="11.42187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37" ht="39.75" customHeight="1" thickBot="1">
      <c r="A1" s="328" t="s">
        <v>127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" customHeight="1" thickBot="1">
      <c r="A2" s="331" t="s">
        <v>103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76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123"/>
      <c r="C5" s="340" t="s">
        <v>58</v>
      </c>
      <c r="D5" s="341"/>
      <c r="E5" s="341"/>
      <c r="F5" s="341"/>
      <c r="G5" s="342"/>
      <c r="H5" s="123"/>
      <c r="I5" s="343" t="s">
        <v>113</v>
      </c>
      <c r="J5" s="344"/>
      <c r="K5" s="344"/>
      <c r="L5" s="344"/>
      <c r="M5" s="345"/>
      <c r="N5" s="123"/>
      <c r="O5" s="346" t="s">
        <v>114</v>
      </c>
      <c r="P5" s="347"/>
      <c r="Q5" s="347"/>
      <c r="R5" s="347"/>
      <c r="S5" s="348"/>
      <c r="T5" s="123"/>
      <c r="U5" s="352" t="s">
        <v>116</v>
      </c>
      <c r="V5" s="353"/>
      <c r="W5" s="353"/>
      <c r="X5" s="353"/>
      <c r="Y5" s="354"/>
      <c r="Z5" s="7"/>
      <c r="AA5" s="349" t="s">
        <v>67</v>
      </c>
      <c r="AB5" s="350"/>
      <c r="AC5" s="350"/>
      <c r="AD5" s="351"/>
      <c r="AE5" s="7"/>
      <c r="AF5" s="7"/>
      <c r="AG5" s="7"/>
    </row>
    <row r="6" spans="1:33" ht="21" customHeight="1" thickBot="1">
      <c r="A6" s="122" t="s">
        <v>117</v>
      </c>
      <c r="B6" s="15"/>
      <c r="C6" s="340" t="s">
        <v>104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115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83"/>
      <c r="AB6" s="71"/>
      <c r="AC6" s="71"/>
      <c r="AD6" s="84"/>
      <c r="AE6" s="7"/>
      <c r="AF6" s="7"/>
      <c r="AG6" s="7"/>
    </row>
    <row r="7" spans="1:43" ht="21" customHeight="1" thickBot="1">
      <c r="A7" s="126"/>
      <c r="B7" s="15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180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5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126"/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48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62" t="s">
        <v>89</v>
      </c>
      <c r="B10" s="14"/>
      <c r="C10" s="141"/>
      <c r="D10" s="141">
        <v>4401</v>
      </c>
      <c r="E10" s="142">
        <v>1719</v>
      </c>
      <c r="F10" s="142">
        <v>1204</v>
      </c>
      <c r="G10" s="142">
        <v>883</v>
      </c>
      <c r="H10" s="142"/>
      <c r="I10" s="142"/>
      <c r="J10" s="141">
        <v>4401</v>
      </c>
      <c r="K10" s="142">
        <v>1719</v>
      </c>
      <c r="L10" s="142">
        <v>1204</v>
      </c>
      <c r="M10" s="142">
        <v>883</v>
      </c>
      <c r="N10" s="142"/>
      <c r="O10" s="142"/>
      <c r="P10" s="141">
        <v>4401</v>
      </c>
      <c r="Q10" s="142">
        <v>1719</v>
      </c>
      <c r="R10" s="142">
        <v>1204</v>
      </c>
      <c r="S10" s="142">
        <v>883</v>
      </c>
      <c r="T10" s="142"/>
      <c r="U10" s="142"/>
      <c r="V10" s="141">
        <v>4401</v>
      </c>
      <c r="W10" s="142">
        <v>1719</v>
      </c>
      <c r="X10" s="142">
        <v>1204</v>
      </c>
      <c r="Y10" s="143">
        <v>883</v>
      </c>
      <c r="Z10" s="7"/>
      <c r="AA10" s="34" t="s">
        <v>91</v>
      </c>
      <c r="AB10" s="81">
        <f>D19</f>
        <v>1706.0500000000002</v>
      </c>
      <c r="AC10" s="79">
        <f>D30</f>
        <v>320.68609022556393</v>
      </c>
      <c r="AD10" s="80">
        <f>D29</f>
        <v>6.042917192522192</v>
      </c>
      <c r="AE10" s="7"/>
      <c r="AF10" s="7"/>
      <c r="AG10" s="10" t="s">
        <v>4</v>
      </c>
      <c r="AH10" s="10"/>
      <c r="AI10" s="10" t="s">
        <v>2</v>
      </c>
      <c r="AJ10" s="10" t="s">
        <v>4</v>
      </c>
      <c r="AK10" s="10" t="s">
        <v>4</v>
      </c>
      <c r="AO10" s="10" t="s">
        <v>4</v>
      </c>
      <c r="AP10" s="10"/>
      <c r="AQ10" s="10" t="s">
        <v>2</v>
      </c>
      <c r="AR10" s="10" t="s">
        <v>4</v>
      </c>
      <c r="AS10" s="10" t="s">
        <v>4</v>
      </c>
    </row>
    <row r="11" spans="1:45" ht="21" customHeight="1">
      <c r="A11" s="162" t="s">
        <v>50</v>
      </c>
      <c r="B11" s="14"/>
      <c r="C11" s="141"/>
      <c r="D11" s="142">
        <v>100</v>
      </c>
      <c r="E11" s="142">
        <v>100</v>
      </c>
      <c r="F11" s="142">
        <v>100</v>
      </c>
      <c r="G11" s="142">
        <v>100</v>
      </c>
      <c r="H11" s="142"/>
      <c r="I11" s="142"/>
      <c r="J11" s="142">
        <v>100</v>
      </c>
      <c r="K11" s="142">
        <v>100</v>
      </c>
      <c r="L11" s="142">
        <v>100</v>
      </c>
      <c r="M11" s="142">
        <v>100</v>
      </c>
      <c r="N11" s="142"/>
      <c r="O11" s="142"/>
      <c r="P11" s="142">
        <v>100</v>
      </c>
      <c r="Q11" s="142">
        <v>100</v>
      </c>
      <c r="R11" s="142">
        <v>100</v>
      </c>
      <c r="S11" s="142">
        <v>100</v>
      </c>
      <c r="T11" s="142"/>
      <c r="U11" s="142"/>
      <c r="V11" s="142">
        <v>100</v>
      </c>
      <c r="W11" s="142">
        <v>100</v>
      </c>
      <c r="X11" s="142">
        <v>100</v>
      </c>
      <c r="Y11" s="143">
        <v>100</v>
      </c>
      <c r="Z11" s="7"/>
      <c r="AA11" s="34" t="s">
        <v>1</v>
      </c>
      <c r="AB11" s="35">
        <f>E19</f>
        <v>633.25</v>
      </c>
      <c r="AC11" s="36">
        <f>E30</f>
        <v>119.03195488721803</v>
      </c>
      <c r="AD11" s="37">
        <f>E29</f>
        <v>4.194615955817978</v>
      </c>
      <c r="AE11" s="7"/>
      <c r="AF11" s="7"/>
      <c r="AG11" s="5">
        <v>100</v>
      </c>
      <c r="AH11" s="5">
        <v>1</v>
      </c>
      <c r="AI11" s="6">
        <v>0.15</v>
      </c>
      <c r="AJ11" s="4">
        <f>$AG$11*AI11</f>
        <v>15</v>
      </c>
      <c r="AK11" s="2">
        <f>AJ11</f>
        <v>15</v>
      </c>
      <c r="AO11" s="5">
        <v>150</v>
      </c>
      <c r="AP11" s="5">
        <v>1</v>
      </c>
      <c r="AQ11" s="6">
        <v>0.15</v>
      </c>
      <c r="AR11" s="4">
        <f>$AO$11*AQ11</f>
        <v>22.5</v>
      </c>
      <c r="AS11" s="2">
        <f>AR11</f>
        <v>22.5</v>
      </c>
    </row>
    <row r="12" spans="1:45" ht="21" customHeight="1">
      <c r="A12" s="162" t="s">
        <v>23</v>
      </c>
      <c r="B12" s="14"/>
      <c r="C12" s="141"/>
      <c r="D12" s="142">
        <v>52</v>
      </c>
      <c r="E12" s="142">
        <v>52</v>
      </c>
      <c r="F12" s="142">
        <v>52</v>
      </c>
      <c r="G12" s="142">
        <v>52</v>
      </c>
      <c r="H12" s="142"/>
      <c r="I12" s="144"/>
      <c r="J12" s="142"/>
      <c r="K12" s="142"/>
      <c r="L12" s="142"/>
      <c r="M12" s="142"/>
      <c r="N12" s="142"/>
      <c r="O12" s="144"/>
      <c r="P12" s="142"/>
      <c r="Q12" s="142"/>
      <c r="R12" s="142"/>
      <c r="S12" s="142"/>
      <c r="T12" s="142"/>
      <c r="U12" s="144"/>
      <c r="V12" s="142"/>
      <c r="W12" s="142"/>
      <c r="X12" s="142"/>
      <c r="Y12" s="143"/>
      <c r="Z12" s="7"/>
      <c r="AA12" s="34" t="s">
        <v>7</v>
      </c>
      <c r="AB12" s="81">
        <f>F19</f>
        <v>427.25</v>
      </c>
      <c r="AC12" s="36">
        <f>F30</f>
        <v>80.31015037593984</v>
      </c>
      <c r="AD12" s="37">
        <f>F29</f>
        <v>3.5596386043807353</v>
      </c>
      <c r="AE12" s="7"/>
      <c r="AF12" s="7"/>
      <c r="AG12" s="3"/>
      <c r="AH12" s="5">
        <v>2</v>
      </c>
      <c r="AI12" s="6">
        <f>AI11*1.15</f>
        <v>0.1725</v>
      </c>
      <c r="AJ12" s="4">
        <f>$AG$11*AI12</f>
        <v>17.25</v>
      </c>
      <c r="AK12" s="2">
        <f>AK11+AJ12</f>
        <v>32.25</v>
      </c>
      <c r="AO12" s="3"/>
      <c r="AP12" s="5">
        <v>2</v>
      </c>
      <c r="AQ12" s="6">
        <f>AQ11*1.15</f>
        <v>0.1725</v>
      </c>
      <c r="AR12" s="4">
        <f>$AO$11*AQ12</f>
        <v>25.874999999999996</v>
      </c>
      <c r="AS12" s="2">
        <f>AS11+AR12</f>
        <v>48.375</v>
      </c>
    </row>
    <row r="13" spans="1:45" ht="21" customHeight="1">
      <c r="A13" s="162" t="s">
        <v>53</v>
      </c>
      <c r="B13" s="14"/>
      <c r="C13" s="141"/>
      <c r="D13" s="142">
        <f>(D11+D12)/0.8</f>
        <v>190</v>
      </c>
      <c r="E13" s="142">
        <f>(E11+E12)/0.8</f>
        <v>190</v>
      </c>
      <c r="F13" s="142">
        <f>(F11+F12)/0.8</f>
        <v>190</v>
      </c>
      <c r="G13" s="142">
        <f>(G11+G12)/0.8</f>
        <v>190</v>
      </c>
      <c r="H13" s="142"/>
      <c r="I13" s="144"/>
      <c r="J13" s="142"/>
      <c r="K13" s="142"/>
      <c r="L13" s="142"/>
      <c r="M13" s="142"/>
      <c r="N13" s="142"/>
      <c r="O13" s="144"/>
      <c r="P13" s="142">
        <v>100</v>
      </c>
      <c r="Q13" s="142">
        <v>100</v>
      </c>
      <c r="R13" s="142">
        <v>100</v>
      </c>
      <c r="S13" s="142">
        <v>100</v>
      </c>
      <c r="T13" s="142"/>
      <c r="U13" s="142"/>
      <c r="V13" s="142">
        <v>100</v>
      </c>
      <c r="W13" s="142">
        <v>100</v>
      </c>
      <c r="X13" s="142">
        <v>100</v>
      </c>
      <c r="Y13" s="143">
        <v>100</v>
      </c>
      <c r="Z13" s="7"/>
      <c r="AA13" s="34" t="s">
        <v>12</v>
      </c>
      <c r="AB13" s="81">
        <f>G19</f>
        <v>298.84999999999997</v>
      </c>
      <c r="AC13" s="36">
        <f>G30</f>
        <v>56.17481203007518</v>
      </c>
      <c r="AD13" s="37">
        <f>G29</f>
        <v>3.0971811279466195</v>
      </c>
      <c r="AE13" s="7"/>
      <c r="AF13" s="7"/>
      <c r="AG13" s="3"/>
      <c r="AH13" s="5"/>
      <c r="AI13" s="6"/>
      <c r="AJ13" s="4"/>
      <c r="AK13" s="2"/>
      <c r="AO13" s="3"/>
      <c r="AP13" s="5"/>
      <c r="AQ13" s="6"/>
      <c r="AR13" s="4"/>
      <c r="AS13" s="2"/>
    </row>
    <row r="14" spans="1:45" ht="21" customHeight="1">
      <c r="A14" s="162" t="s">
        <v>51</v>
      </c>
      <c r="B14" s="14"/>
      <c r="C14" s="146">
        <v>0.2</v>
      </c>
      <c r="D14" s="142">
        <f>D13*0.2</f>
        <v>38</v>
      </c>
      <c r="E14" s="142">
        <f>E13*0.2</f>
        <v>38</v>
      </c>
      <c r="F14" s="142">
        <f>F13*0.2</f>
        <v>38</v>
      </c>
      <c r="G14" s="142">
        <f>G13*0.2</f>
        <v>38</v>
      </c>
      <c r="H14" s="142"/>
      <c r="I14" s="146">
        <v>0.25</v>
      </c>
      <c r="J14" s="142">
        <f>75*0.25</f>
        <v>18.75</v>
      </c>
      <c r="K14" s="142">
        <f>75*0.25</f>
        <v>18.75</v>
      </c>
      <c r="L14" s="142">
        <f>75*0.25</f>
        <v>18.75</v>
      </c>
      <c r="M14" s="142">
        <f>75*0.25</f>
        <v>18.75</v>
      </c>
      <c r="N14" s="142"/>
      <c r="O14" s="144"/>
      <c r="P14" s="142"/>
      <c r="Q14" s="142"/>
      <c r="R14" s="142"/>
      <c r="S14" s="142"/>
      <c r="T14" s="142"/>
      <c r="U14" s="144"/>
      <c r="V14" s="142"/>
      <c r="W14" s="142"/>
      <c r="X14" s="142"/>
      <c r="Y14" s="143"/>
      <c r="Z14" s="7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107</v>
      </c>
      <c r="B15" s="14"/>
      <c r="C15" s="153"/>
      <c r="D15" s="142">
        <f>D10-D13</f>
        <v>4211</v>
      </c>
      <c r="E15" s="142">
        <f>E10-E13</f>
        <v>1529</v>
      </c>
      <c r="F15" s="142">
        <f>F10-F13</f>
        <v>1014</v>
      </c>
      <c r="G15" s="142">
        <f>G10-G13</f>
        <v>693</v>
      </c>
      <c r="H15" s="142"/>
      <c r="I15" s="147"/>
      <c r="J15" s="142"/>
      <c r="K15" s="142"/>
      <c r="L15" s="142"/>
      <c r="M15" s="142"/>
      <c r="N15" s="142"/>
      <c r="O15" s="147"/>
      <c r="P15" s="142">
        <f>P10-P11-P12</f>
        <v>4301</v>
      </c>
      <c r="Q15" s="142">
        <f>Q10-Q11-Q12</f>
        <v>1619</v>
      </c>
      <c r="R15" s="142">
        <f>R10-R11-R12</f>
        <v>1104</v>
      </c>
      <c r="S15" s="142">
        <f>S10-S11-S12</f>
        <v>783</v>
      </c>
      <c r="T15" s="142"/>
      <c r="U15" s="147"/>
      <c r="V15" s="142">
        <f>V10-V11-V12</f>
        <v>4301</v>
      </c>
      <c r="W15" s="142">
        <f>W10-W11-W12</f>
        <v>1619</v>
      </c>
      <c r="X15" s="142">
        <f>X10-X11-X12</f>
        <v>1104</v>
      </c>
      <c r="Y15" s="143">
        <f>Y10-Y11-Y12</f>
        <v>783</v>
      </c>
      <c r="Z15" s="7"/>
      <c r="AA15" s="49" t="s">
        <v>20</v>
      </c>
      <c r="AB15" s="42"/>
      <c r="AC15" s="36"/>
      <c r="AD15" s="43"/>
      <c r="AE15" s="7"/>
      <c r="AF15" s="7"/>
      <c r="AG15" s="3"/>
      <c r="AH15" s="5">
        <v>3</v>
      </c>
      <c r="AI15" s="6">
        <f>AI12*1.15</f>
        <v>0.19837499999999997</v>
      </c>
      <c r="AJ15" s="4">
        <f>$AG$11*AI15</f>
        <v>19.8375</v>
      </c>
      <c r="AK15" s="2">
        <f>AK12+AJ15</f>
        <v>52.0875</v>
      </c>
      <c r="AO15" s="3"/>
      <c r="AP15" s="5">
        <v>3</v>
      </c>
      <c r="AQ15" s="6">
        <f>AQ12*1.15</f>
        <v>0.19837499999999997</v>
      </c>
      <c r="AR15" s="4">
        <f>$AO$11*AQ15</f>
        <v>29.756249999999994</v>
      </c>
      <c r="AS15" s="2">
        <f>AS12+AR15</f>
        <v>78.13125</v>
      </c>
    </row>
    <row r="16" spans="1:45" ht="21" customHeight="1">
      <c r="A16" s="163" t="s">
        <v>24</v>
      </c>
      <c r="B16" s="19"/>
      <c r="C16" s="146">
        <v>0.2</v>
      </c>
      <c r="D16" s="142">
        <f>5.3+(D14-5.3)/2</f>
        <v>21.650000000000002</v>
      </c>
      <c r="E16" s="142">
        <f>5.3+(E14-5.3)/2</f>
        <v>21.650000000000002</v>
      </c>
      <c r="F16" s="142">
        <f>5.3+(F14-5.3)/2</f>
        <v>21.650000000000002</v>
      </c>
      <c r="G16" s="142">
        <f>5.3+(G14-5.3)/2</f>
        <v>21.650000000000002</v>
      </c>
      <c r="H16" s="142"/>
      <c r="I16" s="146">
        <v>0.25</v>
      </c>
      <c r="J16" s="142">
        <f>(J14-5.3)/2+5.3</f>
        <v>12.024999999999999</v>
      </c>
      <c r="K16" s="142">
        <f>(K14-5.3)/2+5.3</f>
        <v>12.024999999999999</v>
      </c>
      <c r="L16" s="142">
        <f>(L14-5.3)/2+5.3</f>
        <v>12.024999999999999</v>
      </c>
      <c r="M16" s="142">
        <f>(M14-5.3)/2+5.3</f>
        <v>12.024999999999999</v>
      </c>
      <c r="N16" s="142"/>
      <c r="O16" s="146" t="s">
        <v>47</v>
      </c>
      <c r="P16" s="142">
        <v>5.32</v>
      </c>
      <c r="Q16" s="142">
        <v>5.32</v>
      </c>
      <c r="R16" s="142">
        <v>5.32</v>
      </c>
      <c r="S16" s="142">
        <v>5.32</v>
      </c>
      <c r="T16" s="142"/>
      <c r="U16" s="146">
        <v>0</v>
      </c>
      <c r="V16" s="142"/>
      <c r="W16" s="142"/>
      <c r="X16" s="142"/>
      <c r="Y16" s="143"/>
      <c r="Z16" s="7"/>
      <c r="AA16" s="34" t="s">
        <v>91</v>
      </c>
      <c r="AB16" s="81">
        <f>J19</f>
        <v>549.65</v>
      </c>
      <c r="AC16" s="79">
        <f>J30</f>
        <v>103.31766917293233</v>
      </c>
      <c r="AD16" s="80">
        <f>J29</f>
        <v>3.99513808704034</v>
      </c>
      <c r="AE16" s="7"/>
      <c r="AF16" s="7"/>
      <c r="AG16" s="3"/>
      <c r="AH16" s="5">
        <v>4</v>
      </c>
      <c r="AI16" s="6">
        <f>AI15*1.15</f>
        <v>0.22813124999999995</v>
      </c>
      <c r="AJ16" s="4">
        <f>$AG$11*AI16</f>
        <v>22.813124999999996</v>
      </c>
      <c r="AK16" s="2">
        <f>AK15+AJ16</f>
        <v>74.90062499999999</v>
      </c>
      <c r="AO16" s="3"/>
      <c r="AP16" s="5">
        <v>4</v>
      </c>
      <c r="AQ16" s="6">
        <f>AQ15*1.15</f>
        <v>0.22813124999999995</v>
      </c>
      <c r="AR16" s="4">
        <f>$AO$11*AQ16</f>
        <v>34.21968749999999</v>
      </c>
      <c r="AS16" s="2">
        <f>AS15+AR16</f>
        <v>112.35093749999999</v>
      </c>
    </row>
    <row r="17" spans="1:33" ht="21" customHeight="1">
      <c r="A17" s="163" t="s">
        <v>35</v>
      </c>
      <c r="B17" s="19"/>
      <c r="C17" s="146">
        <v>0.8</v>
      </c>
      <c r="D17" s="142">
        <f>D15*0.8</f>
        <v>3368.8</v>
      </c>
      <c r="E17" s="142">
        <f>E15*0.8</f>
        <v>1223.2</v>
      </c>
      <c r="F17" s="142">
        <f>F15*0.8</f>
        <v>811.2</v>
      </c>
      <c r="G17" s="142">
        <f>G15*0.8</f>
        <v>554.4</v>
      </c>
      <c r="H17" s="142"/>
      <c r="I17" s="146">
        <v>0.25</v>
      </c>
      <c r="J17" s="142">
        <f>(J10-J11)*0.25</f>
        <v>1075.25</v>
      </c>
      <c r="K17" s="142">
        <f>(K10-K11)*0.25</f>
        <v>404.75</v>
      </c>
      <c r="L17" s="142">
        <f>(L10-L11)*0.25</f>
        <v>276</v>
      </c>
      <c r="M17" s="142">
        <f>(M10-M11)*0.25</f>
        <v>195.75</v>
      </c>
      <c r="N17" s="142"/>
      <c r="O17" s="146">
        <v>0.25</v>
      </c>
      <c r="P17" s="142">
        <f>P15*0.25</f>
        <v>1075.25</v>
      </c>
      <c r="Q17" s="142">
        <f>Q15*0.25</f>
        <v>404.75</v>
      </c>
      <c r="R17" s="142">
        <f>R15*0.25</f>
        <v>276</v>
      </c>
      <c r="S17" s="142">
        <f>S15*0.25</f>
        <v>195.75</v>
      </c>
      <c r="T17" s="142"/>
      <c r="U17" s="146">
        <v>0.25</v>
      </c>
      <c r="V17" s="142">
        <f>V15*0.25</f>
        <v>1075.25</v>
      </c>
      <c r="W17" s="142">
        <f>W15*0.25</f>
        <v>404.75</v>
      </c>
      <c r="X17" s="142">
        <f>X15*0.25</f>
        <v>276</v>
      </c>
      <c r="Y17" s="143">
        <f>Y15*0.25</f>
        <v>195.75</v>
      </c>
      <c r="Z17" s="7"/>
      <c r="AA17" s="34" t="s">
        <v>1</v>
      </c>
      <c r="AB17" s="35">
        <f>K19</f>
        <v>214.4</v>
      </c>
      <c r="AC17" s="36">
        <f>K30</f>
        <v>40.30075187969925</v>
      </c>
      <c r="AD17" s="37">
        <f>K29</f>
        <v>2.809700601438867</v>
      </c>
      <c r="AE17" s="7"/>
      <c r="AF17" s="7"/>
      <c r="AG17" s="7"/>
    </row>
    <row r="18" spans="1:33" ht="21" customHeight="1">
      <c r="A18" s="163" t="s">
        <v>40</v>
      </c>
      <c r="B18" s="19"/>
      <c r="C18" s="146">
        <v>0.4</v>
      </c>
      <c r="D18" s="142">
        <f>D17/2</f>
        <v>1684.4</v>
      </c>
      <c r="E18" s="142">
        <f>E17/2</f>
        <v>611.6</v>
      </c>
      <c r="F18" s="142">
        <f>F17/2</f>
        <v>405.6</v>
      </c>
      <c r="G18" s="142">
        <f>G17/2</f>
        <v>277.2</v>
      </c>
      <c r="H18" s="142"/>
      <c r="I18" s="148">
        <v>0.125</v>
      </c>
      <c r="J18" s="142">
        <f>J17/2</f>
        <v>537.625</v>
      </c>
      <c r="K18" s="142">
        <f>K17/2</f>
        <v>202.375</v>
      </c>
      <c r="L18" s="142">
        <f>L17/2</f>
        <v>138</v>
      </c>
      <c r="M18" s="142">
        <f>M17/2</f>
        <v>97.875</v>
      </c>
      <c r="N18" s="142"/>
      <c r="O18" s="148">
        <v>0.125</v>
      </c>
      <c r="P18" s="142">
        <f>P17/2</f>
        <v>537.625</v>
      </c>
      <c r="Q18" s="142">
        <f>Q17/2</f>
        <v>202.375</v>
      </c>
      <c r="R18" s="142">
        <f>R17/2</f>
        <v>138</v>
      </c>
      <c r="S18" s="142">
        <f>S17/2</f>
        <v>97.875</v>
      </c>
      <c r="T18" s="142"/>
      <c r="U18" s="148">
        <v>0.125</v>
      </c>
      <c r="V18" s="142">
        <f>(V17-5.3)/2+5.3</f>
        <v>540.275</v>
      </c>
      <c r="W18" s="142">
        <f>(W17-5.3)/2+5.3</f>
        <v>205.025</v>
      </c>
      <c r="X18" s="142">
        <f>(X17-5.3)/2+5.3</f>
        <v>140.65</v>
      </c>
      <c r="Y18" s="143">
        <f>(Y17-5.3)/2+5.3</f>
        <v>100.52499999999999</v>
      </c>
      <c r="Z18" s="7"/>
      <c r="AA18" s="34" t="s">
        <v>7</v>
      </c>
      <c r="AB18" s="81">
        <f>L19</f>
        <v>150.025</v>
      </c>
      <c r="AC18" s="36">
        <f>L30</f>
        <v>28.200187969924812</v>
      </c>
      <c r="AD18" s="37">
        <f>L29</f>
        <v>2.456890079802732</v>
      </c>
      <c r="AE18" s="7"/>
      <c r="AF18" s="7"/>
      <c r="AG18" s="7"/>
    </row>
    <row r="19" spans="1:33" ht="21" customHeight="1">
      <c r="A19" s="164" t="s">
        <v>25</v>
      </c>
      <c r="B19" s="15"/>
      <c r="C19" s="141"/>
      <c r="D19" s="149">
        <f>D18+D16</f>
        <v>1706.0500000000002</v>
      </c>
      <c r="E19" s="149">
        <f>E18+E16</f>
        <v>633.25</v>
      </c>
      <c r="F19" s="149">
        <f>F18+F16</f>
        <v>427.25</v>
      </c>
      <c r="G19" s="149">
        <f>G18+G16</f>
        <v>298.84999999999997</v>
      </c>
      <c r="H19" s="149"/>
      <c r="I19" s="149"/>
      <c r="J19" s="149">
        <f>J16+J18</f>
        <v>549.65</v>
      </c>
      <c r="K19" s="149">
        <f>K16+K18</f>
        <v>214.4</v>
      </c>
      <c r="L19" s="149">
        <f>L16+L18</f>
        <v>150.025</v>
      </c>
      <c r="M19" s="149">
        <f>M16+M18</f>
        <v>109.9</v>
      </c>
      <c r="N19" s="149"/>
      <c r="O19" s="149"/>
      <c r="P19" s="149">
        <f>P16+P18</f>
        <v>542.945</v>
      </c>
      <c r="Q19" s="149">
        <f>Q16+Q18</f>
        <v>207.695</v>
      </c>
      <c r="R19" s="149">
        <f>R16+R18</f>
        <v>143.32</v>
      </c>
      <c r="S19" s="149">
        <f>S16+S18</f>
        <v>103.195</v>
      </c>
      <c r="T19" s="149"/>
      <c r="U19" s="149"/>
      <c r="V19" s="149">
        <f>V18</f>
        <v>540.275</v>
      </c>
      <c r="W19" s="149">
        <f>W18</f>
        <v>205.025</v>
      </c>
      <c r="X19" s="149">
        <f>X18</f>
        <v>140.65</v>
      </c>
      <c r="Y19" s="150">
        <f>Y18</f>
        <v>100.52499999999999</v>
      </c>
      <c r="Z19" s="7"/>
      <c r="AA19" s="34" t="s">
        <v>12</v>
      </c>
      <c r="AB19" s="81">
        <f>M19</f>
        <v>109.9</v>
      </c>
      <c r="AC19" s="36">
        <f>M30</f>
        <v>20.657894736842106</v>
      </c>
      <c r="AD19" s="37">
        <f>M29</f>
        <v>2.185306375226528</v>
      </c>
      <c r="AE19" s="7"/>
      <c r="AF19" s="7"/>
      <c r="AG19" s="7"/>
    </row>
    <row r="20" spans="1:33" ht="21" customHeight="1" thickBot="1">
      <c r="A20" s="165" t="s">
        <v>54</v>
      </c>
      <c r="B20" s="15"/>
      <c r="C20" s="141"/>
      <c r="D20" s="142">
        <f>D18+(D14-D16)</f>
        <v>1700.75</v>
      </c>
      <c r="E20" s="142">
        <f>E18+(E14-E16)</f>
        <v>627.95</v>
      </c>
      <c r="F20" s="142">
        <f>F18+(F14-F16)</f>
        <v>421.95000000000005</v>
      </c>
      <c r="G20" s="142">
        <f>G18+(G14-G16)</f>
        <v>293.55</v>
      </c>
      <c r="H20" s="149"/>
      <c r="I20" s="149"/>
      <c r="J20" s="142">
        <f>J10*0.125-5.32/2</f>
        <v>547.465</v>
      </c>
      <c r="K20" s="142">
        <f>K10*0.125-5.32/2</f>
        <v>212.215</v>
      </c>
      <c r="L20" s="142">
        <f>L10*0.125-5.32/2</f>
        <v>147.84</v>
      </c>
      <c r="M20" s="142">
        <f>M10*0.125-5.32/2</f>
        <v>107.715</v>
      </c>
      <c r="N20" s="149"/>
      <c r="O20" s="149"/>
      <c r="P20" s="142">
        <f>P17*0.5</f>
        <v>537.625</v>
      </c>
      <c r="Q20" s="142">
        <f>Q17*0.5</f>
        <v>202.375</v>
      </c>
      <c r="R20" s="142">
        <f>R17*0.5</f>
        <v>138</v>
      </c>
      <c r="S20" s="142">
        <f>S17*0.5</f>
        <v>97.875</v>
      </c>
      <c r="T20" s="149"/>
      <c r="U20" s="149"/>
      <c r="V20" s="142">
        <f>(V17-5.3)/2</f>
        <v>534.975</v>
      </c>
      <c r="W20" s="142">
        <f>(W17-5.3)/2</f>
        <v>199.725</v>
      </c>
      <c r="X20" s="142">
        <f>(X17-5.3)/2</f>
        <v>135.35</v>
      </c>
      <c r="Y20" s="143">
        <f>(Y17-5.3)/2</f>
        <v>95.225</v>
      </c>
      <c r="Z20" s="7"/>
      <c r="AA20" s="44"/>
      <c r="AB20" s="45"/>
      <c r="AC20" s="46"/>
      <c r="AD20" s="47"/>
      <c r="AE20" s="7"/>
      <c r="AF20" s="7"/>
      <c r="AG20" s="7"/>
    </row>
    <row r="21" spans="1:33" ht="21" customHeight="1" thickTop="1">
      <c r="A21" s="165" t="s">
        <v>21</v>
      </c>
      <c r="B21" s="15"/>
      <c r="C21" s="141"/>
      <c r="D21" s="142">
        <f>D11+D12+(D15*0.2)</f>
        <v>994.2</v>
      </c>
      <c r="E21" s="142">
        <f>E11+E12+(E15*0.2)</f>
        <v>457.8</v>
      </c>
      <c r="F21" s="142">
        <f>F11+F12+(F15*0.2)</f>
        <v>354.8</v>
      </c>
      <c r="G21" s="142">
        <f>G11+G12+(G15*0.2)</f>
        <v>290.6</v>
      </c>
      <c r="H21" s="149"/>
      <c r="I21" s="149"/>
      <c r="J21" s="142">
        <f>0.75*J10</f>
        <v>3300.75</v>
      </c>
      <c r="K21" s="142">
        <f>0.75*K10</f>
        <v>1289.25</v>
      </c>
      <c r="L21" s="142">
        <f>0.75*L10</f>
        <v>903</v>
      </c>
      <c r="M21" s="142">
        <f>0.75*M10</f>
        <v>662.25</v>
      </c>
      <c r="N21" s="149"/>
      <c r="O21" s="149"/>
      <c r="P21" s="142">
        <f>P11+(P15*0.75)-5.32</f>
        <v>3320.43</v>
      </c>
      <c r="Q21" s="142">
        <f>Q11+(Q15*0.75)-5.32</f>
        <v>1308.93</v>
      </c>
      <c r="R21" s="142">
        <f>R11+(R15*0.75)-5.32</f>
        <v>922.68</v>
      </c>
      <c r="S21" s="142">
        <f>S11+(S15*0.75)-5.32</f>
        <v>681.93</v>
      </c>
      <c r="T21" s="149"/>
      <c r="U21" s="149"/>
      <c r="V21" s="142">
        <f>V11+(V15*0.75)</f>
        <v>3325.75</v>
      </c>
      <c r="W21" s="142">
        <f>W11+(W15*0.75)</f>
        <v>1314.25</v>
      </c>
      <c r="X21" s="142">
        <f>X11+(X15*0.75)</f>
        <v>928</v>
      </c>
      <c r="Y21" s="143">
        <f>Y11+(Y15*0.75)</f>
        <v>687.25</v>
      </c>
      <c r="Z21" s="7"/>
      <c r="AA21" s="50" t="s">
        <v>41</v>
      </c>
      <c r="AB21" s="42"/>
      <c r="AC21" s="36"/>
      <c r="AD21" s="43"/>
      <c r="AE21" s="7"/>
      <c r="AF21" s="7"/>
      <c r="AG21" s="7"/>
    </row>
    <row r="22" spans="1:33" ht="21" customHeight="1">
      <c r="A22" s="165" t="s">
        <v>32</v>
      </c>
      <c r="B22" s="15"/>
      <c r="C22" s="141"/>
      <c r="D22" s="142">
        <f>SUM(D19:D21)</f>
        <v>4401</v>
      </c>
      <c r="E22" s="142">
        <f>SUM(E19:E21)</f>
        <v>1719</v>
      </c>
      <c r="F22" s="142">
        <f>SUM(F19:F21)</f>
        <v>1204</v>
      </c>
      <c r="G22" s="142">
        <f>SUM(G19:G21)</f>
        <v>883</v>
      </c>
      <c r="H22" s="149"/>
      <c r="I22" s="149"/>
      <c r="J22" s="142">
        <f>SUM(J19:J21)</f>
        <v>4397.865</v>
      </c>
      <c r="K22" s="142">
        <f>SUM(K19:K21)</f>
        <v>1715.865</v>
      </c>
      <c r="L22" s="142">
        <f>SUM(L19:L21)</f>
        <v>1200.865</v>
      </c>
      <c r="M22" s="142">
        <f>SUM(M19:M21)</f>
        <v>879.865</v>
      </c>
      <c r="N22" s="149"/>
      <c r="O22" s="149"/>
      <c r="P22" s="142">
        <f>SUM(P19:P21)</f>
        <v>4401</v>
      </c>
      <c r="Q22" s="142">
        <f>SUM(Q19:Q21)</f>
        <v>1719</v>
      </c>
      <c r="R22" s="142">
        <f>SUM(R19:R21)</f>
        <v>1204</v>
      </c>
      <c r="S22" s="142">
        <f>SUM(S19:S21)</f>
        <v>883</v>
      </c>
      <c r="T22" s="149"/>
      <c r="U22" s="149"/>
      <c r="V22" s="142">
        <f>SUM(V19:V21)</f>
        <v>4401</v>
      </c>
      <c r="W22" s="142">
        <f>SUM(W19:W21)</f>
        <v>1719</v>
      </c>
      <c r="X22" s="142">
        <f>SUM(X19:X21)</f>
        <v>1204</v>
      </c>
      <c r="Y22" s="143">
        <f>SUM(Y19:Y21)</f>
        <v>883</v>
      </c>
      <c r="Z22" s="7"/>
      <c r="AA22" s="34" t="s">
        <v>91</v>
      </c>
      <c r="AB22" s="81">
        <f>P19</f>
        <v>542.945</v>
      </c>
      <c r="AC22" s="79">
        <f>P30</f>
        <v>102.05733082706767</v>
      </c>
      <c r="AD22" s="80">
        <f>P29</f>
        <v>4.1613611738823355</v>
      </c>
      <c r="AE22" s="7"/>
      <c r="AF22" s="7"/>
      <c r="AG22" s="7"/>
    </row>
    <row r="23" spans="1:33" ht="21" customHeight="1">
      <c r="A23" s="162" t="s">
        <v>22</v>
      </c>
      <c r="B23" s="24" t="s">
        <v>16</v>
      </c>
      <c r="C23" s="141"/>
      <c r="D23" s="141"/>
      <c r="E23" s="141"/>
      <c r="F23" s="141"/>
      <c r="G23" s="141"/>
      <c r="H23" s="141"/>
      <c r="I23" s="151"/>
      <c r="J23" s="141"/>
      <c r="K23" s="141"/>
      <c r="L23" s="141"/>
      <c r="M23" s="141"/>
      <c r="N23" s="141"/>
      <c r="O23" s="151"/>
      <c r="P23" s="141"/>
      <c r="Q23" s="141"/>
      <c r="R23" s="141"/>
      <c r="S23" s="141"/>
      <c r="T23" s="141"/>
      <c r="U23" s="151"/>
      <c r="V23" s="141"/>
      <c r="W23" s="141"/>
      <c r="X23" s="141"/>
      <c r="Y23" s="152"/>
      <c r="Z23" s="7"/>
      <c r="AA23" s="34" t="s">
        <v>1</v>
      </c>
      <c r="AB23" s="35">
        <f>Q19</f>
        <v>207.695</v>
      </c>
      <c r="AC23" s="36">
        <f>Q30</f>
        <v>39.04041353383458</v>
      </c>
      <c r="AD23" s="37">
        <f>Q29</f>
        <v>2.9295273043936385</v>
      </c>
      <c r="AE23" s="7"/>
      <c r="AF23" s="7"/>
      <c r="AG23" s="7"/>
    </row>
    <row r="24" spans="1:33" ht="21" customHeight="1">
      <c r="A24" s="126" t="s">
        <v>15</v>
      </c>
      <c r="B24" s="24">
        <v>1</v>
      </c>
      <c r="C24" s="153"/>
      <c r="D24" s="141">
        <v>-5.32</v>
      </c>
      <c r="E24" s="141">
        <v>-5.32</v>
      </c>
      <c r="F24" s="141">
        <v>-5.32</v>
      </c>
      <c r="G24" s="141">
        <v>-5.32</v>
      </c>
      <c r="H24" s="141"/>
      <c r="I24" s="141"/>
      <c r="J24" s="141">
        <v>-5.32</v>
      </c>
      <c r="K24" s="141">
        <v>-5.32</v>
      </c>
      <c r="L24" s="141">
        <v>-5.32</v>
      </c>
      <c r="M24" s="141">
        <v>-5.32</v>
      </c>
      <c r="N24" s="141"/>
      <c r="O24" s="141"/>
      <c r="P24" s="141">
        <v>-5.32</v>
      </c>
      <c r="Q24" s="141">
        <v>-5.32</v>
      </c>
      <c r="R24" s="141">
        <v>-5.32</v>
      </c>
      <c r="S24" s="141">
        <v>-5.32</v>
      </c>
      <c r="T24" s="141"/>
      <c r="U24" s="141"/>
      <c r="V24" s="141">
        <v>-5.32</v>
      </c>
      <c r="W24" s="141">
        <v>-5.32</v>
      </c>
      <c r="X24" s="141">
        <v>-5.32</v>
      </c>
      <c r="Y24" s="152">
        <v>-5.32</v>
      </c>
      <c r="Z24" s="7"/>
      <c r="AA24" s="34" t="s">
        <v>7</v>
      </c>
      <c r="AB24" s="81">
        <f>R19</f>
        <v>143.32</v>
      </c>
      <c r="AC24" s="36">
        <f>R30</f>
        <v>26.939849624060148</v>
      </c>
      <c r="AD24" s="37">
        <f>R29</f>
        <v>2.556834256782511</v>
      </c>
      <c r="AE24" s="7"/>
      <c r="AF24" s="7"/>
      <c r="AG24" s="7"/>
    </row>
    <row r="25" spans="1:33" ht="21" customHeight="1">
      <c r="A25" s="126"/>
      <c r="B25" s="24">
        <v>2</v>
      </c>
      <c r="C25" s="153"/>
      <c r="D25" s="141">
        <v>0</v>
      </c>
      <c r="E25" s="141">
        <v>0</v>
      </c>
      <c r="F25" s="141">
        <v>0</v>
      </c>
      <c r="G25" s="141">
        <v>0</v>
      </c>
      <c r="H25" s="141"/>
      <c r="I25" s="151"/>
      <c r="J25" s="141">
        <v>0</v>
      </c>
      <c r="K25" s="141">
        <v>0</v>
      </c>
      <c r="L25" s="141">
        <v>0</v>
      </c>
      <c r="M25" s="141">
        <v>0</v>
      </c>
      <c r="N25" s="141"/>
      <c r="O25" s="141"/>
      <c r="P25" s="141">
        <v>5.32</v>
      </c>
      <c r="Q25" s="141">
        <v>5.32</v>
      </c>
      <c r="R25" s="141">
        <v>5.32</v>
      </c>
      <c r="S25" s="141">
        <v>5.32</v>
      </c>
      <c r="T25" s="141"/>
      <c r="U25" s="141"/>
      <c r="V25" s="141">
        <v>0</v>
      </c>
      <c r="W25" s="141">
        <v>0</v>
      </c>
      <c r="X25" s="141">
        <v>0</v>
      </c>
      <c r="Y25" s="152">
        <v>0</v>
      </c>
      <c r="Z25" s="7"/>
      <c r="AA25" s="34" t="s">
        <v>12</v>
      </c>
      <c r="AB25" s="81">
        <f>S19</f>
        <v>103.195</v>
      </c>
      <c r="AC25" s="36">
        <f>S30</f>
        <v>19.397556390977442</v>
      </c>
      <c r="AD25" s="37">
        <f>S29</f>
        <v>2.2667923863415966</v>
      </c>
      <c r="AE25" s="7"/>
      <c r="AF25" s="7"/>
      <c r="AG25" s="7"/>
    </row>
    <row r="26" spans="1:33" ht="21" customHeight="1" thickBot="1">
      <c r="A26" s="126"/>
      <c r="B26" s="24">
        <v>3</v>
      </c>
      <c r="C26" s="153"/>
      <c r="D26" s="142">
        <f>D16</f>
        <v>21.650000000000002</v>
      </c>
      <c r="E26" s="142">
        <f>E16</f>
        <v>21.650000000000002</v>
      </c>
      <c r="F26" s="142">
        <f>F16</f>
        <v>21.650000000000002</v>
      </c>
      <c r="G26" s="142">
        <f>G16</f>
        <v>21.650000000000002</v>
      </c>
      <c r="H26" s="142"/>
      <c r="I26" s="141"/>
      <c r="J26" s="142">
        <f>(190-5.3)*0.125+5.3</f>
        <v>28.3875</v>
      </c>
      <c r="K26" s="142">
        <f>(190-5.3)*0.125+5.3</f>
        <v>28.3875</v>
      </c>
      <c r="L26" s="142">
        <f>(190-5.3)*0.125+5.3</f>
        <v>28.3875</v>
      </c>
      <c r="M26" s="142">
        <f>(190-5.3)*0.125+5.3</f>
        <v>28.3875</v>
      </c>
      <c r="N26" s="141"/>
      <c r="O26" s="141"/>
      <c r="P26" s="142">
        <f>(190-100)*0.125</f>
        <v>11.25</v>
      </c>
      <c r="Q26" s="142">
        <f>(190-100)*0.125</f>
        <v>11.25</v>
      </c>
      <c r="R26" s="142">
        <f>(190-100)*0.125</f>
        <v>11.25</v>
      </c>
      <c r="S26" s="142">
        <f>(190-100)*0.125</f>
        <v>11.25</v>
      </c>
      <c r="T26" s="141"/>
      <c r="U26" s="141"/>
      <c r="V26" s="142">
        <f>(190-100)*0.125</f>
        <v>11.25</v>
      </c>
      <c r="W26" s="142">
        <f>(190-100)*0.125</f>
        <v>11.25</v>
      </c>
      <c r="X26" s="142">
        <f>(190-100)*0.125</f>
        <v>11.25</v>
      </c>
      <c r="Y26" s="143">
        <f>(190-100)*0.125</f>
        <v>11.25</v>
      </c>
      <c r="Z26" s="7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4</v>
      </c>
      <c r="C27" s="153"/>
      <c r="D27" s="142">
        <f>D19</f>
        <v>1706.0500000000002</v>
      </c>
      <c r="E27" s="142">
        <f>E19</f>
        <v>633.25</v>
      </c>
      <c r="F27" s="142">
        <f>F18</f>
        <v>405.6</v>
      </c>
      <c r="G27" s="142">
        <f>G18</f>
        <v>277.2</v>
      </c>
      <c r="H27" s="142"/>
      <c r="I27" s="151"/>
      <c r="J27" s="142">
        <f>J19-J26</f>
        <v>521.2624999999999</v>
      </c>
      <c r="K27" s="142">
        <f>K19-K26</f>
        <v>186.01250000000002</v>
      </c>
      <c r="L27" s="142">
        <f>L19-L26</f>
        <v>121.6375</v>
      </c>
      <c r="M27" s="142">
        <f>M19-M26</f>
        <v>81.5125</v>
      </c>
      <c r="N27" s="142"/>
      <c r="O27" s="151"/>
      <c r="P27" s="142">
        <f>P19-P26</f>
        <v>531.695</v>
      </c>
      <c r="Q27" s="142">
        <f>Q19-Q26</f>
        <v>196.445</v>
      </c>
      <c r="R27" s="142">
        <f>R19-R26</f>
        <v>132.07</v>
      </c>
      <c r="S27" s="142">
        <f>S19-S26</f>
        <v>91.945</v>
      </c>
      <c r="T27" s="142"/>
      <c r="U27" s="151"/>
      <c r="V27" s="142">
        <f>V19-V26</f>
        <v>529.025</v>
      </c>
      <c r="W27" s="142">
        <f>W19-W26</f>
        <v>193.775</v>
      </c>
      <c r="X27" s="142">
        <f>X19-X26</f>
        <v>129.4</v>
      </c>
      <c r="Y27" s="143">
        <f>Y19-Y26</f>
        <v>89.27499999999999</v>
      </c>
      <c r="Z27" s="7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15"/>
      <c r="C28" s="141"/>
      <c r="D28" s="141"/>
      <c r="E28" s="141"/>
      <c r="F28" s="141"/>
      <c r="G28" s="141"/>
      <c r="H28" s="141"/>
      <c r="I28" s="151"/>
      <c r="J28" s="145"/>
      <c r="K28" s="145"/>
      <c r="L28" s="145"/>
      <c r="M28" s="141"/>
      <c r="N28" s="141"/>
      <c r="O28" s="151"/>
      <c r="P28" s="145"/>
      <c r="Q28" s="145"/>
      <c r="R28" s="145"/>
      <c r="S28" s="141"/>
      <c r="T28" s="141"/>
      <c r="U28" s="151"/>
      <c r="V28" s="145"/>
      <c r="W28" s="145"/>
      <c r="X28" s="145"/>
      <c r="Y28" s="152"/>
      <c r="Z28" s="7"/>
      <c r="AA28" s="34" t="s">
        <v>91</v>
      </c>
      <c r="AB28" s="81">
        <f>V19</f>
        <v>540.275</v>
      </c>
      <c r="AC28" s="79">
        <f>V30</f>
        <v>101.55545112781954</v>
      </c>
      <c r="AD28" s="80">
        <f>V29</f>
        <v>3.7850151539673567</v>
      </c>
      <c r="AE28" s="7"/>
      <c r="AF28" s="7"/>
      <c r="AG28" s="7"/>
    </row>
    <row r="29" spans="1:33" ht="21" customHeight="1">
      <c r="A29" s="126" t="s">
        <v>56</v>
      </c>
      <c r="B29" s="15"/>
      <c r="C29" s="141"/>
      <c r="D29" s="154">
        <f>IRR(D24:D27)</f>
        <v>6.042917192522192</v>
      </c>
      <c r="E29" s="154">
        <f>IRR(E24:E27)</f>
        <v>4.194615955817978</v>
      </c>
      <c r="F29" s="154">
        <f aca="true" t="shared" si="0" ref="F29:S29">IRR(F24:F27)</f>
        <v>3.5596386043807353</v>
      </c>
      <c r="G29" s="154">
        <f t="shared" si="0"/>
        <v>3.0971811279466195</v>
      </c>
      <c r="H29" s="154"/>
      <c r="I29" s="154"/>
      <c r="J29" s="154">
        <f>IRR(J24:J27)</f>
        <v>3.99513808704034</v>
      </c>
      <c r="K29" s="154">
        <f t="shared" si="0"/>
        <v>2.809700601438867</v>
      </c>
      <c r="L29" s="154">
        <f t="shared" si="0"/>
        <v>2.456890079802732</v>
      </c>
      <c r="M29" s="154">
        <f t="shared" si="0"/>
        <v>2.185306375226528</v>
      </c>
      <c r="N29" s="154"/>
      <c r="O29" s="154"/>
      <c r="P29" s="154">
        <f>IRR(P24:P27)</f>
        <v>4.1613611738823355</v>
      </c>
      <c r="Q29" s="154">
        <f t="shared" si="0"/>
        <v>2.9295273043936385</v>
      </c>
      <c r="R29" s="154">
        <f t="shared" si="0"/>
        <v>2.556834256782511</v>
      </c>
      <c r="S29" s="154">
        <f t="shared" si="0"/>
        <v>2.2667923863415966</v>
      </c>
      <c r="T29" s="154"/>
      <c r="U29" s="154"/>
      <c r="V29" s="154">
        <f>IRR(V24:V27)</f>
        <v>3.7850151539673567</v>
      </c>
      <c r="W29" s="154">
        <f>IRR(W24:W27)</f>
        <v>2.527209041000696</v>
      </c>
      <c r="X29" s="154">
        <f>IRR(X24:X27)</f>
        <v>2.140152986564205</v>
      </c>
      <c r="Y29" s="155">
        <f>IRR(Y24:Y27)</f>
        <v>1.83457023171353</v>
      </c>
      <c r="Z29" s="7"/>
      <c r="AA29" s="34" t="s">
        <v>1</v>
      </c>
      <c r="AB29" s="35">
        <f>W19</f>
        <v>205.025</v>
      </c>
      <c r="AC29" s="36">
        <f>W30</f>
        <v>38.53853383458647</v>
      </c>
      <c r="AD29" s="37">
        <f>W29</f>
        <v>2.527209041000696</v>
      </c>
      <c r="AE29" s="7"/>
      <c r="AF29" s="7"/>
      <c r="AG29" s="7"/>
    </row>
    <row r="30" spans="1:33" ht="21" customHeight="1">
      <c r="A30" s="126" t="s">
        <v>90</v>
      </c>
      <c r="B30" s="15"/>
      <c r="C30" s="141"/>
      <c r="D30" s="156">
        <f>-D19/D24</f>
        <v>320.68609022556393</v>
      </c>
      <c r="E30" s="156">
        <f>-E19/E24</f>
        <v>119.03195488721803</v>
      </c>
      <c r="F30" s="156">
        <f>-F19/F24</f>
        <v>80.31015037593984</v>
      </c>
      <c r="G30" s="156">
        <f>-G19/G24</f>
        <v>56.17481203007518</v>
      </c>
      <c r="H30" s="156"/>
      <c r="I30" s="156"/>
      <c r="J30" s="156">
        <f>-J19/J24</f>
        <v>103.31766917293233</v>
      </c>
      <c r="K30" s="156">
        <f>-K19/K24</f>
        <v>40.30075187969925</v>
      </c>
      <c r="L30" s="156">
        <f>-L19/L24</f>
        <v>28.200187969924812</v>
      </c>
      <c r="M30" s="156">
        <f>-M19/M24</f>
        <v>20.657894736842106</v>
      </c>
      <c r="N30" s="156"/>
      <c r="O30" s="156"/>
      <c r="P30" s="156">
        <f>-P19/P24</f>
        <v>102.05733082706767</v>
      </c>
      <c r="Q30" s="156">
        <f>-Q19/Q24</f>
        <v>39.04041353383458</v>
      </c>
      <c r="R30" s="156">
        <f>-R19/R24</f>
        <v>26.939849624060148</v>
      </c>
      <c r="S30" s="156">
        <f>-S19/S24</f>
        <v>19.397556390977442</v>
      </c>
      <c r="T30" s="156"/>
      <c r="U30" s="156"/>
      <c r="V30" s="156">
        <f>-V19/V24</f>
        <v>101.55545112781954</v>
      </c>
      <c r="W30" s="156">
        <f>-W19/W24</f>
        <v>38.53853383458647</v>
      </c>
      <c r="X30" s="156">
        <f>-X19/X24</f>
        <v>26.43796992481203</v>
      </c>
      <c r="Y30" s="157">
        <f>-Y19/Y24</f>
        <v>18.89567669172932</v>
      </c>
      <c r="Z30" s="7"/>
      <c r="AA30" s="34" t="s">
        <v>7</v>
      </c>
      <c r="AB30" s="81">
        <f>X19</f>
        <v>140.65</v>
      </c>
      <c r="AC30" s="36">
        <f>X30</f>
        <v>26.43796992481203</v>
      </c>
      <c r="AD30" s="37">
        <f>X29</f>
        <v>2.140152986564205</v>
      </c>
      <c r="AE30" s="7"/>
      <c r="AF30" s="7"/>
      <c r="AG30" s="7"/>
    </row>
    <row r="31" spans="1:33" ht="21" customHeight="1" thickBot="1">
      <c r="A31" s="166"/>
      <c r="B31" s="66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9"/>
      <c r="Z31" s="7"/>
      <c r="AA31" s="34" t="s">
        <v>12</v>
      </c>
      <c r="AB31" s="81">
        <f>Y19</f>
        <v>100.52499999999999</v>
      </c>
      <c r="AC31" s="36">
        <f>Y30</f>
        <v>18.89567669172932</v>
      </c>
      <c r="AD31" s="37">
        <f>Y29</f>
        <v>1.83457023171353</v>
      </c>
      <c r="AE31" s="7"/>
      <c r="AF31" s="7"/>
      <c r="AG31" s="7"/>
    </row>
    <row r="32" spans="1:33" ht="21" customHeight="1" thickBot="1">
      <c r="A32" s="122" t="s">
        <v>26</v>
      </c>
      <c r="B32" s="66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9"/>
      <c r="Z32" s="7"/>
      <c r="AA32" s="56"/>
      <c r="AB32" s="57"/>
      <c r="AC32" s="58"/>
      <c r="AD32" s="59"/>
      <c r="AE32" s="7"/>
      <c r="AF32" s="7"/>
      <c r="AG32" s="7"/>
    </row>
    <row r="33" spans="1:33" ht="21" customHeight="1" thickBot="1">
      <c r="A33" s="167" t="s">
        <v>48</v>
      </c>
      <c r="B33" s="66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7"/>
      <c r="AE33" s="7"/>
      <c r="AF33" s="7"/>
      <c r="AG33" s="7"/>
    </row>
    <row r="34" spans="1:33" ht="21" customHeight="1" thickBot="1">
      <c r="A34" s="56" t="s">
        <v>49</v>
      </c>
      <c r="B34" s="68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1"/>
      <c r="Z34" s="7"/>
      <c r="AE34" s="11"/>
      <c r="AF34" s="11"/>
      <c r="AG34" s="11"/>
    </row>
    <row r="35" ht="21" customHeight="1"/>
    <row r="36" spans="1:13" ht="21" customHeight="1">
      <c r="A36" s="51"/>
      <c r="B36" s="51"/>
      <c r="C36" s="53"/>
      <c r="D36" s="53"/>
      <c r="E36" s="53"/>
      <c r="F36" s="53"/>
      <c r="G36" s="53"/>
      <c r="H36" s="53"/>
      <c r="I36" s="327" t="s">
        <v>36</v>
      </c>
      <c r="J36" s="327"/>
      <c r="K36" s="327"/>
      <c r="L36" s="327"/>
      <c r="M36" s="327"/>
    </row>
    <row r="37" spans="1:13" ht="21" customHeight="1">
      <c r="A37" s="51"/>
      <c r="B37" s="51"/>
      <c r="C37" s="54" t="s">
        <v>27</v>
      </c>
      <c r="D37" s="54"/>
      <c r="E37" s="54" t="s">
        <v>31</v>
      </c>
      <c r="F37" s="54" t="s">
        <v>33</v>
      </c>
      <c r="G37" s="54" t="s">
        <v>34</v>
      </c>
      <c r="H37" s="54"/>
      <c r="I37" s="54" t="s">
        <v>37</v>
      </c>
      <c r="J37" s="54"/>
      <c r="K37" s="54" t="s">
        <v>38</v>
      </c>
      <c r="L37" s="54" t="s">
        <v>39</v>
      </c>
      <c r="M37" s="54" t="s">
        <v>32</v>
      </c>
    </row>
    <row r="38" spans="1:13" ht="21" customHeight="1">
      <c r="A38" s="51" t="s">
        <v>28</v>
      </c>
      <c r="B38" s="51"/>
      <c r="C38" s="51">
        <v>45.5</v>
      </c>
      <c r="D38" s="51"/>
      <c r="E38" s="51">
        <v>1181</v>
      </c>
      <c r="F38" s="51">
        <v>821</v>
      </c>
      <c r="G38" s="51">
        <v>597</v>
      </c>
      <c r="H38" s="51"/>
      <c r="I38" s="51">
        <v>0</v>
      </c>
      <c r="J38" s="51"/>
      <c r="K38" s="51">
        <v>5.32</v>
      </c>
      <c r="L38" s="51">
        <v>0</v>
      </c>
      <c r="M38" s="51">
        <f>SUM(I38:L38)</f>
        <v>5.32</v>
      </c>
    </row>
    <row r="39" spans="1:13" ht="21" customHeight="1">
      <c r="A39" s="51" t="s">
        <v>30</v>
      </c>
      <c r="B39" s="51"/>
      <c r="C39" s="51">
        <v>80</v>
      </c>
      <c r="D39" s="51"/>
      <c r="E39" s="51">
        <v>539</v>
      </c>
      <c r="F39" s="51">
        <v>413</v>
      </c>
      <c r="G39" s="51">
        <v>324</v>
      </c>
      <c r="H39" s="51"/>
      <c r="I39" s="51">
        <v>3.75</v>
      </c>
      <c r="J39" s="51"/>
      <c r="K39" s="51">
        <v>6.59</v>
      </c>
      <c r="L39" s="51">
        <v>2.5</v>
      </c>
      <c r="M39" s="51">
        <f>SUM(I39:L39)</f>
        <v>12.84</v>
      </c>
    </row>
    <row r="40" spans="1:13" ht="21" customHeight="1">
      <c r="A40" s="51" t="s">
        <v>29</v>
      </c>
      <c r="B40" s="51"/>
      <c r="C40" s="55">
        <v>25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21" customHeight="1">
      <c r="A41" s="52" t="s">
        <v>32</v>
      </c>
      <c r="B41" s="51"/>
      <c r="C41" s="51">
        <f>SUM(C38:C40)</f>
        <v>150.5</v>
      </c>
      <c r="D41" s="51"/>
      <c r="E41" s="51">
        <f>SUM(E38:E40)</f>
        <v>1720</v>
      </c>
      <c r="F41" s="51">
        <f>SUM(F38:F40)</f>
        <v>1234</v>
      </c>
      <c r="G41" s="51">
        <f>SUM(G38:G40)</f>
        <v>921</v>
      </c>
      <c r="H41" s="51"/>
      <c r="I41" s="51">
        <f>SUM(I38:I40)</f>
        <v>3.75</v>
      </c>
      <c r="J41" s="51"/>
      <c r="K41" s="51">
        <f>SUM(K38:K40)</f>
        <v>11.91</v>
      </c>
      <c r="L41" s="51">
        <f>SUM(L38:L40)</f>
        <v>2.5</v>
      </c>
      <c r="M41" s="51">
        <f>SUM(M38:M40)</f>
        <v>18.16</v>
      </c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15">
    <mergeCell ref="I36:M36"/>
    <mergeCell ref="C6:G6"/>
    <mergeCell ref="I6:M6"/>
    <mergeCell ref="O6:S6"/>
    <mergeCell ref="U6:Y6"/>
    <mergeCell ref="A1:Y1"/>
    <mergeCell ref="A2:Y2"/>
    <mergeCell ref="A3:Y3"/>
    <mergeCell ref="A4:Y4"/>
    <mergeCell ref="AA4:AD4"/>
    <mergeCell ref="C5:G5"/>
    <mergeCell ref="I5:M5"/>
    <mergeCell ref="O5:S5"/>
    <mergeCell ref="U5:Y5"/>
    <mergeCell ref="AA5:AD5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zoomScale="50" zoomScaleNormal="50" zoomScalePageLayoutView="0" workbookViewId="0" topLeftCell="A1">
      <selection activeCell="AC13" sqref="AC13"/>
    </sheetView>
  </sheetViews>
  <sheetFormatPr defaultColWidth="9.140625" defaultRowHeight="12.75"/>
  <cols>
    <col min="1" max="1" width="42.140625" style="0" customWidth="1"/>
    <col min="2" max="2" width="5.57421875" style="0" customWidth="1"/>
    <col min="3" max="3" width="9.57421875" style="0" customWidth="1"/>
    <col min="4" max="4" width="12.00390625" style="0" customWidth="1"/>
    <col min="5" max="7" width="10.7109375" style="0" customWidth="1"/>
    <col min="8" max="8" width="5.7109375" style="0" customWidth="1"/>
    <col min="9" max="9" width="9.57421875" style="0" customWidth="1"/>
    <col min="10" max="10" width="11.140625" style="0" customWidth="1"/>
    <col min="11" max="13" width="10.7109375" style="0" customWidth="1"/>
    <col min="14" max="14" width="5.7109375" style="0" customWidth="1"/>
    <col min="15" max="19" width="10.7109375" style="0" customWidth="1"/>
    <col min="20" max="20" width="5.7109375" style="0" customWidth="1"/>
    <col min="21" max="21" width="10.8515625" style="0" customWidth="1"/>
    <col min="22" max="23" width="12.00390625" style="0" customWidth="1"/>
    <col min="24" max="24" width="11.57421875" style="0" customWidth="1"/>
    <col min="25" max="25" width="10.7109375" style="0" customWidth="1"/>
    <col min="26" max="26" width="5.8515625" style="0" customWidth="1"/>
    <col min="27" max="27" width="50.140625" style="0" customWidth="1"/>
    <col min="28" max="28" width="10.421875" style="0" customWidth="1"/>
    <col min="29" max="29" width="10.7109375" style="0" customWidth="1"/>
    <col min="30" max="30" width="9.28125" style="0" customWidth="1"/>
    <col min="31" max="31" width="11.00390625" style="0" customWidth="1"/>
    <col min="32" max="32" width="9.8515625" style="0" customWidth="1"/>
    <col min="33" max="33" width="9.57421875" style="0" customWidth="1"/>
    <col min="35" max="35" width="19.00390625" style="0" customWidth="1"/>
    <col min="41" max="41" width="11.00390625" style="0" customWidth="1"/>
    <col min="44" max="44" width="9.7109375" style="0" customWidth="1"/>
    <col min="45" max="45" width="11.7109375" style="0" customWidth="1"/>
  </cols>
  <sheetData>
    <row r="1" spans="1:47" ht="39.75" customHeight="1" thickBot="1">
      <c r="A1" s="328" t="s">
        <v>127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  <c r="Z1" s="7"/>
      <c r="AA1" s="361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3"/>
    </row>
    <row r="2" spans="1:47" ht="30" customHeight="1" thickBot="1">
      <c r="A2" s="331" t="s">
        <v>110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  <c r="Z2" s="7"/>
      <c r="AA2" s="364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6"/>
    </row>
    <row r="3" spans="1:47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7"/>
      <c r="AA3" s="367"/>
      <c r="AB3" s="368"/>
      <c r="AC3" s="368"/>
      <c r="AD3" s="368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3"/>
    </row>
    <row r="4" spans="1:33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7"/>
      <c r="AA4" s="337" t="s">
        <v>76</v>
      </c>
      <c r="AB4" s="338"/>
      <c r="AC4" s="338"/>
      <c r="AD4" s="339"/>
      <c r="AE4" s="7"/>
      <c r="AF4" s="7"/>
      <c r="AG4" s="7"/>
    </row>
    <row r="5" spans="1:33" ht="21" customHeight="1">
      <c r="A5" s="122" t="s">
        <v>65</v>
      </c>
      <c r="B5" s="123"/>
      <c r="C5" s="340" t="s">
        <v>58</v>
      </c>
      <c r="D5" s="341"/>
      <c r="E5" s="341"/>
      <c r="F5" s="341"/>
      <c r="G5" s="342"/>
      <c r="H5" s="123"/>
      <c r="I5" s="343" t="s">
        <v>61</v>
      </c>
      <c r="J5" s="344"/>
      <c r="K5" s="344"/>
      <c r="L5" s="344"/>
      <c r="M5" s="345"/>
      <c r="N5" s="123"/>
      <c r="O5" s="346" t="s">
        <v>96</v>
      </c>
      <c r="P5" s="347"/>
      <c r="Q5" s="347"/>
      <c r="R5" s="347"/>
      <c r="S5" s="348"/>
      <c r="T5" s="123"/>
      <c r="U5" s="352" t="s">
        <v>63</v>
      </c>
      <c r="V5" s="353"/>
      <c r="W5" s="353"/>
      <c r="X5" s="353"/>
      <c r="Y5" s="354"/>
      <c r="Z5" s="7"/>
      <c r="AA5" s="358" t="s">
        <v>71</v>
      </c>
      <c r="AB5" s="359"/>
      <c r="AC5" s="359"/>
      <c r="AD5" s="360"/>
      <c r="AE5" s="7"/>
      <c r="AF5" s="7"/>
      <c r="AG5" s="7"/>
    </row>
    <row r="6" spans="1:33" ht="21" customHeight="1" thickBot="1">
      <c r="A6" s="122" t="s">
        <v>59</v>
      </c>
      <c r="B6" s="15"/>
      <c r="C6" s="340" t="s">
        <v>60</v>
      </c>
      <c r="D6" s="341"/>
      <c r="E6" s="341"/>
      <c r="F6" s="341"/>
      <c r="G6" s="342"/>
      <c r="H6" s="124"/>
      <c r="I6" s="343" t="s">
        <v>62</v>
      </c>
      <c r="J6" s="344"/>
      <c r="K6" s="344"/>
      <c r="L6" s="344"/>
      <c r="M6" s="345"/>
      <c r="N6" s="125"/>
      <c r="O6" s="346" t="s">
        <v>120</v>
      </c>
      <c r="P6" s="347"/>
      <c r="Q6" s="347"/>
      <c r="R6" s="347"/>
      <c r="S6" s="348"/>
      <c r="T6" s="125"/>
      <c r="U6" s="352" t="s">
        <v>82</v>
      </c>
      <c r="V6" s="353"/>
      <c r="W6" s="353"/>
      <c r="X6" s="353"/>
      <c r="Y6" s="354"/>
      <c r="Z6" s="7"/>
      <c r="AA6" s="83"/>
      <c r="AB6" s="71"/>
      <c r="AC6" s="71"/>
      <c r="AD6" s="84"/>
      <c r="AE6" s="7"/>
      <c r="AF6" s="7"/>
      <c r="AG6" s="7"/>
    </row>
    <row r="7" spans="1:43" ht="21" customHeight="1" thickBot="1">
      <c r="A7" s="126"/>
      <c r="B7" s="15"/>
      <c r="C7" s="127"/>
      <c r="D7" s="129" t="s">
        <v>91</v>
      </c>
      <c r="E7" s="128" t="s">
        <v>1</v>
      </c>
      <c r="F7" s="128" t="s">
        <v>13</v>
      </c>
      <c r="G7" s="129" t="s">
        <v>12</v>
      </c>
      <c r="H7" s="124"/>
      <c r="I7" s="130"/>
      <c r="J7" s="171" t="s">
        <v>91</v>
      </c>
      <c r="K7" s="131" t="s">
        <v>1</v>
      </c>
      <c r="L7" s="131" t="s">
        <v>13</v>
      </c>
      <c r="M7" s="132" t="s">
        <v>12</v>
      </c>
      <c r="N7" s="133"/>
      <c r="O7" s="134"/>
      <c r="P7" s="169" t="s">
        <v>91</v>
      </c>
      <c r="Q7" s="135" t="s">
        <v>1</v>
      </c>
      <c r="R7" s="135" t="s">
        <v>13</v>
      </c>
      <c r="S7" s="136" t="s">
        <v>12</v>
      </c>
      <c r="T7" s="125"/>
      <c r="U7" s="137"/>
      <c r="V7" s="170" t="s">
        <v>91</v>
      </c>
      <c r="W7" s="138" t="s">
        <v>1</v>
      </c>
      <c r="X7" s="138" t="s">
        <v>13</v>
      </c>
      <c r="Y7" s="139" t="s">
        <v>12</v>
      </c>
      <c r="Z7" s="7"/>
      <c r="AA7" s="180" t="s">
        <v>18</v>
      </c>
      <c r="AB7" s="28" t="s">
        <v>19</v>
      </c>
      <c r="AC7" s="29" t="s">
        <v>6</v>
      </c>
      <c r="AD7" s="28" t="s">
        <v>0</v>
      </c>
      <c r="AE7" s="7"/>
      <c r="AF7" s="7"/>
      <c r="AG7" s="7"/>
      <c r="AO7" s="1"/>
      <c r="AP7" s="1"/>
      <c r="AQ7" s="1"/>
    </row>
    <row r="8" spans="1:45" ht="21" customHeight="1">
      <c r="A8" s="126"/>
      <c r="B8" s="15"/>
      <c r="C8" s="127"/>
      <c r="D8" s="129" t="s">
        <v>4</v>
      </c>
      <c r="E8" s="129" t="s">
        <v>4</v>
      </c>
      <c r="F8" s="129" t="s">
        <v>4</v>
      </c>
      <c r="G8" s="129" t="s">
        <v>4</v>
      </c>
      <c r="H8" s="124"/>
      <c r="I8" s="132"/>
      <c r="J8" s="132" t="s">
        <v>4</v>
      </c>
      <c r="K8" s="132" t="s">
        <v>4</v>
      </c>
      <c r="L8" s="132" t="s">
        <v>4</v>
      </c>
      <c r="M8" s="132" t="s">
        <v>4</v>
      </c>
      <c r="N8" s="133"/>
      <c r="O8" s="136"/>
      <c r="P8" s="136" t="s">
        <v>4</v>
      </c>
      <c r="Q8" s="136" t="s">
        <v>4</v>
      </c>
      <c r="R8" s="136" t="s">
        <v>4</v>
      </c>
      <c r="S8" s="136" t="s">
        <v>4</v>
      </c>
      <c r="T8" s="125"/>
      <c r="U8" s="140"/>
      <c r="V8" s="140" t="s">
        <v>4</v>
      </c>
      <c r="W8" s="140" t="s">
        <v>4</v>
      </c>
      <c r="X8" s="140" t="s">
        <v>4</v>
      </c>
      <c r="Y8" s="139" t="s">
        <v>4</v>
      </c>
      <c r="Z8" s="7"/>
      <c r="AA8" s="30"/>
      <c r="AB8" s="28" t="s">
        <v>4</v>
      </c>
      <c r="AC8" s="29" t="s">
        <v>3</v>
      </c>
      <c r="AD8" s="28" t="s">
        <v>2</v>
      </c>
      <c r="AE8" s="7"/>
      <c r="AF8" s="7"/>
      <c r="AG8" s="8"/>
      <c r="AH8" s="8"/>
      <c r="AI8" s="8"/>
      <c r="AJ8" s="9" t="s">
        <v>8</v>
      </c>
      <c r="AK8" s="8" t="s">
        <v>11</v>
      </c>
      <c r="AO8" s="8"/>
      <c r="AP8" s="8"/>
      <c r="AQ8" s="8"/>
      <c r="AR8" s="9" t="s">
        <v>8</v>
      </c>
      <c r="AS8" s="8" t="s">
        <v>11</v>
      </c>
    </row>
    <row r="9" spans="1:45" ht="21" customHeight="1">
      <c r="A9" s="61"/>
      <c r="B9" s="1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62"/>
      <c r="Z9" s="7"/>
      <c r="AA9" s="119" t="s">
        <v>17</v>
      </c>
      <c r="AB9" s="31"/>
      <c r="AC9" s="32"/>
      <c r="AD9" s="33"/>
      <c r="AE9" s="7"/>
      <c r="AF9" s="7"/>
      <c r="AG9" s="10" t="s">
        <v>14</v>
      </c>
      <c r="AH9" s="10" t="s">
        <v>5</v>
      </c>
      <c r="AI9" s="10" t="s">
        <v>9</v>
      </c>
      <c r="AJ9" s="10" t="s">
        <v>10</v>
      </c>
      <c r="AK9" s="10" t="s">
        <v>10</v>
      </c>
      <c r="AO9" s="10" t="s">
        <v>14</v>
      </c>
      <c r="AP9" s="10" t="s">
        <v>5</v>
      </c>
      <c r="AQ9" s="10" t="s">
        <v>9</v>
      </c>
      <c r="AR9" s="10" t="s">
        <v>10</v>
      </c>
      <c r="AS9" s="10" t="s">
        <v>10</v>
      </c>
    </row>
    <row r="10" spans="1:45" ht="21" customHeight="1">
      <c r="A10" s="126" t="s">
        <v>119</v>
      </c>
      <c r="B10" s="13"/>
      <c r="C10" s="125"/>
      <c r="D10" s="15">
        <v>4401</v>
      </c>
      <c r="E10" s="125"/>
      <c r="F10" s="125"/>
      <c r="G10" s="125"/>
      <c r="H10" s="125"/>
      <c r="I10" s="125"/>
      <c r="J10" s="15">
        <v>4401</v>
      </c>
      <c r="K10" s="125"/>
      <c r="L10" s="125"/>
      <c r="M10" s="125"/>
      <c r="N10" s="125"/>
      <c r="O10" s="125"/>
      <c r="P10" s="15">
        <v>4401</v>
      </c>
      <c r="Q10" s="125"/>
      <c r="R10" s="125"/>
      <c r="S10" s="125"/>
      <c r="T10" s="125"/>
      <c r="U10" s="125"/>
      <c r="V10" s="15">
        <v>4401</v>
      </c>
      <c r="W10" s="125"/>
      <c r="X10" s="125"/>
      <c r="Y10" s="125"/>
      <c r="Z10" s="7"/>
      <c r="AA10" s="34" t="s">
        <v>91</v>
      </c>
      <c r="AB10" s="81">
        <f>D22</f>
        <v>994.2</v>
      </c>
      <c r="AC10" s="79">
        <f>D31</f>
        <v>9.942</v>
      </c>
      <c r="AD10" s="80">
        <f>D30</f>
        <v>1.2825012214794116</v>
      </c>
      <c r="AE10" s="7"/>
      <c r="AF10" s="7"/>
      <c r="AG10" s="10"/>
      <c r="AH10" s="10"/>
      <c r="AI10" s="10"/>
      <c r="AJ10" s="10"/>
      <c r="AK10" s="10"/>
      <c r="AO10" s="10"/>
      <c r="AP10" s="10"/>
      <c r="AQ10" s="10"/>
      <c r="AR10" s="10"/>
      <c r="AS10" s="10"/>
    </row>
    <row r="11" spans="1:45" ht="21" customHeight="1">
      <c r="A11" s="162" t="s">
        <v>89</v>
      </c>
      <c r="B11" s="14"/>
      <c r="C11" s="15"/>
      <c r="D11" s="15"/>
      <c r="E11" s="16">
        <v>1719</v>
      </c>
      <c r="F11" s="16">
        <v>1204</v>
      </c>
      <c r="G11" s="16">
        <v>883</v>
      </c>
      <c r="H11" s="16"/>
      <c r="I11" s="16"/>
      <c r="J11" s="15"/>
      <c r="K11" s="16">
        <v>1719</v>
      </c>
      <c r="L11" s="16">
        <v>1204</v>
      </c>
      <c r="M11" s="16">
        <v>883</v>
      </c>
      <c r="N11" s="16"/>
      <c r="O11" s="16"/>
      <c r="P11" s="15"/>
      <c r="Q11" s="16">
        <v>1719</v>
      </c>
      <c r="R11" s="16">
        <v>1204</v>
      </c>
      <c r="S11" s="16">
        <v>883</v>
      </c>
      <c r="T11" s="16"/>
      <c r="U11" s="16"/>
      <c r="V11" s="15"/>
      <c r="W11" s="16">
        <v>1719</v>
      </c>
      <c r="X11" s="16">
        <v>1204</v>
      </c>
      <c r="Y11" s="16">
        <v>883</v>
      </c>
      <c r="Z11" s="7"/>
      <c r="AA11" s="34" t="s">
        <v>1</v>
      </c>
      <c r="AB11" s="35">
        <f>E22</f>
        <v>457.8</v>
      </c>
      <c r="AC11" s="36">
        <f>E31</f>
        <v>4.578</v>
      </c>
      <c r="AD11" s="37">
        <f>E30</f>
        <v>0.7953516367219697</v>
      </c>
      <c r="AE11" s="7"/>
      <c r="AF11" s="7"/>
      <c r="AG11" s="10" t="s">
        <v>4</v>
      </c>
      <c r="AH11" s="10"/>
      <c r="AI11" s="10" t="s">
        <v>2</v>
      </c>
      <c r="AJ11" s="10" t="s">
        <v>4</v>
      </c>
      <c r="AK11" s="10" t="s">
        <v>4</v>
      </c>
      <c r="AO11" s="10" t="s">
        <v>4</v>
      </c>
      <c r="AP11" s="10"/>
      <c r="AQ11" s="10" t="s">
        <v>2</v>
      </c>
      <c r="AR11" s="10" t="s">
        <v>4</v>
      </c>
      <c r="AS11" s="10" t="s">
        <v>4</v>
      </c>
    </row>
    <row r="12" spans="1:45" ht="21" customHeight="1">
      <c r="A12" s="162" t="s">
        <v>50</v>
      </c>
      <c r="B12" s="14"/>
      <c r="C12" s="15"/>
      <c r="D12" s="16">
        <v>100</v>
      </c>
      <c r="E12" s="16">
        <v>100</v>
      </c>
      <c r="F12" s="16">
        <v>100</v>
      </c>
      <c r="G12" s="16">
        <v>100</v>
      </c>
      <c r="H12" s="16"/>
      <c r="I12" s="16"/>
      <c r="J12" s="16">
        <v>100</v>
      </c>
      <c r="K12" s="16">
        <v>100</v>
      </c>
      <c r="L12" s="16">
        <v>100</v>
      </c>
      <c r="M12" s="16">
        <v>100</v>
      </c>
      <c r="N12" s="16"/>
      <c r="O12" s="16"/>
      <c r="P12" s="16">
        <v>100</v>
      </c>
      <c r="Q12" s="16">
        <v>100</v>
      </c>
      <c r="R12" s="16">
        <v>100</v>
      </c>
      <c r="S12" s="16">
        <v>100</v>
      </c>
      <c r="T12" s="16"/>
      <c r="U12" s="16"/>
      <c r="V12" s="16">
        <v>100</v>
      </c>
      <c r="W12" s="16">
        <v>100</v>
      </c>
      <c r="X12" s="16">
        <v>100</v>
      </c>
      <c r="Y12" s="16">
        <v>100</v>
      </c>
      <c r="Z12" s="7"/>
      <c r="AA12" s="34" t="s">
        <v>7</v>
      </c>
      <c r="AB12" s="81">
        <f>F22</f>
        <v>354.8</v>
      </c>
      <c r="AC12" s="36">
        <f>F31</f>
        <v>3.548</v>
      </c>
      <c r="AD12" s="37">
        <f>F30</f>
        <v>0.656568059659977</v>
      </c>
      <c r="AE12" s="7"/>
      <c r="AF12" s="7"/>
      <c r="AG12" s="5">
        <v>150</v>
      </c>
      <c r="AH12" s="5">
        <v>1</v>
      </c>
      <c r="AI12" s="6">
        <v>0.15</v>
      </c>
      <c r="AJ12" s="4">
        <f>$AG$12*AI12</f>
        <v>22.5</v>
      </c>
      <c r="AK12" s="2">
        <f>AJ12</f>
        <v>22.5</v>
      </c>
      <c r="AO12" s="5">
        <v>150</v>
      </c>
      <c r="AP12" s="5">
        <v>1</v>
      </c>
      <c r="AQ12" s="6">
        <v>0.15</v>
      </c>
      <c r="AR12" s="4">
        <f>$AO$12*AQ12</f>
        <v>22.5</v>
      </c>
      <c r="AS12" s="2">
        <f>AR12</f>
        <v>22.5</v>
      </c>
    </row>
    <row r="13" spans="1:45" ht="21" customHeight="1">
      <c r="A13" s="162" t="s">
        <v>23</v>
      </c>
      <c r="B13" s="14"/>
      <c r="C13" s="15"/>
      <c r="D13" s="16">
        <v>52</v>
      </c>
      <c r="E13" s="16">
        <v>52</v>
      </c>
      <c r="F13" s="16">
        <v>52</v>
      </c>
      <c r="G13" s="16">
        <v>52</v>
      </c>
      <c r="H13" s="16"/>
      <c r="I13" s="17"/>
      <c r="J13" s="16"/>
      <c r="K13" s="16"/>
      <c r="L13" s="16"/>
      <c r="M13" s="16"/>
      <c r="N13" s="16"/>
      <c r="O13" s="17"/>
      <c r="P13" s="16"/>
      <c r="Q13" s="16"/>
      <c r="R13" s="16"/>
      <c r="S13" s="16"/>
      <c r="T13" s="16"/>
      <c r="U13" s="17"/>
      <c r="V13" s="16"/>
      <c r="W13" s="16"/>
      <c r="X13" s="16"/>
      <c r="Y13" s="63"/>
      <c r="Z13" s="7"/>
      <c r="AA13" s="34" t="s">
        <v>12</v>
      </c>
      <c r="AB13" s="81">
        <f>G22</f>
        <v>290.6</v>
      </c>
      <c r="AC13" s="36">
        <f>G31</f>
        <v>2.906</v>
      </c>
      <c r="AD13" s="37">
        <f>G30</f>
        <v>0.5531785473713591</v>
      </c>
      <c r="AE13" s="7"/>
      <c r="AF13" s="7"/>
      <c r="AG13" s="3"/>
      <c r="AH13" s="5">
        <v>2</v>
      </c>
      <c r="AI13" s="6">
        <f>AI12*1.15</f>
        <v>0.1725</v>
      </c>
      <c r="AJ13" s="4">
        <f>$AG$12*AI13</f>
        <v>25.874999999999996</v>
      </c>
      <c r="AK13" s="2">
        <f>AK12+AJ13</f>
        <v>48.375</v>
      </c>
      <c r="AO13" s="3"/>
      <c r="AP13" s="5">
        <v>2</v>
      </c>
      <c r="AQ13" s="6">
        <f>AQ12*1.15</f>
        <v>0.1725</v>
      </c>
      <c r="AR13" s="4">
        <f>$AO$12*AQ13</f>
        <v>25.874999999999996</v>
      </c>
      <c r="AS13" s="2">
        <f>AS12+AR13</f>
        <v>48.375</v>
      </c>
    </row>
    <row r="14" spans="1:45" ht="21" customHeight="1">
      <c r="A14" s="162" t="s">
        <v>53</v>
      </c>
      <c r="B14" s="14"/>
      <c r="C14" s="15"/>
      <c r="D14" s="16">
        <f>(D12+D13)/0.8</f>
        <v>190</v>
      </c>
      <c r="E14" s="16">
        <f>(E12+E13)/0.8</f>
        <v>190</v>
      </c>
      <c r="F14" s="16">
        <f>(F12+F13)/0.8</f>
        <v>190</v>
      </c>
      <c r="G14" s="16">
        <f>(G12+G13)/0.8</f>
        <v>190</v>
      </c>
      <c r="H14" s="16"/>
      <c r="I14" s="17"/>
      <c r="J14" s="16"/>
      <c r="K14" s="16"/>
      <c r="L14" s="16"/>
      <c r="M14" s="16"/>
      <c r="N14" s="16"/>
      <c r="O14" s="17"/>
      <c r="T14" s="16"/>
      <c r="U14" s="17"/>
      <c r="V14" s="16">
        <v>100</v>
      </c>
      <c r="W14" s="16">
        <v>100</v>
      </c>
      <c r="X14" s="16">
        <v>100</v>
      </c>
      <c r="Y14" s="16">
        <v>100</v>
      </c>
      <c r="Z14" s="7"/>
      <c r="AA14" s="38"/>
      <c r="AB14" s="39"/>
      <c r="AC14" s="40"/>
      <c r="AD14" s="41"/>
      <c r="AE14" s="7"/>
      <c r="AF14" s="7"/>
      <c r="AG14" s="3"/>
      <c r="AH14" s="5"/>
      <c r="AI14" s="6"/>
      <c r="AJ14" s="4"/>
      <c r="AK14" s="2"/>
      <c r="AO14" s="3"/>
      <c r="AP14" s="5"/>
      <c r="AQ14" s="6"/>
      <c r="AR14" s="4"/>
      <c r="AS14" s="2"/>
    </row>
    <row r="15" spans="1:45" ht="21" customHeight="1">
      <c r="A15" s="162" t="s">
        <v>51</v>
      </c>
      <c r="B15" s="14"/>
      <c r="C15" s="178">
        <v>0.2</v>
      </c>
      <c r="D15" s="16">
        <f>D14*0.2</f>
        <v>38</v>
      </c>
      <c r="E15" s="16">
        <f>E14*0.2</f>
        <v>38</v>
      </c>
      <c r="F15" s="16">
        <f>F14*0.2</f>
        <v>38</v>
      </c>
      <c r="G15" s="16">
        <f>G14*0.2</f>
        <v>38</v>
      </c>
      <c r="H15" s="16"/>
      <c r="I15" s="22">
        <v>0.25</v>
      </c>
      <c r="J15" s="16">
        <v>18.75</v>
      </c>
      <c r="K15" s="16">
        <v>18.75</v>
      </c>
      <c r="L15" s="16">
        <v>18.75</v>
      </c>
      <c r="M15" s="16">
        <v>18.75</v>
      </c>
      <c r="N15" s="16"/>
      <c r="O15" s="22">
        <v>0</v>
      </c>
      <c r="P15" s="16"/>
      <c r="Q15" s="16"/>
      <c r="R15" s="16"/>
      <c r="S15" s="16"/>
      <c r="T15" s="16"/>
      <c r="U15" s="22">
        <v>0</v>
      </c>
      <c r="V15" s="16"/>
      <c r="W15" s="16"/>
      <c r="X15" s="16"/>
      <c r="Y15" s="63"/>
      <c r="Z15" s="7"/>
      <c r="AA15" s="49" t="s">
        <v>20</v>
      </c>
      <c r="AB15" s="42"/>
      <c r="AC15" s="36"/>
      <c r="AD15" s="43"/>
      <c r="AE15" s="7"/>
      <c r="AF15" s="7"/>
      <c r="AG15" s="3"/>
      <c r="AH15" s="5"/>
      <c r="AI15" s="6"/>
      <c r="AJ15" s="4"/>
      <c r="AK15" s="2"/>
      <c r="AO15" s="3"/>
      <c r="AP15" s="5"/>
      <c r="AQ15" s="6"/>
      <c r="AR15" s="4"/>
      <c r="AS15" s="2"/>
    </row>
    <row r="16" spans="1:45" ht="21" customHeight="1">
      <c r="A16" s="162" t="s">
        <v>52</v>
      </c>
      <c r="B16" s="14"/>
      <c r="C16" s="179"/>
      <c r="D16" s="16">
        <f>D10-D14</f>
        <v>4211</v>
      </c>
      <c r="E16" s="16">
        <f>E11-E14</f>
        <v>1529</v>
      </c>
      <c r="F16" s="16">
        <f>F11-F14</f>
        <v>1014</v>
      </c>
      <c r="G16" s="16">
        <f>G11-G14</f>
        <v>693</v>
      </c>
      <c r="H16" s="16"/>
      <c r="I16" s="18"/>
      <c r="J16" s="16"/>
      <c r="K16" s="16"/>
      <c r="L16" s="16"/>
      <c r="M16" s="16"/>
      <c r="N16" s="16"/>
      <c r="O16" s="18"/>
      <c r="P16" s="16">
        <f>P10-P12-P13</f>
        <v>4301</v>
      </c>
      <c r="Q16" s="16">
        <f>Q11-Q12-Q13</f>
        <v>1619</v>
      </c>
      <c r="R16" s="16">
        <f>R11-R12-R13</f>
        <v>1104</v>
      </c>
      <c r="S16" s="16">
        <f>S11-S12-S13</f>
        <v>783</v>
      </c>
      <c r="T16" s="16"/>
      <c r="U16" s="18"/>
      <c r="V16" s="16">
        <f>V10-V12-V13</f>
        <v>4301</v>
      </c>
      <c r="W16" s="16">
        <f>W11-W12-W13</f>
        <v>1619</v>
      </c>
      <c r="X16" s="16">
        <f>X11-X12-X13</f>
        <v>1104</v>
      </c>
      <c r="Y16" s="63">
        <f>Y11-Y12-Y13</f>
        <v>783</v>
      </c>
      <c r="Z16" s="7"/>
      <c r="AA16" s="34" t="s">
        <v>91</v>
      </c>
      <c r="AB16" s="81">
        <f>J22</f>
        <v>3300.75</v>
      </c>
      <c r="AC16" s="79">
        <f>J31</f>
        <v>33.0075</v>
      </c>
      <c r="AD16" s="80">
        <f>J30</f>
        <v>2.311098708174872</v>
      </c>
      <c r="AE16" s="7"/>
      <c r="AF16" s="7"/>
      <c r="AG16" s="3"/>
      <c r="AH16" s="5">
        <v>3</v>
      </c>
      <c r="AI16" s="6">
        <f>AI13*1.15</f>
        <v>0.19837499999999997</v>
      </c>
      <c r="AJ16" s="4">
        <f>$AG$12*AI16</f>
        <v>29.756249999999994</v>
      </c>
      <c r="AK16" s="2">
        <f>AK13+AJ16</f>
        <v>78.13125</v>
      </c>
      <c r="AO16" s="3"/>
      <c r="AP16" s="5">
        <v>3</v>
      </c>
      <c r="AQ16" s="6">
        <f>AQ13*1.15</f>
        <v>0.19837499999999997</v>
      </c>
      <c r="AR16" s="4">
        <f>$AO$12*AQ16</f>
        <v>29.756249999999994</v>
      </c>
      <c r="AS16" s="2">
        <f>AS13+AR16</f>
        <v>78.13125</v>
      </c>
    </row>
    <row r="17" spans="1:45" ht="21" customHeight="1">
      <c r="A17" s="163" t="s">
        <v>24</v>
      </c>
      <c r="B17" s="19"/>
      <c r="C17" s="178">
        <v>0.1</v>
      </c>
      <c r="D17" s="16">
        <f>5.3+(D15-5.3)/2</f>
        <v>21.650000000000002</v>
      </c>
      <c r="E17" s="16">
        <f>5.3+(E15-5.3)/2</f>
        <v>21.650000000000002</v>
      </c>
      <c r="F17" s="16">
        <f>5.3+(F15-5.3)/2</f>
        <v>21.650000000000002</v>
      </c>
      <c r="G17" s="16">
        <f>5.3+(G15-5.3)/2</f>
        <v>21.650000000000002</v>
      </c>
      <c r="H17" s="16"/>
      <c r="I17" s="22">
        <v>0.25</v>
      </c>
      <c r="J17" s="16">
        <f>(J15-5.32)/2+5.32</f>
        <v>12.035</v>
      </c>
      <c r="K17" s="16">
        <f>(K15-5.32)/2+5.32</f>
        <v>12.035</v>
      </c>
      <c r="L17" s="16">
        <f>(L15-5.32)/2+5.32</f>
        <v>12.035</v>
      </c>
      <c r="M17" s="16">
        <f>(M15-5.32)/2+5.32</f>
        <v>12.035</v>
      </c>
      <c r="N17" s="16"/>
      <c r="O17" s="22" t="s">
        <v>47</v>
      </c>
      <c r="P17" s="16">
        <v>5.3</v>
      </c>
      <c r="Q17" s="16">
        <v>5.3</v>
      </c>
      <c r="R17" s="16">
        <v>5.3</v>
      </c>
      <c r="S17" s="16">
        <v>5.3</v>
      </c>
      <c r="T17" s="16"/>
      <c r="U17" s="22">
        <v>0</v>
      </c>
      <c r="V17" s="16"/>
      <c r="W17" s="16"/>
      <c r="X17" s="16"/>
      <c r="Y17" s="63"/>
      <c r="Z17" s="7"/>
      <c r="AA17" s="34" t="s">
        <v>1</v>
      </c>
      <c r="AB17" s="35">
        <f>K22</f>
        <v>1289.25</v>
      </c>
      <c r="AC17" s="36">
        <f>K31</f>
        <v>12.8925</v>
      </c>
      <c r="AD17" s="37">
        <f>K30</f>
        <v>1.4651327236267129</v>
      </c>
      <c r="AE17" s="7"/>
      <c r="AF17" s="7"/>
      <c r="AG17" s="3"/>
      <c r="AH17" s="5">
        <v>4</v>
      </c>
      <c r="AI17" s="6">
        <f>AI16*1.15</f>
        <v>0.22813124999999995</v>
      </c>
      <c r="AJ17" s="4">
        <f>$AG$12*AI17</f>
        <v>34.21968749999999</v>
      </c>
      <c r="AK17" s="2">
        <f>AK16+AJ17</f>
        <v>112.35093749999999</v>
      </c>
      <c r="AO17" s="3"/>
      <c r="AP17" s="5">
        <v>4</v>
      </c>
      <c r="AQ17" s="6">
        <f>AQ16*1.15</f>
        <v>0.22813124999999995</v>
      </c>
      <c r="AR17" s="4">
        <f>$AO$12*AQ17</f>
        <v>34.21968749999999</v>
      </c>
      <c r="AS17" s="2">
        <f>AS16+AR17</f>
        <v>112.35093749999999</v>
      </c>
    </row>
    <row r="18" spans="1:33" ht="21" customHeight="1">
      <c r="A18" s="163" t="s">
        <v>35</v>
      </c>
      <c r="B18" s="19"/>
      <c r="C18" s="178">
        <v>0.8</v>
      </c>
      <c r="D18" s="16">
        <f>D16*0.8</f>
        <v>3368.8</v>
      </c>
      <c r="E18" s="16">
        <f>E16*0.8</f>
        <v>1223.2</v>
      </c>
      <c r="F18" s="16">
        <f>F16*0.8</f>
        <v>811.2</v>
      </c>
      <c r="G18" s="16">
        <f>G16*0.8</f>
        <v>554.4</v>
      </c>
      <c r="H18" s="16"/>
      <c r="I18" s="22">
        <v>0.25</v>
      </c>
      <c r="J18" s="16">
        <f>(J10-J12)*0.25</f>
        <v>1075.25</v>
      </c>
      <c r="K18" s="16">
        <f>(K11-K12)*0.25</f>
        <v>404.75</v>
      </c>
      <c r="L18" s="16">
        <f>(L11-L12)*0.25</f>
        <v>276</v>
      </c>
      <c r="M18" s="16">
        <f>(M11-M12)*0.25</f>
        <v>195.75</v>
      </c>
      <c r="N18" s="16"/>
      <c r="O18" s="22">
        <v>0.25</v>
      </c>
      <c r="P18" s="16">
        <f>P16*0.25</f>
        <v>1075.25</v>
      </c>
      <c r="Q18" s="16">
        <f>Q16*0.25</f>
        <v>404.75</v>
      </c>
      <c r="R18" s="16">
        <f>R16*0.25</f>
        <v>276</v>
      </c>
      <c r="S18" s="16">
        <f>S16*0.25</f>
        <v>195.75</v>
      </c>
      <c r="T18" s="16"/>
      <c r="U18" s="22">
        <v>0.25</v>
      </c>
      <c r="V18" s="16">
        <f>V16*0.25</f>
        <v>1075.25</v>
      </c>
      <c r="W18" s="16">
        <f>W16*0.25</f>
        <v>404.75</v>
      </c>
      <c r="X18" s="16">
        <f>X16*0.25</f>
        <v>276</v>
      </c>
      <c r="Y18" s="63">
        <f>Y16*0.25</f>
        <v>195.75</v>
      </c>
      <c r="Z18" s="7"/>
      <c r="AA18" s="34" t="s">
        <v>7</v>
      </c>
      <c r="AB18" s="82">
        <f>L22</f>
        <v>903</v>
      </c>
      <c r="AC18" s="36">
        <f>L31</f>
        <v>9.03</v>
      </c>
      <c r="AD18" s="37">
        <f>L30</f>
        <v>1.2070008536079637</v>
      </c>
      <c r="AE18" s="7"/>
      <c r="AF18" s="7"/>
      <c r="AG18" s="7"/>
    </row>
    <row r="19" spans="1:33" ht="21" customHeight="1">
      <c r="A19" s="163" t="s">
        <v>40</v>
      </c>
      <c r="B19" s="19"/>
      <c r="C19" s="178">
        <v>0.4</v>
      </c>
      <c r="D19" s="16">
        <f>D18/2</f>
        <v>1684.4</v>
      </c>
      <c r="E19" s="16">
        <f>E18/2</f>
        <v>611.6</v>
      </c>
      <c r="F19" s="16">
        <f>F18/2</f>
        <v>405.6</v>
      </c>
      <c r="G19" s="16">
        <f>G18/2</f>
        <v>277.2</v>
      </c>
      <c r="H19" s="16"/>
      <c r="I19" s="21">
        <v>0.125</v>
      </c>
      <c r="J19" s="16">
        <f>J18/2</f>
        <v>537.625</v>
      </c>
      <c r="K19" s="16">
        <f>K18/2</f>
        <v>202.375</v>
      </c>
      <c r="L19" s="16">
        <f>L18/2</f>
        <v>138</v>
      </c>
      <c r="M19" s="16">
        <f>M18/2</f>
        <v>97.875</v>
      </c>
      <c r="N19" s="16"/>
      <c r="O19" s="21">
        <v>0.125</v>
      </c>
      <c r="P19" s="16">
        <f>P18/2</f>
        <v>537.625</v>
      </c>
      <c r="Q19" s="16">
        <f>Q18/2</f>
        <v>202.375</v>
      </c>
      <c r="R19" s="16">
        <f>R18/2</f>
        <v>138</v>
      </c>
      <c r="S19" s="16">
        <f>S18/2</f>
        <v>97.875</v>
      </c>
      <c r="T19" s="16"/>
      <c r="U19" s="21">
        <v>0.125</v>
      </c>
      <c r="V19" s="16">
        <f>(V18-5.3)/2+5.3</f>
        <v>540.275</v>
      </c>
      <c r="W19" s="16">
        <f>(W18-5.3)/2+5.3</f>
        <v>205.025</v>
      </c>
      <c r="X19" s="16">
        <f>(X18-5.3)/2+5.3</f>
        <v>140.65</v>
      </c>
      <c r="Y19" s="63">
        <f>(Y18-5.3)/2+5.3</f>
        <v>100.52499999999999</v>
      </c>
      <c r="Z19" s="7"/>
      <c r="AA19" s="34" t="s">
        <v>12</v>
      </c>
      <c r="AB19" s="82">
        <f>M22</f>
        <v>662.25</v>
      </c>
      <c r="AC19" s="36">
        <f>M31</f>
        <v>6.6225</v>
      </c>
      <c r="AD19" s="37">
        <f>M30</f>
        <v>1.0044803281233876</v>
      </c>
      <c r="AE19" s="7"/>
      <c r="AF19" s="7"/>
      <c r="AG19" s="7"/>
    </row>
    <row r="20" spans="1:33" ht="21" customHeight="1" thickBot="1">
      <c r="A20" s="165" t="s">
        <v>25</v>
      </c>
      <c r="B20" s="15"/>
      <c r="C20" s="15"/>
      <c r="D20" s="16">
        <f>D19+D17</f>
        <v>1706.0500000000002</v>
      </c>
      <c r="E20" s="16">
        <f>E19+E17</f>
        <v>633.25</v>
      </c>
      <c r="F20" s="16">
        <f>F19+F17</f>
        <v>427.25</v>
      </c>
      <c r="G20" s="16">
        <f>G19+G17</f>
        <v>298.84999999999997</v>
      </c>
      <c r="H20" s="16"/>
      <c r="I20" s="16"/>
      <c r="J20" s="16">
        <f>J17+J19</f>
        <v>549.66</v>
      </c>
      <c r="K20" s="16">
        <f>K17+K19</f>
        <v>214.41</v>
      </c>
      <c r="L20" s="16">
        <f>L17+L19</f>
        <v>150.035</v>
      </c>
      <c r="M20" s="16">
        <f>M17+M19</f>
        <v>109.91</v>
      </c>
      <c r="N20" s="16"/>
      <c r="O20" s="16"/>
      <c r="P20" s="16">
        <f>P17+P19</f>
        <v>542.925</v>
      </c>
      <c r="Q20" s="16">
        <f>Q17+Q19</f>
        <v>207.675</v>
      </c>
      <c r="R20" s="16">
        <f>R17+R19</f>
        <v>143.3</v>
      </c>
      <c r="S20" s="16">
        <f>S17+S19</f>
        <v>103.175</v>
      </c>
      <c r="T20" s="16"/>
      <c r="U20" s="16"/>
      <c r="V20" s="16">
        <f>V19</f>
        <v>540.275</v>
      </c>
      <c r="W20" s="16">
        <f>W19</f>
        <v>205.025</v>
      </c>
      <c r="X20" s="16">
        <f>X19</f>
        <v>140.65</v>
      </c>
      <c r="Y20" s="63">
        <f>Y19</f>
        <v>100.52499999999999</v>
      </c>
      <c r="Z20" s="7"/>
      <c r="AA20" s="44"/>
      <c r="AB20" s="45"/>
      <c r="AC20" s="46"/>
      <c r="AD20" s="47"/>
      <c r="AE20" s="7"/>
      <c r="AF20" s="7"/>
      <c r="AG20" s="7"/>
    </row>
    <row r="21" spans="1:33" ht="21" customHeight="1" thickTop="1">
      <c r="A21" s="165" t="s">
        <v>68</v>
      </c>
      <c r="B21" s="15"/>
      <c r="C21" s="15"/>
      <c r="D21" s="16">
        <f>D19+(D15-D17)</f>
        <v>1700.75</v>
      </c>
      <c r="E21" s="16">
        <f>E19+(E15-E17)</f>
        <v>627.95</v>
      </c>
      <c r="F21" s="16">
        <f>F19+(F15-F17)</f>
        <v>421.95000000000005</v>
      </c>
      <c r="G21" s="16">
        <f>G19+(G15-G17)</f>
        <v>293.55</v>
      </c>
      <c r="H21" s="23"/>
      <c r="I21" s="23"/>
      <c r="J21" s="16">
        <f>J10*0.125-5.3/2</f>
        <v>547.475</v>
      </c>
      <c r="K21" s="16">
        <f>K11*0.125-5.3/2</f>
        <v>212.225</v>
      </c>
      <c r="L21" s="16">
        <f>L11*0.125-5.3/2</f>
        <v>147.85</v>
      </c>
      <c r="M21" s="16">
        <f>M11*0.125-5.3/2</f>
        <v>107.725</v>
      </c>
      <c r="N21" s="23"/>
      <c r="O21" s="23"/>
      <c r="P21" s="16">
        <f>P18*0.5</f>
        <v>537.625</v>
      </c>
      <c r="Q21" s="16">
        <f>Q18*0.5</f>
        <v>202.375</v>
      </c>
      <c r="R21" s="16">
        <f>R18*0.5</f>
        <v>138</v>
      </c>
      <c r="S21" s="16">
        <f>S18*0.5</f>
        <v>97.875</v>
      </c>
      <c r="T21" s="23"/>
      <c r="U21" s="23"/>
      <c r="V21" s="16">
        <f>(V18-5.3)/2</f>
        <v>534.975</v>
      </c>
      <c r="W21" s="16">
        <f>(W18-5.3)/2</f>
        <v>199.725</v>
      </c>
      <c r="X21" s="16">
        <f>(X18-5.3)/2</f>
        <v>135.35</v>
      </c>
      <c r="Y21" s="63">
        <f>(Y18-5.3)/2</f>
        <v>95.225</v>
      </c>
      <c r="Z21" s="7"/>
      <c r="AA21" s="50" t="s">
        <v>41</v>
      </c>
      <c r="AB21" s="42"/>
      <c r="AC21" s="36"/>
      <c r="AD21" s="43"/>
      <c r="AE21" s="7"/>
      <c r="AF21" s="7"/>
      <c r="AG21" s="7"/>
    </row>
    <row r="22" spans="1:33" ht="21" customHeight="1">
      <c r="A22" s="164" t="s">
        <v>69</v>
      </c>
      <c r="B22" s="85"/>
      <c r="C22" s="85"/>
      <c r="D22" s="23">
        <f>D12+D13+(D16*0.2)</f>
        <v>994.2</v>
      </c>
      <c r="E22" s="23">
        <f>E12+E13+(E16*0.2)</f>
        <v>457.8</v>
      </c>
      <c r="F22" s="23">
        <f>F12+F13+(F16*0.2)</f>
        <v>354.8</v>
      </c>
      <c r="G22" s="23">
        <f>G12+G13+(G16*0.2)</f>
        <v>290.6</v>
      </c>
      <c r="H22" s="23"/>
      <c r="I22" s="23"/>
      <c r="J22" s="23">
        <f>0.75*J10</f>
        <v>3300.75</v>
      </c>
      <c r="K22" s="23">
        <f>0.75*K11</f>
        <v>1289.25</v>
      </c>
      <c r="L22" s="23">
        <f>0.75*L11</f>
        <v>903</v>
      </c>
      <c r="M22" s="23">
        <f>0.75*M11</f>
        <v>662.25</v>
      </c>
      <c r="N22" s="23"/>
      <c r="O22" s="23"/>
      <c r="P22" s="23">
        <f>P12+(P16*0.75)-5.3</f>
        <v>3320.45</v>
      </c>
      <c r="Q22" s="23">
        <f>Q12+(Q16*0.75)-5.3</f>
        <v>1308.95</v>
      </c>
      <c r="R22" s="23">
        <f>R12+(R16*0.75)-5.3</f>
        <v>922.7</v>
      </c>
      <c r="S22" s="23">
        <f>S12+(S16*0.75)-5.3</f>
        <v>681.95</v>
      </c>
      <c r="T22" s="23"/>
      <c r="U22" s="23"/>
      <c r="V22" s="23">
        <f>V12+(V16*0.75)</f>
        <v>3325.75</v>
      </c>
      <c r="W22" s="23">
        <f>W12+(W16*0.75)</f>
        <v>1314.25</v>
      </c>
      <c r="X22" s="23">
        <f>X12+(X16*0.75)</f>
        <v>928</v>
      </c>
      <c r="Y22" s="64">
        <f>Y12+(Y16*0.75)</f>
        <v>687.25</v>
      </c>
      <c r="Z22" s="7"/>
      <c r="AA22" s="34" t="s">
        <v>91</v>
      </c>
      <c r="AB22" s="81">
        <f>P22</f>
        <v>3320.45</v>
      </c>
      <c r="AC22" s="79">
        <f>P31</f>
        <v>33.204499999999996</v>
      </c>
      <c r="AD22" s="80">
        <f>P30</f>
        <v>2.27583818074353</v>
      </c>
      <c r="AE22" s="7"/>
      <c r="AF22" s="7"/>
      <c r="AG22" s="7"/>
    </row>
    <row r="23" spans="1:33" ht="21" customHeight="1">
      <c r="A23" s="165" t="s">
        <v>32</v>
      </c>
      <c r="B23" s="15"/>
      <c r="C23" s="15"/>
      <c r="D23" s="16">
        <f>SUM(D20:D22)</f>
        <v>4401</v>
      </c>
      <c r="E23" s="16">
        <f>SUM(E20:E22)</f>
        <v>1719</v>
      </c>
      <c r="F23" s="16">
        <f>SUM(F20:F22)</f>
        <v>1204</v>
      </c>
      <c r="G23" s="16">
        <f>SUM(G20:G22)</f>
        <v>883</v>
      </c>
      <c r="H23" s="23"/>
      <c r="I23" s="23"/>
      <c r="J23" s="16">
        <f>SUM(J20:J22)</f>
        <v>4397.885</v>
      </c>
      <c r="K23" s="16">
        <f>SUM(K20:K22)</f>
        <v>1715.885</v>
      </c>
      <c r="L23" s="16">
        <f>SUM(L20:L22)</f>
        <v>1200.885</v>
      </c>
      <c r="M23" s="16">
        <f>SUM(M20:M22)</f>
        <v>879.885</v>
      </c>
      <c r="N23" s="23"/>
      <c r="O23" s="23"/>
      <c r="P23" s="16">
        <f>SUM(P20:P22)</f>
        <v>4401</v>
      </c>
      <c r="Q23" s="16">
        <f>SUM(Q20:Q22)</f>
        <v>1719</v>
      </c>
      <c r="R23" s="16">
        <f>SUM(R20:R22)</f>
        <v>1204</v>
      </c>
      <c r="S23" s="16">
        <f>SUM(S20:S22)</f>
        <v>883</v>
      </c>
      <c r="T23" s="23"/>
      <c r="U23" s="23"/>
      <c r="V23" s="16">
        <f>SUM(V20:V22)</f>
        <v>4401</v>
      </c>
      <c r="W23" s="16">
        <f>SUM(W20:W22)</f>
        <v>1719</v>
      </c>
      <c r="X23" s="16">
        <f>SUM(X20:X22)</f>
        <v>1204</v>
      </c>
      <c r="Y23" s="63">
        <f>SUM(Y20:Y22)</f>
        <v>883</v>
      </c>
      <c r="Z23" s="7"/>
      <c r="AA23" s="34" t="s">
        <v>1</v>
      </c>
      <c r="AB23" s="35">
        <f>Q22</f>
        <v>1308.95</v>
      </c>
      <c r="AC23" s="36">
        <f>Q31</f>
        <v>13.089500000000001</v>
      </c>
      <c r="AD23" s="37">
        <f>Q30</f>
        <v>1.451890028016944</v>
      </c>
      <c r="AE23" s="7"/>
      <c r="AF23" s="7"/>
      <c r="AG23" s="7"/>
    </row>
    <row r="24" spans="1:33" ht="21" customHeight="1">
      <c r="A24" s="162" t="s">
        <v>22</v>
      </c>
      <c r="B24" s="24" t="s">
        <v>16</v>
      </c>
      <c r="C24" s="15"/>
      <c r="D24" s="15"/>
      <c r="E24" s="15"/>
      <c r="F24" s="15"/>
      <c r="G24" s="15"/>
      <c r="H24" s="15"/>
      <c r="I24" s="25"/>
      <c r="J24" s="15"/>
      <c r="K24" s="15"/>
      <c r="L24" s="15"/>
      <c r="M24" s="15"/>
      <c r="N24" s="15"/>
      <c r="O24" s="25"/>
      <c r="P24" s="15"/>
      <c r="Q24" s="15"/>
      <c r="R24" s="15"/>
      <c r="S24" s="15"/>
      <c r="T24" s="15"/>
      <c r="U24" s="25"/>
      <c r="V24" s="15"/>
      <c r="W24" s="15"/>
      <c r="X24" s="15"/>
      <c r="Y24" s="65"/>
      <c r="Z24" s="7"/>
      <c r="AA24" s="34" t="s">
        <v>7</v>
      </c>
      <c r="AB24" s="82">
        <f>R22</f>
        <v>922.7</v>
      </c>
      <c r="AC24" s="36">
        <f>R31</f>
        <v>9.227</v>
      </c>
      <c r="AD24" s="37">
        <f>R30</f>
        <v>1.2018093307721007</v>
      </c>
      <c r="AE24" s="7"/>
      <c r="AF24" s="7"/>
      <c r="AG24" s="7"/>
    </row>
    <row r="25" spans="1:33" ht="21" customHeight="1">
      <c r="A25" s="126" t="s">
        <v>15</v>
      </c>
      <c r="B25" s="24">
        <v>1</v>
      </c>
      <c r="C25" s="24"/>
      <c r="D25" s="15">
        <v>-100</v>
      </c>
      <c r="E25" s="15">
        <v>-100</v>
      </c>
      <c r="F25" s="15">
        <v>-100</v>
      </c>
      <c r="G25" s="15">
        <v>-100</v>
      </c>
      <c r="H25" s="15"/>
      <c r="I25" s="15"/>
      <c r="J25" s="15">
        <v>-100</v>
      </c>
      <c r="K25" s="15">
        <v>-100</v>
      </c>
      <c r="L25" s="15">
        <v>-100</v>
      </c>
      <c r="M25" s="15">
        <v>-100</v>
      </c>
      <c r="N25" s="15"/>
      <c r="O25" s="15"/>
      <c r="P25" s="16">
        <f>-(V14+P17)</f>
        <v>-105.3</v>
      </c>
      <c r="Q25" s="16">
        <f>-(W14+Q17)</f>
        <v>-105.3</v>
      </c>
      <c r="R25" s="16">
        <f>-(X14+R17)</f>
        <v>-105.3</v>
      </c>
      <c r="S25" s="16">
        <f>-(Y14+S17)</f>
        <v>-105.3</v>
      </c>
      <c r="T25" s="15"/>
      <c r="U25" s="15"/>
      <c r="V25" s="15">
        <v>-100</v>
      </c>
      <c r="W25" s="15">
        <v>-100</v>
      </c>
      <c r="X25" s="15">
        <v>-100</v>
      </c>
      <c r="Y25" s="15">
        <v>-100</v>
      </c>
      <c r="Z25" s="7"/>
      <c r="AA25" s="34" t="s">
        <v>12</v>
      </c>
      <c r="AB25" s="82">
        <f>S22</f>
        <v>681.95</v>
      </c>
      <c r="AC25" s="36">
        <f>S31</f>
        <v>6.819500000000001</v>
      </c>
      <c r="AD25" s="37">
        <f>S30</f>
        <v>1.0064081994362049</v>
      </c>
      <c r="AE25" s="7"/>
      <c r="AF25" s="7"/>
      <c r="AG25" s="7"/>
    </row>
    <row r="26" spans="1:33" ht="21" customHeight="1" thickBot="1">
      <c r="A26" s="126"/>
      <c r="B26" s="24">
        <v>2</v>
      </c>
      <c r="C26" s="24"/>
      <c r="D26" s="15">
        <v>0</v>
      </c>
      <c r="E26" s="15">
        <v>0</v>
      </c>
      <c r="F26" s="15">
        <v>0</v>
      </c>
      <c r="G26" s="15">
        <v>0</v>
      </c>
      <c r="H26" s="15"/>
      <c r="I26" s="25"/>
      <c r="J26" s="15">
        <v>0</v>
      </c>
      <c r="K26" s="15">
        <v>0</v>
      </c>
      <c r="L26" s="15">
        <v>0</v>
      </c>
      <c r="M26" s="15">
        <v>0</v>
      </c>
      <c r="N26" s="15"/>
      <c r="O26" s="15"/>
      <c r="P26" s="15">
        <v>0</v>
      </c>
      <c r="Q26" s="15">
        <v>0</v>
      </c>
      <c r="R26" s="15">
        <v>0</v>
      </c>
      <c r="S26" s="15">
        <v>0</v>
      </c>
      <c r="T26" s="15"/>
      <c r="U26" s="15"/>
      <c r="V26" s="15">
        <v>0</v>
      </c>
      <c r="W26" s="15">
        <v>0</v>
      </c>
      <c r="X26" s="15">
        <v>0</v>
      </c>
      <c r="Y26" s="65">
        <v>0</v>
      </c>
      <c r="Z26" s="7"/>
      <c r="AA26" s="44"/>
      <c r="AB26" s="45"/>
      <c r="AC26" s="46"/>
      <c r="AD26" s="47"/>
      <c r="AE26" s="7"/>
      <c r="AF26" s="7"/>
      <c r="AG26" s="7"/>
    </row>
    <row r="27" spans="1:33" ht="21" customHeight="1" thickTop="1">
      <c r="A27" s="126"/>
      <c r="B27" s="24">
        <v>3</v>
      </c>
      <c r="C27" s="24"/>
      <c r="D27" s="16">
        <f>D14*0.8</f>
        <v>152</v>
      </c>
      <c r="E27" s="16">
        <f>E14*0.8</f>
        <v>152</v>
      </c>
      <c r="F27" s="16">
        <f>F14*0.8</f>
        <v>152</v>
      </c>
      <c r="G27" s="16">
        <f>G14*0.8</f>
        <v>152</v>
      </c>
      <c r="H27" s="16"/>
      <c r="I27" s="15"/>
      <c r="J27" s="16">
        <f>190*0.75</f>
        <v>142.5</v>
      </c>
      <c r="K27" s="16">
        <f>190*0.75</f>
        <v>142.5</v>
      </c>
      <c r="L27" s="16">
        <f>190*0.75</f>
        <v>142.5</v>
      </c>
      <c r="M27" s="16">
        <f>190*0.75</f>
        <v>142.5</v>
      </c>
      <c r="N27" s="15"/>
      <c r="O27" s="15"/>
      <c r="P27" s="15">
        <f>(190-100)*0.75+100</f>
        <v>167.5</v>
      </c>
      <c r="Q27" s="15">
        <f>(190-100)*0.75+100</f>
        <v>167.5</v>
      </c>
      <c r="R27" s="15">
        <f>(190-100)*0.75+100</f>
        <v>167.5</v>
      </c>
      <c r="S27" s="15">
        <f>(190-100)*0.75+100</f>
        <v>167.5</v>
      </c>
      <c r="T27" s="15"/>
      <c r="U27" s="15"/>
      <c r="V27" s="15">
        <f>(190-100)*0.75+100</f>
        <v>167.5</v>
      </c>
      <c r="W27" s="15">
        <f>(190-100)*0.75+100</f>
        <v>167.5</v>
      </c>
      <c r="X27" s="15">
        <f>(190-100)*0.75+100</f>
        <v>167.5</v>
      </c>
      <c r="Y27" s="15">
        <f>(190-100)*0.75+100</f>
        <v>167.5</v>
      </c>
      <c r="Z27" s="7"/>
      <c r="AA27" s="60" t="s">
        <v>42</v>
      </c>
      <c r="AB27" s="42"/>
      <c r="AC27" s="36"/>
      <c r="AD27" s="43"/>
      <c r="AE27" s="7"/>
      <c r="AF27" s="7"/>
      <c r="AG27" s="7"/>
    </row>
    <row r="28" spans="1:33" ht="21" customHeight="1">
      <c r="A28" s="126"/>
      <c r="B28" s="24">
        <v>4</v>
      </c>
      <c r="C28" s="24"/>
      <c r="D28" s="16">
        <f>D22-D27</f>
        <v>842.2</v>
      </c>
      <c r="E28" s="16">
        <f>E22-E27</f>
        <v>305.8</v>
      </c>
      <c r="F28" s="16">
        <f aca="true" t="shared" si="0" ref="F28:Y28">F22-F27</f>
        <v>202.8</v>
      </c>
      <c r="G28" s="16">
        <f t="shared" si="0"/>
        <v>138.60000000000002</v>
      </c>
      <c r="H28" s="16"/>
      <c r="I28" s="16"/>
      <c r="J28" s="16">
        <f>J22-J27</f>
        <v>3158.25</v>
      </c>
      <c r="K28" s="16">
        <f t="shared" si="0"/>
        <v>1146.75</v>
      </c>
      <c r="L28" s="16">
        <f t="shared" si="0"/>
        <v>760.5</v>
      </c>
      <c r="M28" s="16">
        <f t="shared" si="0"/>
        <v>519.75</v>
      </c>
      <c r="N28" s="16"/>
      <c r="O28" s="16"/>
      <c r="P28" s="16">
        <f>P22-P27</f>
        <v>3152.95</v>
      </c>
      <c r="Q28" s="16">
        <f t="shared" si="0"/>
        <v>1141.45</v>
      </c>
      <c r="R28" s="16">
        <f t="shared" si="0"/>
        <v>755.2</v>
      </c>
      <c r="S28" s="16">
        <f t="shared" si="0"/>
        <v>514.45</v>
      </c>
      <c r="T28" s="16"/>
      <c r="U28" s="16"/>
      <c r="V28" s="16">
        <f>V22-V27</f>
        <v>3158.25</v>
      </c>
      <c r="W28" s="16">
        <f t="shared" si="0"/>
        <v>1146.75</v>
      </c>
      <c r="X28" s="16">
        <f t="shared" si="0"/>
        <v>760.5</v>
      </c>
      <c r="Y28" s="63">
        <f t="shared" si="0"/>
        <v>519.75</v>
      </c>
      <c r="Z28" s="7"/>
      <c r="AA28" s="34" t="s">
        <v>91</v>
      </c>
      <c r="AB28" s="81">
        <f>V22</f>
        <v>3325.75</v>
      </c>
      <c r="AC28" s="79">
        <f>V31</f>
        <v>33.2575</v>
      </c>
      <c r="AD28" s="80">
        <f>V30</f>
        <v>2.337396438572665</v>
      </c>
      <c r="AE28" s="7"/>
      <c r="AF28" s="7"/>
      <c r="AG28" s="7"/>
    </row>
    <row r="29" spans="1:33" ht="21" customHeight="1">
      <c r="A29" s="126"/>
      <c r="B29" s="15"/>
      <c r="C29" s="15"/>
      <c r="D29" s="15"/>
      <c r="E29" s="15"/>
      <c r="F29" s="15"/>
      <c r="G29" s="15"/>
      <c r="H29" s="15"/>
      <c r="I29" s="25"/>
      <c r="J29" s="20"/>
      <c r="K29" s="20"/>
      <c r="L29" s="20"/>
      <c r="M29" s="15"/>
      <c r="N29" s="15"/>
      <c r="O29" s="25"/>
      <c r="P29" s="20"/>
      <c r="Q29" s="20"/>
      <c r="R29" s="20"/>
      <c r="S29" s="15"/>
      <c r="T29" s="15"/>
      <c r="U29" s="25"/>
      <c r="V29" s="20"/>
      <c r="W29" s="20"/>
      <c r="X29" s="20"/>
      <c r="Y29" s="65"/>
      <c r="Z29" s="7"/>
      <c r="AA29" s="34" t="s">
        <v>1</v>
      </c>
      <c r="AB29" s="35">
        <f>W22</f>
        <v>1314.25</v>
      </c>
      <c r="AC29" s="36">
        <f>W31</f>
        <v>13.1425</v>
      </c>
      <c r="AD29" s="37">
        <f>W30</f>
        <v>1.5017556004995751</v>
      </c>
      <c r="AE29" s="7"/>
      <c r="AF29" s="7"/>
      <c r="AG29" s="7"/>
    </row>
    <row r="30" spans="1:33" ht="21" customHeight="1">
      <c r="A30" s="126" t="s">
        <v>56</v>
      </c>
      <c r="B30" s="15"/>
      <c r="C30" s="15"/>
      <c r="D30" s="75">
        <f>IRR(D25:D28)</f>
        <v>1.2825012214794116</v>
      </c>
      <c r="E30" s="75">
        <f>IRR(E25:E28)</f>
        <v>0.7953516367219697</v>
      </c>
      <c r="F30" s="75">
        <f aca="true" t="shared" si="1" ref="F30:S30">IRR(F25:F28)</f>
        <v>0.656568059659977</v>
      </c>
      <c r="G30" s="75">
        <f t="shared" si="1"/>
        <v>0.5531785473713591</v>
      </c>
      <c r="H30" s="75"/>
      <c r="I30" s="75"/>
      <c r="J30" s="75">
        <f>IRR(J25:J28)</f>
        <v>2.311098708174872</v>
      </c>
      <c r="K30" s="75">
        <f t="shared" si="1"/>
        <v>1.4651327236267129</v>
      </c>
      <c r="L30" s="75">
        <f t="shared" si="1"/>
        <v>1.2070008536079637</v>
      </c>
      <c r="M30" s="75">
        <f t="shared" si="1"/>
        <v>1.0044803281233876</v>
      </c>
      <c r="N30" s="75"/>
      <c r="O30" s="75"/>
      <c r="P30" s="75">
        <f>IRR(P25:P28)</f>
        <v>2.27583818074353</v>
      </c>
      <c r="Q30" s="75">
        <f t="shared" si="1"/>
        <v>1.451890028016944</v>
      </c>
      <c r="R30" s="75">
        <f t="shared" si="1"/>
        <v>1.2018093307721007</v>
      </c>
      <c r="S30" s="75">
        <f t="shared" si="1"/>
        <v>1.0064081994362049</v>
      </c>
      <c r="T30" s="75"/>
      <c r="U30" s="75"/>
      <c r="V30" s="75">
        <f>IRR(V25:V28)</f>
        <v>2.337396438572665</v>
      </c>
      <c r="W30" s="75">
        <f>IRR(W25:W28)</f>
        <v>1.5017556004995751</v>
      </c>
      <c r="X30" s="75">
        <f>IRR(X25:X28)</f>
        <v>1.2487503764238665</v>
      </c>
      <c r="Y30" s="76">
        <f>IRR(Y25:Y28)</f>
        <v>1.0514737378792036</v>
      </c>
      <c r="Z30" s="7"/>
      <c r="AA30" s="34" t="s">
        <v>7</v>
      </c>
      <c r="AB30" s="82">
        <f>X22</f>
        <v>928</v>
      </c>
      <c r="AC30" s="36">
        <f>X31</f>
        <v>9.28</v>
      </c>
      <c r="AD30" s="37">
        <f>X30</f>
        <v>1.2487503764238665</v>
      </c>
      <c r="AE30" s="7"/>
      <c r="AF30" s="7"/>
      <c r="AG30" s="7"/>
    </row>
    <row r="31" spans="1:33" ht="21" customHeight="1">
      <c r="A31" s="126" t="s">
        <v>92</v>
      </c>
      <c r="B31" s="15"/>
      <c r="C31" s="15"/>
      <c r="D31" s="77">
        <f>D22/D12</f>
        <v>9.942</v>
      </c>
      <c r="E31" s="77">
        <f>E22/E12</f>
        <v>4.578</v>
      </c>
      <c r="F31" s="77">
        <f aca="true" t="shared" si="2" ref="F31:Y31">F22/F12</f>
        <v>3.548</v>
      </c>
      <c r="G31" s="77">
        <f t="shared" si="2"/>
        <v>2.906</v>
      </c>
      <c r="H31" s="77"/>
      <c r="I31" s="77"/>
      <c r="J31" s="77">
        <f>J22/J12</f>
        <v>33.0075</v>
      </c>
      <c r="K31" s="77">
        <f t="shared" si="2"/>
        <v>12.8925</v>
      </c>
      <c r="L31" s="77">
        <f t="shared" si="2"/>
        <v>9.03</v>
      </c>
      <c r="M31" s="77">
        <f t="shared" si="2"/>
        <v>6.6225</v>
      </c>
      <c r="N31" s="77"/>
      <c r="O31" s="77"/>
      <c r="P31" s="77">
        <f>P22/P12</f>
        <v>33.204499999999996</v>
      </c>
      <c r="Q31" s="77">
        <f t="shared" si="2"/>
        <v>13.089500000000001</v>
      </c>
      <c r="R31" s="77">
        <f t="shared" si="2"/>
        <v>9.227</v>
      </c>
      <c r="S31" s="77">
        <f t="shared" si="2"/>
        <v>6.819500000000001</v>
      </c>
      <c r="T31" s="77"/>
      <c r="U31" s="77"/>
      <c r="V31" s="77">
        <f>V22/V12</f>
        <v>33.2575</v>
      </c>
      <c r="W31" s="77">
        <f t="shared" si="2"/>
        <v>13.1425</v>
      </c>
      <c r="X31" s="77">
        <f t="shared" si="2"/>
        <v>9.28</v>
      </c>
      <c r="Y31" s="78">
        <f t="shared" si="2"/>
        <v>6.8725</v>
      </c>
      <c r="Z31" s="7"/>
      <c r="AA31" s="34" t="s">
        <v>12</v>
      </c>
      <c r="AB31" s="82">
        <f>Y22</f>
        <v>687.25</v>
      </c>
      <c r="AC31" s="36">
        <f>Y31</f>
        <v>6.8725</v>
      </c>
      <c r="AD31" s="37">
        <f>Y30</f>
        <v>1.0514737378792036</v>
      </c>
      <c r="AE31" s="7"/>
      <c r="AF31" s="7"/>
      <c r="AG31" s="7"/>
    </row>
    <row r="32" spans="1:33" ht="21" customHeight="1" thickBot="1">
      <c r="A32" s="166"/>
      <c r="B32" s="66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5"/>
      <c r="Z32" s="7"/>
      <c r="AA32" s="56"/>
      <c r="AB32" s="57"/>
      <c r="AC32" s="58"/>
      <c r="AD32" s="59"/>
      <c r="AE32" s="7"/>
      <c r="AF32" s="7"/>
      <c r="AG32" s="7"/>
    </row>
    <row r="33" spans="1:33" ht="21" customHeight="1" thickBot="1">
      <c r="A33" s="122" t="s">
        <v>98</v>
      </c>
      <c r="B33" s="66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5"/>
      <c r="Z33" s="7"/>
      <c r="AE33" s="7"/>
      <c r="AF33" s="7"/>
      <c r="AG33" s="7"/>
    </row>
    <row r="34" spans="1:33" ht="21" customHeight="1" thickBot="1">
      <c r="A34" s="167" t="s">
        <v>48</v>
      </c>
      <c r="B34" s="66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5"/>
      <c r="Z34" s="7"/>
      <c r="AE34" s="7"/>
      <c r="AF34" s="7"/>
      <c r="AG34" s="7"/>
    </row>
    <row r="35" spans="1:33" ht="21" customHeight="1" thickBot="1">
      <c r="A35" s="56" t="s">
        <v>49</v>
      </c>
      <c r="B35" s="68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7"/>
      <c r="Z35" s="7"/>
      <c r="AE35" s="11"/>
      <c r="AF35" s="11"/>
      <c r="AG35" s="11"/>
    </row>
    <row r="36" ht="21" customHeight="1"/>
    <row r="37" spans="1:13" ht="21" customHeight="1">
      <c r="A37" s="51"/>
      <c r="B37" s="51"/>
      <c r="C37" s="53"/>
      <c r="D37" s="53"/>
      <c r="E37" s="53"/>
      <c r="F37" s="53"/>
      <c r="G37" s="53"/>
      <c r="H37" s="53"/>
      <c r="I37" s="327" t="s">
        <v>36</v>
      </c>
      <c r="J37" s="327"/>
      <c r="K37" s="327"/>
      <c r="L37" s="327"/>
      <c r="M37" s="327"/>
    </row>
    <row r="38" spans="1:13" ht="21" customHeight="1">
      <c r="A38" s="51"/>
      <c r="B38" s="51"/>
      <c r="C38" s="54" t="s">
        <v>27</v>
      </c>
      <c r="D38" s="54"/>
      <c r="E38" s="54" t="s">
        <v>31</v>
      </c>
      <c r="F38" s="54" t="s">
        <v>33</v>
      </c>
      <c r="G38" s="54" t="s">
        <v>34</v>
      </c>
      <c r="H38" s="54"/>
      <c r="I38" s="54" t="s">
        <v>37</v>
      </c>
      <c r="J38" s="54"/>
      <c r="K38" s="54" t="s">
        <v>38</v>
      </c>
      <c r="L38" s="54" t="s">
        <v>39</v>
      </c>
      <c r="M38" s="54" t="s">
        <v>32</v>
      </c>
    </row>
    <row r="39" spans="1:13" ht="21" customHeight="1">
      <c r="A39" s="51" t="s">
        <v>28</v>
      </c>
      <c r="B39" s="51"/>
      <c r="C39" s="51">
        <v>45.5</v>
      </c>
      <c r="D39" s="51"/>
      <c r="E39" s="51">
        <v>1181</v>
      </c>
      <c r="F39" s="51">
        <v>821</v>
      </c>
      <c r="G39" s="51">
        <v>597</v>
      </c>
      <c r="H39" s="51"/>
      <c r="I39" s="51">
        <v>0</v>
      </c>
      <c r="J39" s="51"/>
      <c r="K39" s="51">
        <v>5.32</v>
      </c>
      <c r="L39" s="51">
        <v>0</v>
      </c>
      <c r="M39" s="51">
        <f>SUM(I39:L39)</f>
        <v>5.32</v>
      </c>
    </row>
    <row r="40" spans="1:13" ht="21" customHeight="1">
      <c r="A40" s="51" t="s">
        <v>30</v>
      </c>
      <c r="B40" s="51"/>
      <c r="C40" s="51">
        <v>80</v>
      </c>
      <c r="D40" s="51"/>
      <c r="E40" s="51">
        <v>539</v>
      </c>
      <c r="F40" s="51">
        <v>413</v>
      </c>
      <c r="G40" s="51">
        <v>324</v>
      </c>
      <c r="H40" s="51"/>
      <c r="I40" s="51">
        <v>3.75</v>
      </c>
      <c r="J40" s="51"/>
      <c r="K40" s="51">
        <v>6.59</v>
      </c>
      <c r="L40" s="51">
        <v>2.5</v>
      </c>
      <c r="M40" s="51">
        <f>SUM(I40:L40)</f>
        <v>12.84</v>
      </c>
    </row>
    <row r="41" spans="1:13" ht="21" customHeight="1">
      <c r="A41" s="51" t="s">
        <v>29</v>
      </c>
      <c r="B41" s="51"/>
      <c r="C41" s="55">
        <v>25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21" customHeight="1">
      <c r="A42" s="52" t="s">
        <v>32</v>
      </c>
      <c r="B42" s="51"/>
      <c r="C42" s="51">
        <f>SUM(C39:C41)</f>
        <v>150.5</v>
      </c>
      <c r="D42" s="51"/>
      <c r="E42" s="51">
        <f>SUM(E39:E41)</f>
        <v>1720</v>
      </c>
      <c r="F42" s="51">
        <f>SUM(F39:F41)</f>
        <v>1234</v>
      </c>
      <c r="G42" s="51">
        <f>SUM(G39:G41)</f>
        <v>921</v>
      </c>
      <c r="H42" s="51"/>
      <c r="I42" s="51">
        <f>SUM(I39:I41)</f>
        <v>3.75</v>
      </c>
      <c r="J42" s="51"/>
      <c r="K42" s="51">
        <f>SUM(K39:K41)</f>
        <v>11.91</v>
      </c>
      <c r="L42" s="51">
        <f>SUM(L39:L41)</f>
        <v>2.5</v>
      </c>
      <c r="M42" s="51">
        <f>SUM(M39:M41)</f>
        <v>18.16</v>
      </c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mergeCells count="18">
    <mergeCell ref="I37:M37"/>
    <mergeCell ref="C6:G6"/>
    <mergeCell ref="I6:M6"/>
    <mergeCell ref="O6:S6"/>
    <mergeCell ref="U6:Y6"/>
    <mergeCell ref="A4:Y4"/>
    <mergeCell ref="AA4:AD4"/>
    <mergeCell ref="C5:G5"/>
    <mergeCell ref="I5:M5"/>
    <mergeCell ref="O5:S5"/>
    <mergeCell ref="U5:Y5"/>
    <mergeCell ref="AA5:AD5"/>
    <mergeCell ref="A1:Y1"/>
    <mergeCell ref="AA1:AU1"/>
    <mergeCell ref="A2:Y2"/>
    <mergeCell ref="AA2:AU2"/>
    <mergeCell ref="A3:Y3"/>
    <mergeCell ref="AA3:AU3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zoomScalePageLayoutView="0" workbookViewId="0" topLeftCell="A1">
      <selection activeCell="A1" sqref="A1:U34"/>
    </sheetView>
  </sheetViews>
  <sheetFormatPr defaultColWidth="9.140625" defaultRowHeight="12.75"/>
  <cols>
    <col min="1" max="1" width="42.421875" style="0" customWidth="1"/>
    <col min="2" max="2" width="5.140625" style="0" customWidth="1"/>
    <col min="3" max="3" width="13.140625" style="0" customWidth="1"/>
    <col min="4" max="5" width="10.7109375" style="0" customWidth="1"/>
    <col min="6" max="6" width="11.57421875" style="0" customWidth="1"/>
    <col min="7" max="7" width="5.7109375" style="0" customWidth="1"/>
    <col min="8" max="8" width="9.57421875" style="0" customWidth="1"/>
    <col min="9" max="10" width="10.7109375" style="0" customWidth="1"/>
    <col min="11" max="11" width="12.140625" style="0" customWidth="1"/>
    <col min="12" max="12" width="5.7109375" style="0" customWidth="1"/>
    <col min="13" max="16" width="10.7109375" style="0" customWidth="1"/>
    <col min="17" max="17" width="5.7109375" style="0" customWidth="1"/>
    <col min="18" max="18" width="11.7109375" style="0" customWidth="1"/>
    <col min="19" max="19" width="11.421875" style="0" customWidth="1"/>
    <col min="20" max="20" width="10.7109375" style="0" customWidth="1"/>
    <col min="21" max="21" width="12.00390625" style="0" customWidth="1"/>
    <col min="22" max="22" width="5.8515625" style="0" customWidth="1"/>
    <col min="23" max="23" width="50.140625" style="0" customWidth="1"/>
    <col min="24" max="24" width="10.421875" style="0" customWidth="1"/>
    <col min="25" max="25" width="10.7109375" style="0" customWidth="1"/>
    <col min="26" max="26" width="9.28125" style="0" customWidth="1"/>
    <col min="27" max="27" width="11.00390625" style="0" customWidth="1"/>
    <col min="28" max="28" width="9.8515625" style="0" customWidth="1"/>
    <col min="29" max="29" width="9.57421875" style="0" customWidth="1"/>
    <col min="31" max="31" width="19.00390625" style="0" customWidth="1"/>
    <col min="37" max="37" width="11.00390625" style="0" customWidth="1"/>
    <col min="40" max="40" width="9.7109375" style="0" customWidth="1"/>
    <col min="41" max="41" width="11.7109375" style="0" customWidth="1"/>
  </cols>
  <sheetData>
    <row r="1" spans="1:33" ht="39.75" customHeight="1" thickBot="1">
      <c r="A1" s="328" t="s">
        <v>45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30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30" customHeight="1" thickBot="1">
      <c r="A2" s="331" t="s">
        <v>108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0" customHeight="1" thickBot="1">
      <c r="A3" s="331" t="s">
        <v>66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29" ht="21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  <c r="V4" s="7"/>
      <c r="W4" s="337" t="s">
        <v>46</v>
      </c>
      <c r="X4" s="338"/>
      <c r="Y4" s="338"/>
      <c r="Z4" s="339"/>
      <c r="AA4" s="7"/>
      <c r="AB4" s="7"/>
      <c r="AC4" s="7"/>
    </row>
    <row r="5" spans="1:29" ht="21" customHeight="1">
      <c r="A5" s="122" t="s">
        <v>65</v>
      </c>
      <c r="B5" s="74"/>
      <c r="C5" s="340" t="s">
        <v>58</v>
      </c>
      <c r="D5" s="341"/>
      <c r="E5" s="341"/>
      <c r="F5" s="342"/>
      <c r="G5" s="123"/>
      <c r="H5" s="343" t="s">
        <v>61</v>
      </c>
      <c r="I5" s="344"/>
      <c r="J5" s="344"/>
      <c r="K5" s="345"/>
      <c r="L5" s="123"/>
      <c r="M5" s="346" t="s">
        <v>105</v>
      </c>
      <c r="N5" s="347"/>
      <c r="O5" s="347"/>
      <c r="P5" s="348"/>
      <c r="Q5" s="123"/>
      <c r="R5" s="352" t="s">
        <v>106</v>
      </c>
      <c r="S5" s="353"/>
      <c r="T5" s="353"/>
      <c r="U5" s="354"/>
      <c r="V5" s="7"/>
      <c r="W5" s="349" t="s">
        <v>67</v>
      </c>
      <c r="X5" s="350"/>
      <c r="Y5" s="350"/>
      <c r="Z5" s="351"/>
      <c r="AA5" s="7"/>
      <c r="AB5" s="7"/>
      <c r="AC5" s="7"/>
    </row>
    <row r="6" spans="1:29" ht="21" customHeight="1" thickBot="1">
      <c r="A6" s="122" t="s">
        <v>97</v>
      </c>
      <c r="B6" s="12"/>
      <c r="C6" s="340" t="s">
        <v>104</v>
      </c>
      <c r="D6" s="341"/>
      <c r="E6" s="341"/>
      <c r="F6" s="342"/>
      <c r="G6" s="124"/>
      <c r="H6" s="343" t="s">
        <v>62</v>
      </c>
      <c r="I6" s="344"/>
      <c r="J6" s="344"/>
      <c r="K6" s="345"/>
      <c r="L6" s="125"/>
      <c r="M6" s="346" t="s">
        <v>64</v>
      </c>
      <c r="N6" s="347"/>
      <c r="O6" s="347"/>
      <c r="P6" s="348"/>
      <c r="Q6" s="125"/>
      <c r="R6" s="352" t="s">
        <v>82</v>
      </c>
      <c r="S6" s="353"/>
      <c r="T6" s="353"/>
      <c r="U6" s="354"/>
      <c r="V6" s="7"/>
      <c r="W6" s="83"/>
      <c r="X6" s="71"/>
      <c r="Y6" s="71"/>
      <c r="Z6" s="84"/>
      <c r="AA6" s="7"/>
      <c r="AB6" s="7"/>
      <c r="AC6" s="7"/>
    </row>
    <row r="7" spans="1:39" ht="21" customHeight="1" thickBot="1">
      <c r="A7" s="126"/>
      <c r="B7" s="12"/>
      <c r="C7" s="127"/>
      <c r="D7" s="128" t="s">
        <v>1</v>
      </c>
      <c r="E7" s="128" t="s">
        <v>13</v>
      </c>
      <c r="F7" s="129" t="s">
        <v>12</v>
      </c>
      <c r="G7" s="124"/>
      <c r="H7" s="130"/>
      <c r="I7" s="131" t="s">
        <v>1</v>
      </c>
      <c r="J7" s="131" t="s">
        <v>13</v>
      </c>
      <c r="K7" s="132" t="s">
        <v>12</v>
      </c>
      <c r="L7" s="133"/>
      <c r="M7" s="134"/>
      <c r="N7" s="135" t="s">
        <v>1</v>
      </c>
      <c r="O7" s="135" t="s">
        <v>13</v>
      </c>
      <c r="P7" s="136" t="s">
        <v>12</v>
      </c>
      <c r="Q7" s="125"/>
      <c r="R7" s="137"/>
      <c r="S7" s="138" t="s">
        <v>1</v>
      </c>
      <c r="T7" s="138" t="s">
        <v>13</v>
      </c>
      <c r="U7" s="139" t="s">
        <v>12</v>
      </c>
      <c r="V7" s="7"/>
      <c r="W7" s="180" t="s">
        <v>18</v>
      </c>
      <c r="X7" s="28" t="s">
        <v>19</v>
      </c>
      <c r="Y7" s="29" t="s">
        <v>6</v>
      </c>
      <c r="Z7" s="28" t="s">
        <v>0</v>
      </c>
      <c r="AA7" s="7"/>
      <c r="AB7" s="7"/>
      <c r="AC7" s="7"/>
      <c r="AK7" s="1"/>
      <c r="AL7" s="1"/>
      <c r="AM7" s="1"/>
    </row>
    <row r="8" spans="1:41" ht="21" customHeight="1">
      <c r="A8" s="126"/>
      <c r="B8" s="12"/>
      <c r="C8" s="127"/>
      <c r="D8" s="129" t="s">
        <v>4</v>
      </c>
      <c r="E8" s="129" t="s">
        <v>4</v>
      </c>
      <c r="F8" s="129" t="s">
        <v>4</v>
      </c>
      <c r="G8" s="124"/>
      <c r="H8" s="132"/>
      <c r="I8" s="132" t="s">
        <v>4</v>
      </c>
      <c r="J8" s="132" t="s">
        <v>4</v>
      </c>
      <c r="K8" s="132" t="s">
        <v>4</v>
      </c>
      <c r="L8" s="133"/>
      <c r="M8" s="136"/>
      <c r="N8" s="136" t="s">
        <v>4</v>
      </c>
      <c r="O8" s="136" t="s">
        <v>4</v>
      </c>
      <c r="P8" s="136" t="s">
        <v>4</v>
      </c>
      <c r="Q8" s="125"/>
      <c r="R8" s="140"/>
      <c r="S8" s="140" t="s">
        <v>4</v>
      </c>
      <c r="T8" s="140" t="s">
        <v>4</v>
      </c>
      <c r="U8" s="139" t="s">
        <v>4</v>
      </c>
      <c r="V8" s="7"/>
      <c r="W8" s="30"/>
      <c r="X8" s="28" t="s">
        <v>4</v>
      </c>
      <c r="Y8" s="29" t="s">
        <v>3</v>
      </c>
      <c r="Z8" s="28" t="s">
        <v>2</v>
      </c>
      <c r="AA8" s="7"/>
      <c r="AB8" s="7"/>
      <c r="AC8" s="8"/>
      <c r="AD8" s="8"/>
      <c r="AE8" s="8"/>
      <c r="AF8" s="9" t="s">
        <v>8</v>
      </c>
      <c r="AG8" s="8" t="s">
        <v>11</v>
      </c>
      <c r="AK8" s="8"/>
      <c r="AL8" s="8"/>
      <c r="AM8" s="8"/>
      <c r="AN8" s="9" t="s">
        <v>8</v>
      </c>
      <c r="AO8" s="8" t="s">
        <v>11</v>
      </c>
    </row>
    <row r="9" spans="1:41" ht="21" customHeight="1">
      <c r="A9" s="126"/>
      <c r="B9" s="13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68"/>
      <c r="V9" s="7"/>
      <c r="W9" s="48" t="s">
        <v>17</v>
      </c>
      <c r="X9" s="31"/>
      <c r="Y9" s="32"/>
      <c r="Z9" s="33"/>
      <c r="AA9" s="7"/>
      <c r="AB9" s="7"/>
      <c r="AC9" s="10" t="s">
        <v>14</v>
      </c>
      <c r="AD9" s="10" t="s">
        <v>5</v>
      </c>
      <c r="AE9" s="10" t="s">
        <v>9</v>
      </c>
      <c r="AF9" s="10" t="s">
        <v>10</v>
      </c>
      <c r="AG9" s="10" t="s">
        <v>10</v>
      </c>
      <c r="AK9" s="10" t="s">
        <v>14</v>
      </c>
      <c r="AL9" s="10" t="s">
        <v>5</v>
      </c>
      <c r="AM9" s="10" t="s">
        <v>9</v>
      </c>
      <c r="AN9" s="10" t="s">
        <v>10</v>
      </c>
      <c r="AO9" s="10" t="s">
        <v>10</v>
      </c>
    </row>
    <row r="10" spans="1:41" ht="21" customHeight="1">
      <c r="A10" s="162" t="s">
        <v>89</v>
      </c>
      <c r="B10" s="14"/>
      <c r="C10" s="141"/>
      <c r="D10" s="142">
        <v>601</v>
      </c>
      <c r="E10" s="142">
        <v>468</v>
      </c>
      <c r="F10" s="142">
        <v>373</v>
      </c>
      <c r="G10" s="142"/>
      <c r="H10" s="142"/>
      <c r="I10" s="142">
        <v>601</v>
      </c>
      <c r="J10" s="142">
        <v>468</v>
      </c>
      <c r="K10" s="142">
        <v>373</v>
      </c>
      <c r="L10" s="142"/>
      <c r="M10" s="142"/>
      <c r="N10" s="142">
        <v>601</v>
      </c>
      <c r="O10" s="142">
        <v>468</v>
      </c>
      <c r="P10" s="142">
        <v>373</v>
      </c>
      <c r="Q10" s="142"/>
      <c r="R10" s="142"/>
      <c r="S10" s="142">
        <v>601</v>
      </c>
      <c r="T10" s="142">
        <v>468</v>
      </c>
      <c r="U10" s="143">
        <v>373</v>
      </c>
      <c r="V10" s="7"/>
      <c r="W10" s="34" t="s">
        <v>1</v>
      </c>
      <c r="X10" s="35">
        <f>D19</f>
        <v>188.36625</v>
      </c>
      <c r="Y10" s="79">
        <f>D30</f>
        <v>18.836625</v>
      </c>
      <c r="Z10" s="80">
        <f>D29</f>
        <v>1.9604026834231933</v>
      </c>
      <c r="AA10" s="7"/>
      <c r="AB10" s="7"/>
      <c r="AC10" s="10" t="s">
        <v>4</v>
      </c>
      <c r="AD10" s="10"/>
      <c r="AE10" s="10" t="s">
        <v>2</v>
      </c>
      <c r="AF10" s="10" t="s">
        <v>4</v>
      </c>
      <c r="AG10" s="10" t="s">
        <v>4</v>
      </c>
      <c r="AK10" s="10" t="s">
        <v>4</v>
      </c>
      <c r="AL10" s="10"/>
      <c r="AM10" s="10" t="s">
        <v>2</v>
      </c>
      <c r="AN10" s="10" t="s">
        <v>4</v>
      </c>
      <c r="AO10" s="10" t="s">
        <v>4</v>
      </c>
    </row>
    <row r="11" spans="1:41" ht="21" customHeight="1">
      <c r="A11" s="162" t="s">
        <v>50</v>
      </c>
      <c r="B11" s="14"/>
      <c r="C11" s="141"/>
      <c r="D11" s="142">
        <v>100</v>
      </c>
      <c r="E11" s="142">
        <v>100</v>
      </c>
      <c r="F11" s="142">
        <v>100</v>
      </c>
      <c r="G11" s="142"/>
      <c r="H11" s="142"/>
      <c r="I11" s="142">
        <v>100</v>
      </c>
      <c r="J11" s="142">
        <v>100</v>
      </c>
      <c r="K11" s="142">
        <v>100</v>
      </c>
      <c r="L11" s="142"/>
      <c r="M11" s="142"/>
      <c r="N11" s="142">
        <v>100</v>
      </c>
      <c r="O11" s="142">
        <v>100</v>
      </c>
      <c r="P11" s="142">
        <v>100</v>
      </c>
      <c r="Q11" s="142"/>
      <c r="R11" s="142"/>
      <c r="S11" s="142">
        <v>100</v>
      </c>
      <c r="T11" s="142">
        <v>100</v>
      </c>
      <c r="U11" s="143">
        <v>100</v>
      </c>
      <c r="V11" s="7"/>
      <c r="W11" s="34" t="s">
        <v>7</v>
      </c>
      <c r="X11" s="81">
        <f>E19</f>
        <v>135.16625000000002</v>
      </c>
      <c r="Y11" s="36">
        <f>E30</f>
        <v>13.516625000000001</v>
      </c>
      <c r="Z11" s="37">
        <f>E29</f>
        <v>1.587765409549061</v>
      </c>
      <c r="AA11" s="7"/>
      <c r="AB11" s="7"/>
      <c r="AC11" s="5">
        <v>100</v>
      </c>
      <c r="AD11" s="5">
        <v>1</v>
      </c>
      <c r="AE11" s="6">
        <v>0.15</v>
      </c>
      <c r="AF11" s="4">
        <f>$AC$11*AE11</f>
        <v>15</v>
      </c>
      <c r="AG11" s="2">
        <f>AF11</f>
        <v>15</v>
      </c>
      <c r="AK11" s="5">
        <v>150</v>
      </c>
      <c r="AL11" s="5">
        <v>1</v>
      </c>
      <c r="AM11" s="6">
        <v>0.15</v>
      </c>
      <c r="AN11" s="4">
        <f>$AK$11*AM11</f>
        <v>22.5</v>
      </c>
      <c r="AO11" s="2">
        <f>AN11</f>
        <v>22.5</v>
      </c>
    </row>
    <row r="12" spans="1:41" ht="21" customHeight="1">
      <c r="A12" s="162" t="s">
        <v>23</v>
      </c>
      <c r="B12" s="14"/>
      <c r="C12" s="141"/>
      <c r="D12" s="142">
        <v>52.09</v>
      </c>
      <c r="E12" s="142">
        <v>52.09</v>
      </c>
      <c r="F12" s="142">
        <v>52.09</v>
      </c>
      <c r="G12" s="142"/>
      <c r="H12" s="144"/>
      <c r="I12" s="142"/>
      <c r="J12" s="142"/>
      <c r="K12" s="142"/>
      <c r="L12" s="142"/>
      <c r="M12" s="144"/>
      <c r="N12" s="142"/>
      <c r="O12" s="142"/>
      <c r="P12" s="142"/>
      <c r="Q12" s="142"/>
      <c r="R12" s="144"/>
      <c r="S12" s="142"/>
      <c r="T12" s="142"/>
      <c r="U12" s="143"/>
      <c r="V12" s="7"/>
      <c r="W12" s="34" t="s">
        <v>12</v>
      </c>
      <c r="X12" s="81">
        <f>F19</f>
        <v>97.16625000000002</v>
      </c>
      <c r="Y12" s="36">
        <f>F30</f>
        <v>9.716625000000002</v>
      </c>
      <c r="Z12" s="37">
        <f>F29</f>
        <v>1.3486062106243328</v>
      </c>
      <c r="AA12" s="7"/>
      <c r="AB12" s="7"/>
      <c r="AC12" s="3"/>
      <c r="AD12" s="5">
        <v>2</v>
      </c>
      <c r="AE12" s="6">
        <f>AE11*1.15</f>
        <v>0.1725</v>
      </c>
      <c r="AF12" s="4">
        <f>$AC$11*AE12</f>
        <v>17.25</v>
      </c>
      <c r="AG12" s="2">
        <f>AG11+AF12</f>
        <v>32.25</v>
      </c>
      <c r="AK12" s="3"/>
      <c r="AL12" s="5">
        <v>2</v>
      </c>
      <c r="AM12" s="6">
        <f>AM11*1.15</f>
        <v>0.1725</v>
      </c>
      <c r="AN12" s="4">
        <f>$AK$11*AM12</f>
        <v>25.874999999999996</v>
      </c>
      <c r="AO12" s="2">
        <f>AO11+AN12</f>
        <v>48.375</v>
      </c>
    </row>
    <row r="13" spans="1:41" ht="21" customHeight="1">
      <c r="A13" s="162" t="s">
        <v>53</v>
      </c>
      <c r="B13" s="14"/>
      <c r="C13" s="141"/>
      <c r="D13" s="142">
        <f>(D11+D12)/0.8</f>
        <v>190.11249999999998</v>
      </c>
      <c r="E13" s="142">
        <f>(E11+E12)/0.8</f>
        <v>190.11249999999998</v>
      </c>
      <c r="F13" s="142">
        <f>(F11+F12)/0.8</f>
        <v>190.11249999999998</v>
      </c>
      <c r="G13" s="142"/>
      <c r="H13" s="144"/>
      <c r="I13" s="142"/>
      <c r="J13" s="142"/>
      <c r="K13" s="142"/>
      <c r="L13" s="142"/>
      <c r="M13" s="144"/>
      <c r="N13" s="142">
        <v>100</v>
      </c>
      <c r="O13" s="142">
        <v>100</v>
      </c>
      <c r="P13" s="142">
        <v>100</v>
      </c>
      <c r="Q13" s="142"/>
      <c r="R13" s="144"/>
      <c r="S13" s="142">
        <v>100</v>
      </c>
      <c r="T13" s="142">
        <v>100</v>
      </c>
      <c r="U13" s="143">
        <v>100</v>
      </c>
      <c r="V13" s="7"/>
      <c r="W13" s="38"/>
      <c r="X13" s="39"/>
      <c r="Y13" s="40"/>
      <c r="Z13" s="41"/>
      <c r="AA13" s="7"/>
      <c r="AB13" s="7"/>
      <c r="AC13" s="3"/>
      <c r="AD13" s="5"/>
      <c r="AE13" s="6"/>
      <c r="AF13" s="4"/>
      <c r="AG13" s="2"/>
      <c r="AK13" s="3"/>
      <c r="AL13" s="5"/>
      <c r="AM13" s="6"/>
      <c r="AN13" s="4"/>
      <c r="AO13" s="2"/>
    </row>
    <row r="14" spans="1:41" ht="21" customHeight="1">
      <c r="A14" s="162" t="s">
        <v>51</v>
      </c>
      <c r="B14" s="14"/>
      <c r="C14" s="145">
        <v>0.2</v>
      </c>
      <c r="D14" s="142">
        <f>D13*0.2</f>
        <v>38.0225</v>
      </c>
      <c r="E14" s="142">
        <f>E13*0.2</f>
        <v>38.0225</v>
      </c>
      <c r="F14" s="142">
        <f>F13*0.2</f>
        <v>38.0225</v>
      </c>
      <c r="G14" s="142"/>
      <c r="H14" s="146">
        <v>0.25</v>
      </c>
      <c r="I14" s="142">
        <f>100*0.25</f>
        <v>25</v>
      </c>
      <c r="J14" s="142">
        <f>100*0.25</f>
        <v>25</v>
      </c>
      <c r="K14" s="142">
        <f>100*0.25</f>
        <v>25</v>
      </c>
      <c r="L14" s="142"/>
      <c r="M14" s="144"/>
      <c r="N14" s="142"/>
      <c r="O14" s="142"/>
      <c r="P14" s="142"/>
      <c r="Q14" s="142"/>
      <c r="R14" s="144"/>
      <c r="S14" s="142"/>
      <c r="T14" s="142"/>
      <c r="U14" s="143"/>
      <c r="V14" s="7"/>
      <c r="W14" s="49" t="s">
        <v>20</v>
      </c>
      <c r="X14" s="42"/>
      <c r="Y14" s="36"/>
      <c r="Z14" s="43"/>
      <c r="AA14" s="7"/>
      <c r="AB14" s="7"/>
      <c r="AC14" s="3"/>
      <c r="AD14" s="5"/>
      <c r="AE14" s="6"/>
      <c r="AF14" s="4"/>
      <c r="AG14" s="2"/>
      <c r="AK14" s="3"/>
      <c r="AL14" s="5"/>
      <c r="AM14" s="6"/>
      <c r="AN14" s="4"/>
      <c r="AO14" s="2"/>
    </row>
    <row r="15" spans="1:41" ht="21" customHeight="1">
      <c r="A15" s="162" t="s">
        <v>107</v>
      </c>
      <c r="B15" s="14"/>
      <c r="C15" s="141"/>
      <c r="D15" s="142">
        <f>D10-D13</f>
        <v>410.88750000000005</v>
      </c>
      <c r="E15" s="142">
        <f>E10-E13</f>
        <v>277.88750000000005</v>
      </c>
      <c r="F15" s="142">
        <f>F10-F13</f>
        <v>182.88750000000002</v>
      </c>
      <c r="G15" s="142"/>
      <c r="H15" s="147"/>
      <c r="I15" s="142"/>
      <c r="J15" s="142"/>
      <c r="K15" s="142"/>
      <c r="L15" s="142"/>
      <c r="M15" s="147"/>
      <c r="N15" s="142">
        <f>N10-N11-N12</f>
        <v>501</v>
      </c>
      <c r="O15" s="142">
        <f>O10-O11-O12</f>
        <v>368</v>
      </c>
      <c r="P15" s="142">
        <f>P10-P11-P12</f>
        <v>273</v>
      </c>
      <c r="Q15" s="142"/>
      <c r="R15" s="147"/>
      <c r="S15" s="142">
        <f>S10-S11-S12</f>
        <v>501</v>
      </c>
      <c r="T15" s="142">
        <f>T10-T11-T12</f>
        <v>368</v>
      </c>
      <c r="U15" s="143">
        <f>U10-U11-U12</f>
        <v>273</v>
      </c>
      <c r="V15" s="7"/>
      <c r="W15" s="34" t="s">
        <v>1</v>
      </c>
      <c r="X15" s="35">
        <f>I19</f>
        <v>80.125</v>
      </c>
      <c r="Y15" s="79">
        <f>I30</f>
        <v>8.0125</v>
      </c>
      <c r="Z15" s="80">
        <f>I29</f>
        <v>1.2673472903512017</v>
      </c>
      <c r="AA15" s="7"/>
      <c r="AB15" s="7"/>
      <c r="AC15" s="3"/>
      <c r="AD15" s="5">
        <v>3</v>
      </c>
      <c r="AE15" s="6">
        <f>AE12*1.15</f>
        <v>0.19837499999999997</v>
      </c>
      <c r="AF15" s="4">
        <f>$AC$11*AE15</f>
        <v>19.8375</v>
      </c>
      <c r="AG15" s="2">
        <f>AG12+AF15</f>
        <v>52.0875</v>
      </c>
      <c r="AK15" s="3"/>
      <c r="AL15" s="5">
        <v>3</v>
      </c>
      <c r="AM15" s="6">
        <f>AM12*1.15</f>
        <v>0.19837499999999997</v>
      </c>
      <c r="AN15" s="4">
        <f>$AK$11*AM15</f>
        <v>29.756249999999994</v>
      </c>
      <c r="AO15" s="2">
        <f>AO12+AN15</f>
        <v>78.13125</v>
      </c>
    </row>
    <row r="16" spans="1:41" ht="21" customHeight="1">
      <c r="A16" s="163" t="s">
        <v>24</v>
      </c>
      <c r="B16" s="19"/>
      <c r="C16" s="145" t="s">
        <v>70</v>
      </c>
      <c r="D16" s="142">
        <f>10+(D14-10)/2</f>
        <v>24.01125</v>
      </c>
      <c r="E16" s="142">
        <f>10+(E14-10)/2</f>
        <v>24.01125</v>
      </c>
      <c r="F16" s="142">
        <f>10+(F14-10)/2</f>
        <v>24.01125</v>
      </c>
      <c r="G16" s="142"/>
      <c r="H16" s="146">
        <v>0.25</v>
      </c>
      <c r="I16" s="142">
        <f>(I14-10)/2+10</f>
        <v>17.5</v>
      </c>
      <c r="J16" s="142">
        <f>J14</f>
        <v>25</v>
      </c>
      <c r="K16" s="142">
        <f>K14</f>
        <v>25</v>
      </c>
      <c r="L16" s="142"/>
      <c r="M16" s="146" t="s">
        <v>47</v>
      </c>
      <c r="N16" s="142">
        <v>10</v>
      </c>
      <c r="O16" s="142">
        <v>10</v>
      </c>
      <c r="P16" s="142">
        <v>10</v>
      </c>
      <c r="Q16" s="142"/>
      <c r="R16" s="146">
        <v>0</v>
      </c>
      <c r="S16" s="142"/>
      <c r="T16" s="142"/>
      <c r="U16" s="143"/>
      <c r="V16" s="7"/>
      <c r="W16" s="34" t="s">
        <v>7</v>
      </c>
      <c r="X16" s="81">
        <f>J19</f>
        <v>71</v>
      </c>
      <c r="Y16" s="36">
        <f>J30</f>
        <v>7.1</v>
      </c>
      <c r="Z16" s="37">
        <f>J29</f>
        <v>1.1915438958121722</v>
      </c>
      <c r="AA16" s="7"/>
      <c r="AB16" s="7"/>
      <c r="AC16" s="3"/>
      <c r="AD16" s="5">
        <v>4</v>
      </c>
      <c r="AE16" s="6">
        <f>AE15*1.15</f>
        <v>0.22813124999999995</v>
      </c>
      <c r="AF16" s="4">
        <f>$AC$11*AE16</f>
        <v>22.813124999999996</v>
      </c>
      <c r="AG16" s="2">
        <f>AG15+AF16</f>
        <v>74.90062499999999</v>
      </c>
      <c r="AK16" s="3"/>
      <c r="AL16" s="5">
        <v>4</v>
      </c>
      <c r="AM16" s="6">
        <f>AM15*1.15</f>
        <v>0.22813124999999995</v>
      </c>
      <c r="AN16" s="4">
        <f>$AK$11*AM16</f>
        <v>34.21968749999999</v>
      </c>
      <c r="AO16" s="2">
        <f>AO15+AN16</f>
        <v>112.35093749999999</v>
      </c>
    </row>
    <row r="17" spans="1:29" ht="21" customHeight="1">
      <c r="A17" s="163" t="s">
        <v>35</v>
      </c>
      <c r="B17" s="19"/>
      <c r="C17" s="145">
        <v>0.8</v>
      </c>
      <c r="D17" s="142">
        <f>D15*0.8</f>
        <v>328.71000000000004</v>
      </c>
      <c r="E17" s="142">
        <f>E15*0.8</f>
        <v>222.31000000000006</v>
      </c>
      <c r="F17" s="142">
        <f>F15*0.8</f>
        <v>146.31000000000003</v>
      </c>
      <c r="G17" s="142"/>
      <c r="H17" s="146">
        <v>0.25</v>
      </c>
      <c r="I17" s="142">
        <f>(I10-I11)*0.25</f>
        <v>125.25</v>
      </c>
      <c r="J17" s="142">
        <f>(J10-J11)*0.25</f>
        <v>92</v>
      </c>
      <c r="K17" s="142">
        <f>(K10-K11)*0.25</f>
        <v>68.25</v>
      </c>
      <c r="L17" s="142"/>
      <c r="M17" s="146">
        <v>0.25</v>
      </c>
      <c r="N17" s="142">
        <f>N15*0.25</f>
        <v>125.25</v>
      </c>
      <c r="O17" s="142">
        <f>O15*0.25</f>
        <v>92</v>
      </c>
      <c r="P17" s="142">
        <f>P15*0.25</f>
        <v>68.25</v>
      </c>
      <c r="Q17" s="142"/>
      <c r="R17" s="146">
        <v>0.25</v>
      </c>
      <c r="S17" s="142">
        <f>S15*0.25</f>
        <v>125.25</v>
      </c>
      <c r="T17" s="142">
        <f>T15*0.25</f>
        <v>92</v>
      </c>
      <c r="U17" s="143">
        <f>U15*0.25</f>
        <v>68.25</v>
      </c>
      <c r="V17" s="7"/>
      <c r="W17" s="34" t="s">
        <v>12</v>
      </c>
      <c r="X17" s="81">
        <f>K19</f>
        <v>59.125</v>
      </c>
      <c r="Y17" s="36">
        <f>K30</f>
        <v>5.9125</v>
      </c>
      <c r="Z17" s="37">
        <f>K29</f>
        <v>1.0818375451768025</v>
      </c>
      <c r="AA17" s="7"/>
      <c r="AB17" s="7"/>
      <c r="AC17" s="7"/>
    </row>
    <row r="18" spans="1:29" ht="21" customHeight="1" thickBot="1">
      <c r="A18" s="163" t="s">
        <v>40</v>
      </c>
      <c r="B18" s="19"/>
      <c r="C18" s="145">
        <v>0.4</v>
      </c>
      <c r="D18" s="142">
        <f>D17/2</f>
        <v>164.35500000000002</v>
      </c>
      <c r="E18" s="142">
        <f>E17/2</f>
        <v>111.15500000000003</v>
      </c>
      <c r="F18" s="142">
        <f>F17/2</f>
        <v>73.15500000000002</v>
      </c>
      <c r="G18" s="142"/>
      <c r="H18" s="148">
        <v>0.125</v>
      </c>
      <c r="I18" s="142">
        <f>(I17)/2</f>
        <v>62.625</v>
      </c>
      <c r="J18" s="142">
        <f>(J17)/2</f>
        <v>46</v>
      </c>
      <c r="K18" s="142">
        <f>(K17)/2</f>
        <v>34.125</v>
      </c>
      <c r="L18" s="142"/>
      <c r="M18" s="148">
        <v>0.125</v>
      </c>
      <c r="N18" s="142">
        <f>N17/2</f>
        <v>62.625</v>
      </c>
      <c r="O18" s="142">
        <f>O17/2</f>
        <v>46</v>
      </c>
      <c r="P18" s="142">
        <f>P17/2</f>
        <v>34.125</v>
      </c>
      <c r="Q18" s="142"/>
      <c r="R18" s="148">
        <v>0.125</v>
      </c>
      <c r="S18" s="142">
        <f>(S17-10)/2+10</f>
        <v>67.625</v>
      </c>
      <c r="T18" s="142">
        <f>(T17-10)/2+10</f>
        <v>51</v>
      </c>
      <c r="U18" s="143">
        <f>(U17-10)/2+10</f>
        <v>39.125</v>
      </c>
      <c r="V18" s="7"/>
      <c r="W18" s="44"/>
      <c r="X18" s="45"/>
      <c r="Y18" s="46"/>
      <c r="Z18" s="47"/>
      <c r="AA18" s="7"/>
      <c r="AB18" s="7"/>
      <c r="AC18" s="7"/>
    </row>
    <row r="19" spans="1:29" ht="21" customHeight="1" thickTop="1">
      <c r="A19" s="164" t="s">
        <v>25</v>
      </c>
      <c r="B19" s="15"/>
      <c r="C19" s="141"/>
      <c r="D19" s="149">
        <f>D18+D16</f>
        <v>188.36625</v>
      </c>
      <c r="E19" s="149">
        <f>E18+E16</f>
        <v>135.16625000000002</v>
      </c>
      <c r="F19" s="149">
        <f>F18+F16</f>
        <v>97.16625000000002</v>
      </c>
      <c r="G19" s="149"/>
      <c r="H19" s="149"/>
      <c r="I19" s="149">
        <f>I16+I18</f>
        <v>80.125</v>
      </c>
      <c r="J19" s="149">
        <f>J16+J18</f>
        <v>71</v>
      </c>
      <c r="K19" s="149">
        <f>K16+K18</f>
        <v>59.125</v>
      </c>
      <c r="L19" s="149"/>
      <c r="M19" s="149"/>
      <c r="N19" s="149">
        <f>N16+N18</f>
        <v>72.625</v>
      </c>
      <c r="O19" s="149">
        <f>O16+O18</f>
        <v>56</v>
      </c>
      <c r="P19" s="149">
        <f>P16+P18</f>
        <v>44.125</v>
      </c>
      <c r="Q19" s="149"/>
      <c r="R19" s="149"/>
      <c r="S19" s="149">
        <f>S18</f>
        <v>67.625</v>
      </c>
      <c r="T19" s="149">
        <f>T18</f>
        <v>51</v>
      </c>
      <c r="U19" s="150">
        <f>U18</f>
        <v>39.125</v>
      </c>
      <c r="V19" s="7"/>
      <c r="W19" s="50" t="s">
        <v>41</v>
      </c>
      <c r="X19" s="42"/>
      <c r="Y19" s="36"/>
      <c r="Z19" s="43"/>
      <c r="AA19" s="7"/>
      <c r="AB19" s="7"/>
      <c r="AC19" s="7"/>
    </row>
    <row r="20" spans="1:29" ht="21" customHeight="1">
      <c r="A20" s="165" t="s">
        <v>54</v>
      </c>
      <c r="B20" s="15"/>
      <c r="C20" s="141"/>
      <c r="D20" s="142">
        <f>D18+(D14-D16)</f>
        <v>178.36625</v>
      </c>
      <c r="E20" s="142">
        <f>E18+(E14-E16)</f>
        <v>125.16625000000003</v>
      </c>
      <c r="F20" s="142">
        <f>F18+(F14-F16)</f>
        <v>87.16625000000002</v>
      </c>
      <c r="G20" s="149"/>
      <c r="H20" s="149"/>
      <c r="I20" s="142">
        <f>I17/2+(I14-I16)</f>
        <v>70.125</v>
      </c>
      <c r="J20" s="142">
        <f>J17/2+(J14-J16)</f>
        <v>46</v>
      </c>
      <c r="K20" s="142">
        <f>K17/2+(K14-K16)</f>
        <v>34.125</v>
      </c>
      <c r="L20" s="149"/>
      <c r="M20" s="149"/>
      <c r="N20" s="142">
        <f>N17*0.5</f>
        <v>62.625</v>
      </c>
      <c r="O20" s="142">
        <f>O17*0.5</f>
        <v>46</v>
      </c>
      <c r="P20" s="142">
        <f>P17*0.5</f>
        <v>34.125</v>
      </c>
      <c r="Q20" s="149"/>
      <c r="R20" s="149"/>
      <c r="S20" s="142">
        <f>(S17-10)/2</f>
        <v>57.625</v>
      </c>
      <c r="T20" s="142">
        <f>(T17-10)/2</f>
        <v>41</v>
      </c>
      <c r="U20" s="143">
        <f>(U17-10)/2</f>
        <v>29.125</v>
      </c>
      <c r="V20" s="7"/>
      <c r="W20" s="34" t="s">
        <v>1</v>
      </c>
      <c r="X20" s="35">
        <f>N19</f>
        <v>72.625</v>
      </c>
      <c r="Y20" s="79">
        <f>N30</f>
        <v>7.2625</v>
      </c>
      <c r="Z20" s="80">
        <f>N29</f>
        <v>1.4657353503825927</v>
      </c>
      <c r="AA20" s="7"/>
      <c r="AB20" s="7"/>
      <c r="AC20" s="7"/>
    </row>
    <row r="21" spans="1:29" ht="21" customHeight="1">
      <c r="A21" s="165" t="s">
        <v>21</v>
      </c>
      <c r="B21" s="15"/>
      <c r="C21" s="141"/>
      <c r="D21" s="142">
        <f>D11+D12+(D15*0.2)</f>
        <v>234.2675</v>
      </c>
      <c r="E21" s="142">
        <f>E11+E12+(E15*0.2)</f>
        <v>207.66750000000002</v>
      </c>
      <c r="F21" s="142">
        <f>F11+F12+(F15*0.2)</f>
        <v>188.66750000000002</v>
      </c>
      <c r="G21" s="149"/>
      <c r="H21" s="149"/>
      <c r="I21" s="142">
        <f>0.75*I10</f>
        <v>450.75</v>
      </c>
      <c r="J21" s="142">
        <f>0.75*J10</f>
        <v>351</v>
      </c>
      <c r="K21" s="142">
        <f>0.75*K10</f>
        <v>279.75</v>
      </c>
      <c r="L21" s="149"/>
      <c r="M21" s="149"/>
      <c r="N21" s="142">
        <f>N11+(N10-N11)*0.75-10</f>
        <v>465.75</v>
      </c>
      <c r="O21" s="142">
        <f>O11+(O10-O11)*0.75-10</f>
        <v>366</v>
      </c>
      <c r="P21" s="142">
        <f>P11+(P10-P11)*0.75-10</f>
        <v>294.75</v>
      </c>
      <c r="Q21" s="149"/>
      <c r="R21" s="149"/>
      <c r="S21" s="142">
        <f>S11+(S15*0.75)</f>
        <v>475.75</v>
      </c>
      <c r="T21" s="142">
        <f>T11+(T15*0.75)</f>
        <v>376</v>
      </c>
      <c r="U21" s="143">
        <f>U11+(U15*0.75)</f>
        <v>304.75</v>
      </c>
      <c r="V21" s="7"/>
      <c r="W21" s="34" t="s">
        <v>7</v>
      </c>
      <c r="X21" s="81">
        <f>O19</f>
        <v>56</v>
      </c>
      <c r="Y21" s="36">
        <f>O30</f>
        <v>5.6</v>
      </c>
      <c r="Z21" s="37">
        <f>O29</f>
        <v>1.3180938869077248</v>
      </c>
      <c r="AA21" s="7"/>
      <c r="AB21" s="7"/>
      <c r="AC21" s="7"/>
    </row>
    <row r="22" spans="1:29" ht="21" customHeight="1">
      <c r="A22" s="165" t="s">
        <v>32</v>
      </c>
      <c r="B22" s="15"/>
      <c r="C22" s="141"/>
      <c r="D22" s="142">
        <f>SUM(D19:D21)</f>
        <v>601</v>
      </c>
      <c r="E22" s="142">
        <f>SUM(E19:E21)</f>
        <v>468.00000000000006</v>
      </c>
      <c r="F22" s="142">
        <f>SUM(F19:F21)</f>
        <v>373.00000000000006</v>
      </c>
      <c r="G22" s="149"/>
      <c r="H22" s="149"/>
      <c r="I22" s="142">
        <f>SUM(I19:I21)</f>
        <v>601</v>
      </c>
      <c r="J22" s="142">
        <f>SUM(J19:J21)</f>
        <v>468</v>
      </c>
      <c r="K22" s="142">
        <f>SUM(K19:K21)</f>
        <v>373</v>
      </c>
      <c r="L22" s="149"/>
      <c r="M22" s="149"/>
      <c r="N22" s="142">
        <f>SUM(N19:N21)</f>
        <v>601</v>
      </c>
      <c r="O22" s="142">
        <f>SUM(O19:O21)</f>
        <v>468</v>
      </c>
      <c r="P22" s="142">
        <f>SUM(P19:P21)</f>
        <v>373</v>
      </c>
      <c r="Q22" s="149"/>
      <c r="R22" s="149"/>
      <c r="S22" s="142">
        <f>SUM(S19:S21)</f>
        <v>601</v>
      </c>
      <c r="T22" s="142">
        <f>SUM(T19:T21)</f>
        <v>468</v>
      </c>
      <c r="U22" s="143">
        <f>SUM(U19:U21)</f>
        <v>373</v>
      </c>
      <c r="V22" s="7"/>
      <c r="W22" s="34" t="s">
        <v>12</v>
      </c>
      <c r="X22" s="81">
        <f>P19</f>
        <v>44.125</v>
      </c>
      <c r="Y22" s="36">
        <f>P30</f>
        <v>4.4125</v>
      </c>
      <c r="Z22" s="37">
        <f>P29</f>
        <v>1.194925618039802</v>
      </c>
      <c r="AA22" s="7"/>
      <c r="AB22" s="7"/>
      <c r="AC22" s="7"/>
    </row>
    <row r="23" spans="1:29" ht="21" customHeight="1" thickBot="1">
      <c r="A23" s="162" t="s">
        <v>22</v>
      </c>
      <c r="B23" s="24" t="s">
        <v>16</v>
      </c>
      <c r="C23" s="141"/>
      <c r="D23" s="141"/>
      <c r="E23" s="141"/>
      <c r="F23" s="141"/>
      <c r="G23" s="141"/>
      <c r="H23" s="151"/>
      <c r="I23" s="141"/>
      <c r="J23" s="141"/>
      <c r="K23" s="141"/>
      <c r="L23" s="141"/>
      <c r="M23" s="151"/>
      <c r="N23" s="141"/>
      <c r="O23" s="141"/>
      <c r="P23" s="141"/>
      <c r="Q23" s="141"/>
      <c r="R23" s="151"/>
      <c r="S23" s="141"/>
      <c r="T23" s="141"/>
      <c r="U23" s="152"/>
      <c r="V23" s="7"/>
      <c r="W23" s="44"/>
      <c r="X23" s="45"/>
      <c r="Y23" s="46"/>
      <c r="Z23" s="47"/>
      <c r="AA23" s="7"/>
      <c r="AB23" s="7"/>
      <c r="AC23" s="7"/>
    </row>
    <row r="24" spans="1:29" ht="21" customHeight="1" thickTop="1">
      <c r="A24" s="126" t="s">
        <v>15</v>
      </c>
      <c r="B24" s="24">
        <v>1</v>
      </c>
      <c r="C24" s="153"/>
      <c r="D24" s="141">
        <v>-10</v>
      </c>
      <c r="E24" s="141">
        <v>-10</v>
      </c>
      <c r="F24" s="141">
        <v>-10</v>
      </c>
      <c r="G24" s="141"/>
      <c r="H24" s="141"/>
      <c r="I24" s="141">
        <v>-10</v>
      </c>
      <c r="J24" s="141">
        <v>-10</v>
      </c>
      <c r="K24" s="141">
        <v>-10</v>
      </c>
      <c r="L24" s="141"/>
      <c r="M24" s="141"/>
      <c r="N24" s="141">
        <v>-10</v>
      </c>
      <c r="O24" s="141">
        <v>-10</v>
      </c>
      <c r="P24" s="141">
        <v>-10</v>
      </c>
      <c r="Q24" s="141"/>
      <c r="R24" s="141"/>
      <c r="S24" s="141">
        <v>-10</v>
      </c>
      <c r="T24" s="141">
        <v>-10</v>
      </c>
      <c r="U24" s="152">
        <v>-10</v>
      </c>
      <c r="V24" s="7"/>
      <c r="W24" s="60" t="s">
        <v>42</v>
      </c>
      <c r="X24" s="42"/>
      <c r="Y24" s="36"/>
      <c r="Z24" s="43"/>
      <c r="AA24" s="7"/>
      <c r="AB24" s="7"/>
      <c r="AC24" s="7"/>
    </row>
    <row r="25" spans="1:29" ht="21" customHeight="1">
      <c r="A25" s="126"/>
      <c r="B25" s="24">
        <v>2</v>
      </c>
      <c r="C25" s="153"/>
      <c r="D25" s="141">
        <v>0</v>
      </c>
      <c r="E25" s="141">
        <v>0</v>
      </c>
      <c r="F25" s="141">
        <v>0</v>
      </c>
      <c r="G25" s="141"/>
      <c r="H25" s="172"/>
      <c r="I25" s="141">
        <v>0</v>
      </c>
      <c r="J25" s="141">
        <v>0</v>
      </c>
      <c r="K25" s="141">
        <v>0</v>
      </c>
      <c r="L25" s="141"/>
      <c r="M25" s="141"/>
      <c r="N25" s="141">
        <v>10</v>
      </c>
      <c r="O25" s="141">
        <v>10</v>
      </c>
      <c r="P25" s="141">
        <v>10</v>
      </c>
      <c r="Q25" s="141"/>
      <c r="R25" s="141"/>
      <c r="S25" s="141">
        <v>0</v>
      </c>
      <c r="T25" s="141">
        <v>0</v>
      </c>
      <c r="U25" s="152">
        <v>0</v>
      </c>
      <c r="V25" s="7"/>
      <c r="W25" s="34" t="s">
        <v>1</v>
      </c>
      <c r="X25" s="35">
        <f>S19</f>
        <v>67.625</v>
      </c>
      <c r="Y25" s="79">
        <f>S30</f>
        <v>6.7625</v>
      </c>
      <c r="Z25" s="80">
        <f>S29</f>
        <v>0.98959555041007</v>
      </c>
      <c r="AA25" s="7"/>
      <c r="AB25" s="7"/>
      <c r="AC25" s="7"/>
    </row>
    <row r="26" spans="1:29" ht="21" customHeight="1">
      <c r="A26" s="126"/>
      <c r="B26" s="24">
        <v>3</v>
      </c>
      <c r="C26" s="153"/>
      <c r="D26" s="142">
        <f>D16</f>
        <v>24.01125</v>
      </c>
      <c r="E26" s="142">
        <f>E16</f>
        <v>24.01125</v>
      </c>
      <c r="F26" s="142">
        <f>F16</f>
        <v>24.01125</v>
      </c>
      <c r="G26" s="142"/>
      <c r="H26" s="141"/>
      <c r="I26" s="142">
        <f>(190*0.25-10)/2+10</f>
        <v>28.75</v>
      </c>
      <c r="J26" s="142">
        <f>(190*0.25-10)/2+10</f>
        <v>28.75</v>
      </c>
      <c r="K26" s="142">
        <f>(190*0.25-10)/2+10</f>
        <v>28.75</v>
      </c>
      <c r="L26" s="141"/>
      <c r="M26" s="141"/>
      <c r="N26" s="142">
        <f>(190-100)*0.125</f>
        <v>11.25</v>
      </c>
      <c r="O26" s="142">
        <f>(190-100)*0.125</f>
        <v>11.25</v>
      </c>
      <c r="P26" s="142">
        <f>(190-100)*0.125</f>
        <v>11.25</v>
      </c>
      <c r="Q26" s="141"/>
      <c r="R26" s="141"/>
      <c r="S26" s="142">
        <f>(190-100)*0.125</f>
        <v>11.25</v>
      </c>
      <c r="T26" s="142">
        <f>(190-100)*0.125</f>
        <v>11.25</v>
      </c>
      <c r="U26" s="143">
        <f>(190-100)*0.125</f>
        <v>11.25</v>
      </c>
      <c r="V26" s="7"/>
      <c r="W26" s="34" t="s">
        <v>7</v>
      </c>
      <c r="X26" s="81">
        <f>T19</f>
        <v>51</v>
      </c>
      <c r="Y26" s="36">
        <f>T30</f>
        <v>5.1</v>
      </c>
      <c r="Z26" s="37">
        <f>T29</f>
        <v>0.8193111151830605</v>
      </c>
      <c r="AA26" s="7"/>
      <c r="AB26" s="7"/>
      <c r="AC26" s="7"/>
    </row>
    <row r="27" spans="1:29" ht="21" customHeight="1">
      <c r="A27" s="126"/>
      <c r="B27" s="24">
        <v>4</v>
      </c>
      <c r="C27" s="153"/>
      <c r="D27" s="142">
        <f>D19</f>
        <v>188.36625</v>
      </c>
      <c r="E27" s="142">
        <f>E18</f>
        <v>111.15500000000003</v>
      </c>
      <c r="F27" s="142">
        <f>F18</f>
        <v>73.15500000000002</v>
      </c>
      <c r="G27" s="142"/>
      <c r="H27" s="147"/>
      <c r="I27" s="142">
        <f>I19-I26</f>
        <v>51.375</v>
      </c>
      <c r="J27" s="142">
        <f>J19-J26</f>
        <v>42.25</v>
      </c>
      <c r="K27" s="142">
        <f>K19-K26</f>
        <v>30.375</v>
      </c>
      <c r="L27" s="142"/>
      <c r="M27" s="151"/>
      <c r="N27" s="142">
        <f>N19-N26</f>
        <v>61.375</v>
      </c>
      <c r="O27" s="142">
        <f>O19-O26</f>
        <v>44.75</v>
      </c>
      <c r="P27" s="142">
        <f>P19-P26</f>
        <v>32.875</v>
      </c>
      <c r="Q27" s="142"/>
      <c r="R27" s="151"/>
      <c r="S27" s="142">
        <f>S19-S26</f>
        <v>56.375</v>
      </c>
      <c r="T27" s="142">
        <f>T19-T26</f>
        <v>39.75</v>
      </c>
      <c r="U27" s="143">
        <f>U19-U26</f>
        <v>27.875</v>
      </c>
      <c r="V27" s="7"/>
      <c r="W27" s="34" t="s">
        <v>12</v>
      </c>
      <c r="X27" s="81">
        <f>U19</f>
        <v>39.125</v>
      </c>
      <c r="Y27" s="36">
        <f>U30</f>
        <v>3.9125</v>
      </c>
      <c r="Z27" s="37">
        <f>U29</f>
        <v>0.6712123719969405</v>
      </c>
      <c r="AA27" s="7"/>
      <c r="AB27" s="7"/>
      <c r="AC27" s="7"/>
    </row>
    <row r="28" spans="1:29" ht="21" customHeight="1" thickBot="1">
      <c r="A28" s="126"/>
      <c r="B28" s="15"/>
      <c r="C28" s="141"/>
      <c r="D28" s="141"/>
      <c r="E28" s="141"/>
      <c r="F28" s="141"/>
      <c r="G28" s="141"/>
      <c r="H28" s="141"/>
      <c r="I28" s="145"/>
      <c r="J28" s="145"/>
      <c r="K28" s="141"/>
      <c r="L28" s="141"/>
      <c r="M28" s="151"/>
      <c r="N28" s="145"/>
      <c r="O28" s="145"/>
      <c r="P28" s="141"/>
      <c r="Q28" s="141"/>
      <c r="R28" s="151"/>
      <c r="S28" s="145"/>
      <c r="T28" s="145"/>
      <c r="U28" s="152"/>
      <c r="V28" s="7"/>
      <c r="W28" s="56"/>
      <c r="X28" s="57"/>
      <c r="Y28" s="58"/>
      <c r="Z28" s="59"/>
      <c r="AA28" s="7"/>
      <c r="AB28" s="7"/>
      <c r="AC28" s="7"/>
    </row>
    <row r="29" spans="1:29" ht="21" customHeight="1">
      <c r="A29" s="126" t="s">
        <v>56</v>
      </c>
      <c r="B29" s="15"/>
      <c r="C29" s="141"/>
      <c r="D29" s="154">
        <f>IRR(D24:D27)</f>
        <v>1.9604026834231933</v>
      </c>
      <c r="E29" s="154">
        <f aca="true" t="shared" si="0" ref="E29:P29">IRR(E24:E27)</f>
        <v>1.587765409549061</v>
      </c>
      <c r="F29" s="154">
        <f t="shared" si="0"/>
        <v>1.3486062106243328</v>
      </c>
      <c r="G29" s="154"/>
      <c r="H29" s="141"/>
      <c r="I29" s="154">
        <f t="shared" si="0"/>
        <v>1.2673472903512017</v>
      </c>
      <c r="J29" s="154">
        <f t="shared" si="0"/>
        <v>1.1915438958121722</v>
      </c>
      <c r="K29" s="154">
        <f t="shared" si="0"/>
        <v>1.0818375451768025</v>
      </c>
      <c r="L29" s="154"/>
      <c r="M29" s="154"/>
      <c r="N29" s="154">
        <f t="shared" si="0"/>
        <v>1.4657353503825927</v>
      </c>
      <c r="O29" s="154">
        <f t="shared" si="0"/>
        <v>1.3180938869077248</v>
      </c>
      <c r="P29" s="154">
        <f t="shared" si="0"/>
        <v>1.194925618039802</v>
      </c>
      <c r="Q29" s="154"/>
      <c r="R29" s="154"/>
      <c r="S29" s="154">
        <f>IRR(S24:S27)</f>
        <v>0.98959555041007</v>
      </c>
      <c r="T29" s="154">
        <f>IRR(T24:T27)</f>
        <v>0.8193111151830605</v>
      </c>
      <c r="U29" s="155">
        <f>IRR(U24:U27)</f>
        <v>0.6712123719969405</v>
      </c>
      <c r="V29" s="7"/>
      <c r="AA29" s="7"/>
      <c r="AB29" s="7"/>
      <c r="AC29" s="7"/>
    </row>
    <row r="30" spans="1:29" ht="21" customHeight="1">
      <c r="A30" s="126" t="s">
        <v>90</v>
      </c>
      <c r="B30" s="15"/>
      <c r="C30" s="141"/>
      <c r="D30" s="156">
        <f>-D19/D24</f>
        <v>18.836625</v>
      </c>
      <c r="E30" s="156">
        <f>-E19/E24</f>
        <v>13.516625000000001</v>
      </c>
      <c r="F30" s="156">
        <f>-F19/F24</f>
        <v>9.716625000000002</v>
      </c>
      <c r="G30" s="156"/>
      <c r="H30" s="141"/>
      <c r="I30" s="156">
        <f>-I19/I24</f>
        <v>8.0125</v>
      </c>
      <c r="J30" s="156">
        <f>-J19/J24</f>
        <v>7.1</v>
      </c>
      <c r="K30" s="156">
        <f>-K19/K24</f>
        <v>5.9125</v>
      </c>
      <c r="L30" s="156"/>
      <c r="M30" s="156"/>
      <c r="N30" s="156">
        <f>-N19/N24</f>
        <v>7.2625</v>
      </c>
      <c r="O30" s="156">
        <f>-O19/O24</f>
        <v>5.6</v>
      </c>
      <c r="P30" s="156">
        <f>-P19/P24</f>
        <v>4.4125</v>
      </c>
      <c r="Q30" s="156"/>
      <c r="R30" s="156"/>
      <c r="S30" s="156">
        <f>-S19/S24</f>
        <v>6.7625</v>
      </c>
      <c r="T30" s="156">
        <f>-T19/T24</f>
        <v>5.1</v>
      </c>
      <c r="U30" s="157">
        <f>-U19/U24</f>
        <v>3.9125</v>
      </c>
      <c r="V30" s="7"/>
      <c r="AA30" s="7"/>
      <c r="AB30" s="7"/>
      <c r="AC30" s="7"/>
    </row>
    <row r="31" spans="1:29" ht="21" customHeight="1" thickBot="1">
      <c r="A31" s="1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7"/>
      <c r="AA31" s="7"/>
      <c r="AB31" s="7"/>
      <c r="AC31" s="7"/>
    </row>
    <row r="32" spans="1:29" ht="21" customHeight="1" thickBot="1">
      <c r="A32" s="122" t="s">
        <v>26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7"/>
      <c r="AA32" s="7"/>
      <c r="AB32" s="7"/>
      <c r="AC32" s="7"/>
    </row>
    <row r="33" spans="1:29" ht="21" customHeight="1" thickBot="1">
      <c r="A33" s="167" t="s">
        <v>48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7"/>
      <c r="AA33" s="7"/>
      <c r="AB33" s="7"/>
      <c r="AC33" s="7"/>
    </row>
    <row r="34" spans="1:29" ht="21" customHeight="1" thickBot="1">
      <c r="A34" s="56" t="s">
        <v>49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7"/>
      <c r="AA34" s="11"/>
      <c r="AB34" s="11"/>
      <c r="AC34" s="11"/>
    </row>
    <row r="35" ht="21" customHeight="1"/>
    <row r="36" spans="1:11" ht="21" customHeight="1">
      <c r="A36" s="51"/>
      <c r="B36" s="51"/>
      <c r="C36" s="53"/>
      <c r="D36" s="53"/>
      <c r="E36" s="53"/>
      <c r="F36" s="53"/>
      <c r="G36" s="53"/>
      <c r="H36" s="327" t="s">
        <v>36</v>
      </c>
      <c r="I36" s="327"/>
      <c r="J36" s="327"/>
      <c r="K36" s="327"/>
    </row>
    <row r="37" spans="1:11" ht="21" customHeight="1">
      <c r="A37" s="51"/>
      <c r="B37" s="51"/>
      <c r="C37" s="54" t="s">
        <v>27</v>
      </c>
      <c r="D37" s="54" t="s">
        <v>31</v>
      </c>
      <c r="E37" s="54" t="s">
        <v>33</v>
      </c>
      <c r="F37" s="54" t="s">
        <v>34</v>
      </c>
      <c r="G37" s="54"/>
      <c r="H37" s="54" t="s">
        <v>37</v>
      </c>
      <c r="I37" s="54" t="s">
        <v>38</v>
      </c>
      <c r="J37" s="54" t="s">
        <v>39</v>
      </c>
      <c r="K37" s="54" t="s">
        <v>32</v>
      </c>
    </row>
    <row r="38" spans="1:11" ht="21" customHeight="1">
      <c r="A38" s="51" t="s">
        <v>28</v>
      </c>
      <c r="B38" s="51"/>
      <c r="C38" s="51">
        <v>45.5</v>
      </c>
      <c r="D38" s="51">
        <v>1181</v>
      </c>
      <c r="E38" s="51">
        <v>821</v>
      </c>
      <c r="F38" s="51">
        <v>597</v>
      </c>
      <c r="G38" s="51"/>
      <c r="H38" s="51">
        <v>0</v>
      </c>
      <c r="I38" s="51">
        <v>5.32</v>
      </c>
      <c r="J38" s="51">
        <v>0</v>
      </c>
      <c r="K38" s="51">
        <f>SUM(H38:J38)</f>
        <v>5.32</v>
      </c>
    </row>
    <row r="39" spans="1:11" ht="21" customHeight="1">
      <c r="A39" s="51" t="s">
        <v>30</v>
      </c>
      <c r="B39" s="51"/>
      <c r="C39" s="51">
        <v>80</v>
      </c>
      <c r="D39" s="51">
        <v>539</v>
      </c>
      <c r="E39" s="51">
        <v>413</v>
      </c>
      <c r="F39" s="51">
        <v>324</v>
      </c>
      <c r="G39" s="51"/>
      <c r="H39" s="51">
        <v>3.75</v>
      </c>
      <c r="I39" s="51">
        <v>6.59</v>
      </c>
      <c r="J39" s="51">
        <v>2.5</v>
      </c>
      <c r="K39" s="51">
        <f>SUM(H39:J39)</f>
        <v>12.84</v>
      </c>
    </row>
    <row r="40" spans="1:11" ht="21" customHeight="1">
      <c r="A40" s="51" t="s">
        <v>29</v>
      </c>
      <c r="B40" s="51"/>
      <c r="C40" s="55">
        <v>25</v>
      </c>
      <c r="D40" s="55"/>
      <c r="E40" s="55"/>
      <c r="F40" s="55"/>
      <c r="G40" s="55"/>
      <c r="H40" s="55"/>
      <c r="I40" s="55"/>
      <c r="J40" s="55"/>
      <c r="K40" s="55"/>
    </row>
    <row r="41" spans="1:11" ht="21" customHeight="1">
      <c r="A41" s="52" t="s">
        <v>32</v>
      </c>
      <c r="B41" s="51"/>
      <c r="C41" s="51">
        <f>SUM(C38:C40)</f>
        <v>150.5</v>
      </c>
      <c r="D41" s="51">
        <f>SUM(D38:D40)</f>
        <v>1720</v>
      </c>
      <c r="E41" s="51">
        <f>SUM(E38:E40)</f>
        <v>1234</v>
      </c>
      <c r="F41" s="51">
        <f>SUM(F38:F40)</f>
        <v>921</v>
      </c>
      <c r="G41" s="51"/>
      <c r="H41" s="51">
        <f>SUM(H38:H40)</f>
        <v>3.75</v>
      </c>
      <c r="I41" s="51">
        <f>SUM(I38:I40)</f>
        <v>11.91</v>
      </c>
      <c r="J41" s="51">
        <f>SUM(J38:J40)</f>
        <v>2.5</v>
      </c>
      <c r="K41" s="51">
        <f>SUM(K38:K40)</f>
        <v>18.16</v>
      </c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15">
    <mergeCell ref="H36:K36"/>
    <mergeCell ref="C6:F6"/>
    <mergeCell ref="H6:K6"/>
    <mergeCell ref="M6:P6"/>
    <mergeCell ref="R6:U6"/>
    <mergeCell ref="A1:U1"/>
    <mergeCell ref="A2:U2"/>
    <mergeCell ref="A3:U3"/>
    <mergeCell ref="A4:U4"/>
    <mergeCell ref="W4:Z4"/>
    <mergeCell ref="C5:F5"/>
    <mergeCell ref="H5:K5"/>
    <mergeCell ref="M5:P5"/>
    <mergeCell ref="R5:U5"/>
    <mergeCell ref="W5:Z5"/>
  </mergeCells>
  <printOptions/>
  <pageMargins left="0.7" right="0.7" top="0.75" bottom="0.75" header="0.3" footer="0.3"/>
  <pageSetup fitToHeight="1" fitToWidth="1" horizontalDpi="600" verticalDpi="600" orientation="landscape" paperSize="17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Subcontracts India</dc:creator>
  <cp:keywords/>
  <dc:description/>
  <cp:lastModifiedBy>Subcontracts India</cp:lastModifiedBy>
  <cp:lastPrinted>2020-06-08T21:55:48Z</cp:lastPrinted>
  <dcterms:created xsi:type="dcterms:W3CDTF">2011-03-19T16:27:27Z</dcterms:created>
  <dcterms:modified xsi:type="dcterms:W3CDTF">2020-10-05T07:30:22Z</dcterms:modified>
  <cp:category/>
  <cp:version/>
  <cp:contentType/>
  <cp:contentStatus/>
</cp:coreProperties>
</file>