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C:\Users\Tree Authority LLC\Downloads\"/>
    </mc:Choice>
  </mc:AlternateContent>
  <xr:revisionPtr revIDLastSave="0" documentId="8_{4914B560-3563-4A64-8283-097AB5F2A9CE}" xr6:coauthVersionLast="46" xr6:coauthVersionMax="46" xr10:uidLastSave="{00000000-0000-0000-0000-000000000000}"/>
  <bookViews>
    <workbookView xWindow="3720" yWindow="2040" windowWidth="21600" windowHeight="11385" xr2:uid="{00000000-000D-0000-FFFF-FFFF00000000}"/>
  </bookViews>
  <sheets>
    <sheet name="Order Form" sheetId="1" r:id="rId1"/>
    <sheet name="Fruit Trees" sheetId="2" r:id="rId2"/>
    <sheet name="Landscape Trees " sheetId="3" r:id="rId3"/>
    <sheet name="Printer Version " sheetId="4" r:id="rId4"/>
  </sheets>
  <definedNames>
    <definedName name="_xlnm._FilterDatabase" localSheetId="0" hidden="1">'Order Form'!$J$1:$J$449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42" i="4" l="1"/>
  <c r="G1142" i="4"/>
  <c r="F1142" i="4"/>
  <c r="E1142" i="4"/>
  <c r="D1142" i="4"/>
  <c r="C1142" i="4"/>
  <c r="B1142" i="4"/>
  <c r="A1142" i="4"/>
  <c r="H1141" i="4"/>
  <c r="G1141" i="4"/>
  <c r="F1141" i="4"/>
  <c r="E1141" i="4"/>
  <c r="D1141" i="4"/>
  <c r="C1141" i="4"/>
  <c r="B1141" i="4"/>
  <c r="A1141" i="4"/>
  <c r="H1140" i="4"/>
  <c r="G1140" i="4"/>
  <c r="F1140" i="4"/>
  <c r="E1140" i="4"/>
  <c r="D1140" i="4"/>
  <c r="C1140" i="4"/>
  <c r="B1140" i="4"/>
  <c r="A1140" i="4"/>
  <c r="H1139" i="4"/>
  <c r="G1139" i="4"/>
  <c r="F1139" i="4"/>
  <c r="E1139" i="4"/>
  <c r="D1139" i="4"/>
  <c r="C1139" i="4"/>
  <c r="B1139" i="4"/>
  <c r="A1139" i="4"/>
  <c r="H1138" i="4"/>
  <c r="G1138" i="4"/>
  <c r="F1138" i="4"/>
  <c r="E1138" i="4"/>
  <c r="D1138" i="4"/>
  <c r="C1138" i="4"/>
  <c r="B1138" i="4"/>
  <c r="A1138" i="4"/>
  <c r="H1137" i="4"/>
  <c r="G1137" i="4"/>
  <c r="F1137" i="4"/>
  <c r="E1137" i="4"/>
  <c r="D1137" i="4"/>
  <c r="C1137" i="4"/>
  <c r="B1137" i="4"/>
  <c r="A1137" i="4"/>
  <c r="H1136" i="4"/>
  <c r="G1136" i="4"/>
  <c r="F1136" i="4"/>
  <c r="E1136" i="4"/>
  <c r="D1136" i="4"/>
  <c r="C1136" i="4"/>
  <c r="B1136" i="4"/>
  <c r="A1136" i="4"/>
  <c r="H1135" i="4"/>
  <c r="G1135" i="4"/>
  <c r="F1135" i="4"/>
  <c r="E1135" i="4"/>
  <c r="D1135" i="4"/>
  <c r="C1135" i="4"/>
  <c r="B1135" i="4"/>
  <c r="A1135" i="4"/>
  <c r="H1134" i="4"/>
  <c r="G1134" i="4"/>
  <c r="F1134" i="4"/>
  <c r="E1134" i="4"/>
  <c r="D1134" i="4"/>
  <c r="C1134" i="4"/>
  <c r="B1134" i="4"/>
  <c r="A1134" i="4"/>
  <c r="H1133" i="4"/>
  <c r="G1133" i="4"/>
  <c r="F1133" i="4"/>
  <c r="E1133" i="4"/>
  <c r="D1133" i="4"/>
  <c r="C1133" i="4"/>
  <c r="B1133" i="4"/>
  <c r="A1133" i="4"/>
  <c r="H1132" i="4"/>
  <c r="G1132" i="4"/>
  <c r="F1132" i="4"/>
  <c r="E1132" i="4"/>
  <c r="D1132" i="4"/>
  <c r="C1132" i="4"/>
  <c r="B1132" i="4"/>
  <c r="A1132" i="4"/>
  <c r="H1131" i="4"/>
  <c r="G1131" i="4"/>
  <c r="F1131" i="4"/>
  <c r="E1131" i="4"/>
  <c r="D1131" i="4"/>
  <c r="C1131" i="4"/>
  <c r="B1131" i="4"/>
  <c r="A1131" i="4"/>
  <c r="H1130" i="4"/>
  <c r="G1130" i="4"/>
  <c r="F1130" i="4"/>
  <c r="E1130" i="4"/>
  <c r="D1130" i="4"/>
  <c r="C1130" i="4"/>
  <c r="B1130" i="4"/>
  <c r="A1130" i="4"/>
  <c r="H1129" i="4"/>
  <c r="G1129" i="4"/>
  <c r="F1129" i="4"/>
  <c r="E1129" i="4"/>
  <c r="D1129" i="4"/>
  <c r="C1129" i="4"/>
  <c r="B1129" i="4"/>
  <c r="A1129" i="4"/>
  <c r="H1128" i="4"/>
  <c r="G1128" i="4"/>
  <c r="F1128" i="4"/>
  <c r="E1128" i="4"/>
  <c r="D1128" i="4"/>
  <c r="C1128" i="4"/>
  <c r="B1128" i="4"/>
  <c r="A1128" i="4"/>
  <c r="H1127" i="4"/>
  <c r="G1127" i="4"/>
  <c r="F1127" i="4"/>
  <c r="E1127" i="4"/>
  <c r="D1127" i="4"/>
  <c r="C1127" i="4"/>
  <c r="B1127" i="4"/>
  <c r="A1127" i="4"/>
  <c r="H1126" i="4"/>
  <c r="G1126" i="4"/>
  <c r="F1126" i="4"/>
  <c r="E1126" i="4"/>
  <c r="D1126" i="4"/>
  <c r="C1126" i="4"/>
  <c r="B1126" i="4"/>
  <c r="A1126" i="4"/>
  <c r="H1125" i="4"/>
  <c r="G1125" i="4"/>
  <c r="F1125" i="4"/>
  <c r="E1125" i="4"/>
  <c r="D1125" i="4"/>
  <c r="C1125" i="4"/>
  <c r="B1125" i="4"/>
  <c r="A1125" i="4"/>
  <c r="H1124" i="4"/>
  <c r="G1124" i="4"/>
  <c r="F1124" i="4"/>
  <c r="E1124" i="4"/>
  <c r="D1124" i="4"/>
  <c r="C1124" i="4"/>
  <c r="B1124" i="4"/>
  <c r="A1124" i="4"/>
  <c r="H1123" i="4"/>
  <c r="G1123" i="4"/>
  <c r="F1123" i="4"/>
  <c r="E1123" i="4"/>
  <c r="D1123" i="4"/>
  <c r="C1123" i="4"/>
  <c r="B1123" i="4"/>
  <c r="A1123" i="4"/>
  <c r="H1122" i="4"/>
  <c r="G1122" i="4"/>
  <c r="F1122" i="4"/>
  <c r="E1122" i="4"/>
  <c r="D1122" i="4"/>
  <c r="C1122" i="4"/>
  <c r="B1122" i="4"/>
  <c r="A1122" i="4"/>
  <c r="H1121" i="4"/>
  <c r="G1121" i="4"/>
  <c r="F1121" i="4"/>
  <c r="E1121" i="4"/>
  <c r="D1121" i="4"/>
  <c r="C1121" i="4"/>
  <c r="B1121" i="4"/>
  <c r="A1121" i="4"/>
  <c r="H1120" i="4"/>
  <c r="G1120" i="4"/>
  <c r="F1120" i="4"/>
  <c r="E1120" i="4"/>
  <c r="D1120" i="4"/>
  <c r="C1120" i="4"/>
  <c r="B1120" i="4"/>
  <c r="A1120" i="4"/>
  <c r="H1119" i="4"/>
  <c r="G1119" i="4"/>
  <c r="F1119" i="4"/>
  <c r="E1119" i="4"/>
  <c r="D1119" i="4"/>
  <c r="C1119" i="4"/>
  <c r="B1119" i="4"/>
  <c r="A1119" i="4"/>
  <c r="H1118" i="4"/>
  <c r="G1118" i="4"/>
  <c r="F1118" i="4"/>
  <c r="E1118" i="4"/>
  <c r="D1118" i="4"/>
  <c r="C1118" i="4"/>
  <c r="B1118" i="4"/>
  <c r="A1118" i="4"/>
  <c r="H1117" i="4"/>
  <c r="G1117" i="4"/>
  <c r="F1117" i="4"/>
  <c r="E1117" i="4"/>
  <c r="D1117" i="4"/>
  <c r="C1117" i="4"/>
  <c r="B1117" i="4"/>
  <c r="A1117" i="4"/>
  <c r="H1116" i="4"/>
  <c r="G1116" i="4"/>
  <c r="F1116" i="4"/>
  <c r="E1116" i="4"/>
  <c r="D1116" i="4"/>
  <c r="C1116" i="4"/>
  <c r="B1116" i="4"/>
  <c r="A1116" i="4"/>
  <c r="H1115" i="4"/>
  <c r="G1115" i="4"/>
  <c r="F1115" i="4"/>
  <c r="E1115" i="4"/>
  <c r="D1115" i="4"/>
  <c r="C1115" i="4"/>
  <c r="B1115" i="4"/>
  <c r="A1115" i="4"/>
  <c r="H1114" i="4"/>
  <c r="G1114" i="4"/>
  <c r="F1114" i="4"/>
  <c r="E1114" i="4"/>
  <c r="D1114" i="4"/>
  <c r="C1114" i="4"/>
  <c r="B1114" i="4"/>
  <c r="A1114" i="4"/>
  <c r="H1113" i="4"/>
  <c r="G1113" i="4"/>
  <c r="F1113" i="4"/>
  <c r="E1113" i="4"/>
  <c r="D1113" i="4"/>
  <c r="C1113" i="4"/>
  <c r="B1113" i="4"/>
  <c r="A1113" i="4"/>
  <c r="H1112" i="4"/>
  <c r="G1112" i="4"/>
  <c r="F1112" i="4"/>
  <c r="E1112" i="4"/>
  <c r="D1112" i="4"/>
  <c r="C1112" i="4"/>
  <c r="B1112" i="4"/>
  <c r="A1112" i="4"/>
  <c r="H1111" i="4"/>
  <c r="G1111" i="4"/>
  <c r="F1111" i="4"/>
  <c r="E1111" i="4"/>
  <c r="D1111" i="4"/>
  <c r="C1111" i="4"/>
  <c r="B1111" i="4"/>
  <c r="A1111" i="4"/>
  <c r="H1110" i="4"/>
  <c r="G1110" i="4"/>
  <c r="F1110" i="4"/>
  <c r="E1110" i="4"/>
  <c r="D1110" i="4"/>
  <c r="C1110" i="4"/>
  <c r="B1110" i="4"/>
  <c r="A1110" i="4"/>
  <c r="H1109" i="4"/>
  <c r="G1109" i="4"/>
  <c r="F1109" i="4"/>
  <c r="E1109" i="4"/>
  <c r="D1109" i="4"/>
  <c r="C1109" i="4"/>
  <c r="B1109" i="4"/>
  <c r="A1109" i="4"/>
  <c r="H1108" i="4"/>
  <c r="G1108" i="4"/>
  <c r="F1108" i="4"/>
  <c r="E1108" i="4"/>
  <c r="D1108" i="4"/>
  <c r="C1108" i="4"/>
  <c r="B1108" i="4"/>
  <c r="A1108" i="4"/>
  <c r="H1107" i="4"/>
  <c r="G1107" i="4"/>
  <c r="F1107" i="4"/>
  <c r="E1107" i="4"/>
  <c r="D1107" i="4"/>
  <c r="C1107" i="4"/>
  <c r="B1107" i="4"/>
  <c r="A1107" i="4"/>
  <c r="H1106" i="4"/>
  <c r="G1106" i="4"/>
  <c r="F1106" i="4"/>
  <c r="E1106" i="4"/>
  <c r="D1106" i="4"/>
  <c r="C1106" i="4"/>
  <c r="B1106" i="4"/>
  <c r="A1106" i="4"/>
  <c r="H1105" i="4"/>
  <c r="G1105" i="4"/>
  <c r="F1105" i="4"/>
  <c r="E1105" i="4"/>
  <c r="D1105" i="4"/>
  <c r="C1105" i="4"/>
  <c r="B1105" i="4"/>
  <c r="A1105" i="4"/>
  <c r="H1104" i="4"/>
  <c r="G1104" i="4"/>
  <c r="F1104" i="4"/>
  <c r="E1104" i="4"/>
  <c r="D1104" i="4"/>
  <c r="C1104" i="4"/>
  <c r="B1104" i="4"/>
  <c r="A1104" i="4"/>
  <c r="H1103" i="4"/>
  <c r="G1103" i="4"/>
  <c r="F1103" i="4"/>
  <c r="E1103" i="4"/>
  <c r="D1103" i="4"/>
  <c r="C1103" i="4"/>
  <c r="B1103" i="4"/>
  <c r="A1103" i="4"/>
  <c r="H1102" i="4"/>
  <c r="G1102" i="4"/>
  <c r="F1102" i="4"/>
  <c r="E1102" i="4"/>
  <c r="D1102" i="4"/>
  <c r="C1102" i="4"/>
  <c r="B1102" i="4"/>
  <c r="A1102" i="4"/>
  <c r="H1101" i="4"/>
  <c r="G1101" i="4"/>
  <c r="F1101" i="4"/>
  <c r="E1101" i="4"/>
  <c r="D1101" i="4"/>
  <c r="C1101" i="4"/>
  <c r="B1101" i="4"/>
  <c r="A1101" i="4"/>
  <c r="H1100" i="4"/>
  <c r="G1100" i="4"/>
  <c r="F1100" i="4"/>
  <c r="E1100" i="4"/>
  <c r="D1100" i="4"/>
  <c r="C1100" i="4"/>
  <c r="B1100" i="4"/>
  <c r="A1100" i="4"/>
  <c r="H1099" i="4"/>
  <c r="G1099" i="4"/>
  <c r="F1099" i="4"/>
  <c r="E1099" i="4"/>
  <c r="D1099" i="4"/>
  <c r="C1099" i="4"/>
  <c r="B1099" i="4"/>
  <c r="A1099" i="4"/>
  <c r="H1098" i="4"/>
  <c r="G1098" i="4"/>
  <c r="F1098" i="4"/>
  <c r="E1098" i="4"/>
  <c r="D1098" i="4"/>
  <c r="C1098" i="4"/>
  <c r="B1098" i="4"/>
  <c r="A1098" i="4"/>
  <c r="H1097" i="4"/>
  <c r="G1097" i="4"/>
  <c r="F1097" i="4"/>
  <c r="E1097" i="4"/>
  <c r="D1097" i="4"/>
  <c r="C1097" i="4"/>
  <c r="B1097" i="4"/>
  <c r="A1097" i="4"/>
  <c r="H1096" i="4"/>
  <c r="G1096" i="4"/>
  <c r="F1096" i="4"/>
  <c r="E1096" i="4"/>
  <c r="D1096" i="4"/>
  <c r="C1096" i="4"/>
  <c r="B1096" i="4"/>
  <c r="A1096" i="4"/>
  <c r="H1095" i="4"/>
  <c r="G1095" i="4"/>
  <c r="F1095" i="4"/>
  <c r="E1095" i="4"/>
  <c r="D1095" i="4"/>
  <c r="C1095" i="4"/>
  <c r="B1095" i="4"/>
  <c r="A1095" i="4"/>
  <c r="H1094" i="4"/>
  <c r="G1094" i="4"/>
  <c r="F1094" i="4"/>
  <c r="E1094" i="4"/>
  <c r="D1094" i="4"/>
  <c r="C1094" i="4"/>
  <c r="B1094" i="4"/>
  <c r="A1094" i="4"/>
  <c r="H1093" i="4"/>
  <c r="G1093" i="4"/>
  <c r="F1093" i="4"/>
  <c r="E1093" i="4"/>
  <c r="D1093" i="4"/>
  <c r="C1093" i="4"/>
  <c r="B1093" i="4"/>
  <c r="A1093" i="4"/>
  <c r="H1092" i="4"/>
  <c r="G1092" i="4"/>
  <c r="F1092" i="4"/>
  <c r="E1092" i="4"/>
  <c r="D1092" i="4"/>
  <c r="C1092" i="4"/>
  <c r="B1092" i="4"/>
  <c r="A1092" i="4"/>
  <c r="H1091" i="4"/>
  <c r="G1091" i="4"/>
  <c r="F1091" i="4"/>
  <c r="E1091" i="4"/>
  <c r="D1091" i="4"/>
  <c r="C1091" i="4"/>
  <c r="B1091" i="4"/>
  <c r="A1091" i="4"/>
  <c r="H1090" i="4"/>
  <c r="G1090" i="4"/>
  <c r="F1090" i="4"/>
  <c r="E1090" i="4"/>
  <c r="D1090" i="4"/>
  <c r="C1090" i="4"/>
  <c r="B1090" i="4"/>
  <c r="A1090" i="4"/>
  <c r="H1089" i="4"/>
  <c r="G1089" i="4"/>
  <c r="F1089" i="4"/>
  <c r="E1089" i="4"/>
  <c r="D1089" i="4"/>
  <c r="C1089" i="4"/>
  <c r="B1089" i="4"/>
  <c r="A1089" i="4"/>
  <c r="H1088" i="4"/>
  <c r="G1088" i="4"/>
  <c r="F1088" i="4"/>
  <c r="E1088" i="4"/>
  <c r="D1088" i="4"/>
  <c r="C1088" i="4"/>
  <c r="B1088" i="4"/>
  <c r="A1088" i="4"/>
  <c r="H1087" i="4"/>
  <c r="G1087" i="4"/>
  <c r="F1087" i="4"/>
  <c r="E1087" i="4"/>
  <c r="D1087" i="4"/>
  <c r="C1087" i="4"/>
  <c r="B1087" i="4"/>
  <c r="A1087" i="4"/>
  <c r="H1086" i="4"/>
  <c r="G1086" i="4"/>
  <c r="F1086" i="4"/>
  <c r="E1086" i="4"/>
  <c r="D1086" i="4"/>
  <c r="C1086" i="4"/>
  <c r="B1086" i="4"/>
  <c r="A1086" i="4"/>
  <c r="H1085" i="4"/>
  <c r="G1085" i="4"/>
  <c r="F1085" i="4"/>
  <c r="E1085" i="4"/>
  <c r="D1085" i="4"/>
  <c r="C1085" i="4"/>
  <c r="B1085" i="4"/>
  <c r="A1085" i="4"/>
  <c r="H1084" i="4"/>
  <c r="G1084" i="4"/>
  <c r="F1084" i="4"/>
  <c r="E1084" i="4"/>
  <c r="D1084" i="4"/>
  <c r="C1084" i="4"/>
  <c r="B1084" i="4"/>
  <c r="A1084" i="4"/>
  <c r="H1083" i="4"/>
  <c r="G1083" i="4"/>
  <c r="F1083" i="4"/>
  <c r="E1083" i="4"/>
  <c r="D1083" i="4"/>
  <c r="C1083" i="4"/>
  <c r="B1083" i="4"/>
  <c r="A1083" i="4"/>
  <c r="H1082" i="4"/>
  <c r="G1082" i="4"/>
  <c r="F1082" i="4"/>
  <c r="E1082" i="4"/>
  <c r="D1082" i="4"/>
  <c r="C1082" i="4"/>
  <c r="B1082" i="4"/>
  <c r="A1082" i="4"/>
  <c r="H1081" i="4"/>
  <c r="G1081" i="4"/>
  <c r="F1081" i="4"/>
  <c r="E1081" i="4"/>
  <c r="D1081" i="4"/>
  <c r="C1081" i="4"/>
  <c r="B1081" i="4"/>
  <c r="A1081" i="4"/>
  <c r="H1080" i="4"/>
  <c r="G1080" i="4"/>
  <c r="F1080" i="4"/>
  <c r="E1080" i="4"/>
  <c r="D1080" i="4"/>
  <c r="C1080" i="4"/>
  <c r="B1080" i="4"/>
  <c r="A1080" i="4"/>
  <c r="H1079" i="4"/>
  <c r="G1079" i="4"/>
  <c r="F1079" i="4"/>
  <c r="E1079" i="4"/>
  <c r="D1079" i="4"/>
  <c r="C1079" i="4"/>
  <c r="B1079" i="4"/>
  <c r="A1079" i="4"/>
  <c r="H1078" i="4"/>
  <c r="G1078" i="4"/>
  <c r="F1078" i="4"/>
  <c r="E1078" i="4"/>
  <c r="D1078" i="4"/>
  <c r="C1078" i="4"/>
  <c r="B1078" i="4"/>
  <c r="A1078" i="4"/>
  <c r="H1077" i="4"/>
  <c r="G1077" i="4"/>
  <c r="F1077" i="4"/>
  <c r="E1077" i="4"/>
  <c r="D1077" i="4"/>
  <c r="C1077" i="4"/>
  <c r="B1077" i="4"/>
  <c r="A1077" i="4"/>
  <c r="H1076" i="4"/>
  <c r="G1076" i="4"/>
  <c r="F1076" i="4"/>
  <c r="E1076" i="4"/>
  <c r="D1076" i="4"/>
  <c r="C1076" i="4"/>
  <c r="B1076" i="4"/>
  <c r="A1076" i="4"/>
  <c r="H1075" i="4"/>
  <c r="G1075" i="4"/>
  <c r="F1075" i="4"/>
  <c r="E1075" i="4"/>
  <c r="D1075" i="4"/>
  <c r="C1075" i="4"/>
  <c r="B1075" i="4"/>
  <c r="A1075" i="4"/>
  <c r="H1074" i="4"/>
  <c r="G1074" i="4"/>
  <c r="F1074" i="4"/>
  <c r="E1074" i="4"/>
  <c r="D1074" i="4"/>
  <c r="C1074" i="4"/>
  <c r="B1074" i="4"/>
  <c r="A1074" i="4"/>
  <c r="H1073" i="4"/>
  <c r="G1073" i="4"/>
  <c r="F1073" i="4"/>
  <c r="E1073" i="4"/>
  <c r="D1073" i="4"/>
  <c r="C1073" i="4"/>
  <c r="B1073" i="4"/>
  <c r="A1073" i="4"/>
  <c r="H1072" i="4"/>
  <c r="G1072" i="4"/>
  <c r="F1072" i="4"/>
  <c r="E1072" i="4"/>
  <c r="D1072" i="4"/>
  <c r="C1072" i="4"/>
  <c r="B1072" i="4"/>
  <c r="A1072" i="4"/>
  <c r="H1071" i="4"/>
  <c r="G1071" i="4"/>
  <c r="F1071" i="4"/>
  <c r="E1071" i="4"/>
  <c r="D1071" i="4"/>
  <c r="C1071" i="4"/>
  <c r="B1071" i="4"/>
  <c r="A1071" i="4"/>
  <c r="H1070" i="4"/>
  <c r="G1070" i="4"/>
  <c r="F1070" i="4"/>
  <c r="E1070" i="4"/>
  <c r="D1070" i="4"/>
  <c r="C1070" i="4"/>
  <c r="B1070" i="4"/>
  <c r="A1070" i="4"/>
  <c r="H1069" i="4"/>
  <c r="G1069" i="4"/>
  <c r="F1069" i="4"/>
  <c r="E1069" i="4"/>
  <c r="D1069" i="4"/>
  <c r="C1069" i="4"/>
  <c r="B1069" i="4"/>
  <c r="A1069" i="4"/>
  <c r="H1068" i="4"/>
  <c r="G1068" i="4"/>
  <c r="F1068" i="4"/>
  <c r="E1068" i="4"/>
  <c r="D1068" i="4"/>
  <c r="C1068" i="4"/>
  <c r="B1068" i="4"/>
  <c r="A1068" i="4"/>
  <c r="H1067" i="4"/>
  <c r="G1067" i="4"/>
  <c r="F1067" i="4"/>
  <c r="E1067" i="4"/>
  <c r="D1067" i="4"/>
  <c r="C1067" i="4"/>
  <c r="B1067" i="4"/>
  <c r="A1067" i="4"/>
  <c r="H1066" i="4"/>
  <c r="G1066" i="4"/>
  <c r="F1066" i="4"/>
  <c r="E1066" i="4"/>
  <c r="D1066" i="4"/>
  <c r="C1066" i="4"/>
  <c r="B1066" i="4"/>
  <c r="A1066" i="4"/>
  <c r="H1065" i="4"/>
  <c r="G1065" i="4"/>
  <c r="F1065" i="4"/>
  <c r="E1065" i="4"/>
  <c r="D1065" i="4"/>
  <c r="C1065" i="4"/>
  <c r="B1065" i="4"/>
  <c r="A1065" i="4"/>
  <c r="H1064" i="4"/>
  <c r="G1064" i="4"/>
  <c r="F1064" i="4"/>
  <c r="E1064" i="4"/>
  <c r="D1064" i="4"/>
  <c r="C1064" i="4"/>
  <c r="B1064" i="4"/>
  <c r="A1064" i="4"/>
  <c r="H1063" i="4"/>
  <c r="G1063" i="4"/>
  <c r="F1063" i="4"/>
  <c r="E1063" i="4"/>
  <c r="D1063" i="4"/>
  <c r="C1063" i="4"/>
  <c r="B1063" i="4"/>
  <c r="A1063" i="4"/>
  <c r="H1062" i="4"/>
  <c r="G1062" i="4"/>
  <c r="F1062" i="4"/>
  <c r="E1062" i="4"/>
  <c r="D1062" i="4"/>
  <c r="C1062" i="4"/>
  <c r="B1062" i="4"/>
  <c r="A1062" i="4"/>
  <c r="H1061" i="4"/>
  <c r="G1061" i="4"/>
  <c r="F1061" i="4"/>
  <c r="E1061" i="4"/>
  <c r="D1061" i="4"/>
  <c r="C1061" i="4"/>
  <c r="B1061" i="4"/>
  <c r="A1061" i="4"/>
  <c r="H1060" i="4"/>
  <c r="G1060" i="4"/>
  <c r="F1060" i="4"/>
  <c r="E1060" i="4"/>
  <c r="D1060" i="4"/>
  <c r="C1060" i="4"/>
  <c r="B1060" i="4"/>
  <c r="A1060" i="4"/>
  <c r="H1059" i="4"/>
  <c r="G1059" i="4"/>
  <c r="F1059" i="4"/>
  <c r="E1059" i="4"/>
  <c r="D1059" i="4"/>
  <c r="C1059" i="4"/>
  <c r="B1059" i="4"/>
  <c r="A1059" i="4"/>
  <c r="H1058" i="4"/>
  <c r="G1058" i="4"/>
  <c r="F1058" i="4"/>
  <c r="E1058" i="4"/>
  <c r="D1058" i="4"/>
  <c r="C1058" i="4"/>
  <c r="B1058" i="4"/>
  <c r="A1058" i="4"/>
  <c r="H1057" i="4"/>
  <c r="G1057" i="4"/>
  <c r="F1057" i="4"/>
  <c r="E1057" i="4"/>
  <c r="D1057" i="4"/>
  <c r="C1057" i="4"/>
  <c r="B1057" i="4"/>
  <c r="A1057" i="4"/>
  <c r="H1056" i="4"/>
  <c r="G1056" i="4"/>
  <c r="F1056" i="4"/>
  <c r="E1056" i="4"/>
  <c r="D1056" i="4"/>
  <c r="C1056" i="4"/>
  <c r="B1056" i="4"/>
  <c r="A1056" i="4"/>
  <c r="H1055" i="4"/>
  <c r="G1055" i="4"/>
  <c r="F1055" i="4"/>
  <c r="E1055" i="4"/>
  <c r="D1055" i="4"/>
  <c r="C1055" i="4"/>
  <c r="B1055" i="4"/>
  <c r="A1055" i="4"/>
  <c r="H1054" i="4"/>
  <c r="G1054" i="4"/>
  <c r="F1054" i="4"/>
  <c r="E1054" i="4"/>
  <c r="D1054" i="4"/>
  <c r="C1054" i="4"/>
  <c r="B1054" i="4"/>
  <c r="A1054" i="4"/>
  <c r="H1053" i="4"/>
  <c r="G1053" i="4"/>
  <c r="F1053" i="4"/>
  <c r="E1053" i="4"/>
  <c r="D1053" i="4"/>
  <c r="C1053" i="4"/>
  <c r="B1053" i="4"/>
  <c r="A1053" i="4"/>
  <c r="H1052" i="4"/>
  <c r="G1052" i="4"/>
  <c r="F1052" i="4"/>
  <c r="E1052" i="4"/>
  <c r="D1052" i="4"/>
  <c r="C1052" i="4"/>
  <c r="B1052" i="4"/>
  <c r="A1052" i="4"/>
  <c r="H1051" i="4"/>
  <c r="G1051" i="4"/>
  <c r="F1051" i="4"/>
  <c r="E1051" i="4"/>
  <c r="D1051" i="4"/>
  <c r="C1051" i="4"/>
  <c r="B1051" i="4"/>
  <c r="A1051" i="4"/>
  <c r="H1050" i="4"/>
  <c r="G1050" i="4"/>
  <c r="F1050" i="4"/>
  <c r="E1050" i="4"/>
  <c r="D1050" i="4"/>
  <c r="C1050" i="4"/>
  <c r="B1050" i="4"/>
  <c r="A1050" i="4"/>
  <c r="H1049" i="4"/>
  <c r="G1049" i="4"/>
  <c r="F1049" i="4"/>
  <c r="E1049" i="4"/>
  <c r="D1049" i="4"/>
  <c r="C1049" i="4"/>
  <c r="B1049" i="4"/>
  <c r="A1049" i="4"/>
  <c r="H1048" i="4"/>
  <c r="G1048" i="4"/>
  <c r="F1048" i="4"/>
  <c r="E1048" i="4"/>
  <c r="D1048" i="4"/>
  <c r="C1048" i="4"/>
  <c r="B1048" i="4"/>
  <c r="A1048" i="4"/>
  <c r="H1047" i="4"/>
  <c r="G1047" i="4"/>
  <c r="F1047" i="4"/>
  <c r="E1047" i="4"/>
  <c r="D1047" i="4"/>
  <c r="C1047" i="4"/>
  <c r="B1047" i="4"/>
  <c r="A1047" i="4"/>
  <c r="H1046" i="4"/>
  <c r="G1046" i="4"/>
  <c r="F1046" i="4"/>
  <c r="E1046" i="4"/>
  <c r="D1046" i="4"/>
  <c r="C1046" i="4"/>
  <c r="B1046" i="4"/>
  <c r="A1046" i="4"/>
  <c r="H1045" i="4"/>
  <c r="G1045" i="4"/>
  <c r="F1045" i="4"/>
  <c r="E1045" i="4"/>
  <c r="D1045" i="4"/>
  <c r="C1045" i="4"/>
  <c r="B1045" i="4"/>
  <c r="A1045" i="4"/>
  <c r="H1044" i="4"/>
  <c r="G1044" i="4"/>
  <c r="F1044" i="4"/>
  <c r="E1044" i="4"/>
  <c r="D1044" i="4"/>
  <c r="C1044" i="4"/>
  <c r="B1044" i="4"/>
  <c r="A1044" i="4"/>
  <c r="H1043" i="4"/>
  <c r="G1043" i="4"/>
  <c r="F1043" i="4"/>
  <c r="E1043" i="4"/>
  <c r="D1043" i="4"/>
  <c r="C1043" i="4"/>
  <c r="B1043" i="4"/>
  <c r="A1043" i="4"/>
  <c r="H1042" i="4"/>
  <c r="G1042" i="4"/>
  <c r="F1042" i="4"/>
  <c r="E1042" i="4"/>
  <c r="D1042" i="4"/>
  <c r="C1042" i="4"/>
  <c r="B1042" i="4"/>
  <c r="A1042" i="4"/>
  <c r="H1041" i="4"/>
  <c r="G1041" i="4"/>
  <c r="F1041" i="4"/>
  <c r="E1041" i="4"/>
  <c r="D1041" i="4"/>
  <c r="C1041" i="4"/>
  <c r="B1041" i="4"/>
  <c r="A1041" i="4"/>
  <c r="H1040" i="4"/>
  <c r="G1040" i="4"/>
  <c r="F1040" i="4"/>
  <c r="E1040" i="4"/>
  <c r="D1040" i="4"/>
  <c r="C1040" i="4"/>
  <c r="B1040" i="4"/>
  <c r="A1040" i="4"/>
  <c r="H1039" i="4"/>
  <c r="G1039" i="4"/>
  <c r="F1039" i="4"/>
  <c r="E1039" i="4"/>
  <c r="D1039" i="4"/>
  <c r="C1039" i="4"/>
  <c r="B1039" i="4"/>
  <c r="A1039" i="4"/>
  <c r="H1038" i="4"/>
  <c r="G1038" i="4"/>
  <c r="F1038" i="4"/>
  <c r="E1038" i="4"/>
  <c r="D1038" i="4"/>
  <c r="C1038" i="4"/>
  <c r="B1038" i="4"/>
  <c r="A1038" i="4"/>
  <c r="H1037" i="4"/>
  <c r="G1037" i="4"/>
  <c r="F1037" i="4"/>
  <c r="E1037" i="4"/>
  <c r="D1037" i="4"/>
  <c r="C1037" i="4"/>
  <c r="B1037" i="4"/>
  <c r="A1037" i="4"/>
  <c r="H1036" i="4"/>
  <c r="G1036" i="4"/>
  <c r="F1036" i="4"/>
  <c r="E1036" i="4"/>
  <c r="D1036" i="4"/>
  <c r="C1036" i="4"/>
  <c r="B1036" i="4"/>
  <c r="A1036" i="4"/>
  <c r="H1035" i="4"/>
  <c r="G1035" i="4"/>
  <c r="F1035" i="4"/>
  <c r="E1035" i="4"/>
  <c r="D1035" i="4"/>
  <c r="C1035" i="4"/>
  <c r="B1035" i="4"/>
  <c r="A1035" i="4"/>
  <c r="H1034" i="4"/>
  <c r="G1034" i="4"/>
  <c r="F1034" i="4"/>
  <c r="E1034" i="4"/>
  <c r="D1034" i="4"/>
  <c r="C1034" i="4"/>
  <c r="B1034" i="4"/>
  <c r="A1034" i="4"/>
  <c r="H1033" i="4"/>
  <c r="G1033" i="4"/>
  <c r="F1033" i="4"/>
  <c r="E1033" i="4"/>
  <c r="D1033" i="4"/>
  <c r="C1033" i="4"/>
  <c r="B1033" i="4"/>
  <c r="A1033" i="4"/>
  <c r="H1032" i="4"/>
  <c r="G1032" i="4"/>
  <c r="F1032" i="4"/>
  <c r="E1032" i="4"/>
  <c r="D1032" i="4"/>
  <c r="C1032" i="4"/>
  <c r="B1032" i="4"/>
  <c r="A1032" i="4"/>
  <c r="H1031" i="4"/>
  <c r="G1031" i="4"/>
  <c r="F1031" i="4"/>
  <c r="E1031" i="4"/>
  <c r="D1031" i="4"/>
  <c r="C1031" i="4"/>
  <c r="B1031" i="4"/>
  <c r="A1031" i="4"/>
  <c r="H1030" i="4"/>
  <c r="G1030" i="4"/>
  <c r="F1030" i="4"/>
  <c r="E1030" i="4"/>
  <c r="D1030" i="4"/>
  <c r="C1030" i="4"/>
  <c r="B1030" i="4"/>
  <c r="A1030" i="4"/>
  <c r="H1029" i="4"/>
  <c r="G1029" i="4"/>
  <c r="F1029" i="4"/>
  <c r="E1029" i="4"/>
  <c r="D1029" i="4"/>
  <c r="C1029" i="4"/>
  <c r="B1029" i="4"/>
  <c r="A1029" i="4"/>
  <c r="H1028" i="4"/>
  <c r="G1028" i="4"/>
  <c r="F1028" i="4"/>
  <c r="E1028" i="4"/>
  <c r="D1028" i="4"/>
  <c r="C1028" i="4"/>
  <c r="B1028" i="4"/>
  <c r="A1028" i="4"/>
  <c r="H1027" i="4"/>
  <c r="G1027" i="4"/>
  <c r="F1027" i="4"/>
  <c r="E1027" i="4"/>
  <c r="D1027" i="4"/>
  <c r="C1027" i="4"/>
  <c r="B1027" i="4"/>
  <c r="A1027" i="4"/>
  <c r="H1026" i="4"/>
  <c r="G1026" i="4"/>
  <c r="F1026" i="4"/>
  <c r="E1026" i="4"/>
  <c r="D1026" i="4"/>
  <c r="C1026" i="4"/>
  <c r="B1026" i="4"/>
  <c r="A1026" i="4"/>
  <c r="H1025" i="4"/>
  <c r="G1025" i="4"/>
  <c r="F1025" i="4"/>
  <c r="E1025" i="4"/>
  <c r="D1025" i="4"/>
  <c r="C1025" i="4"/>
  <c r="B1025" i="4"/>
  <c r="A1025" i="4"/>
  <c r="H1024" i="4"/>
  <c r="G1024" i="4"/>
  <c r="F1024" i="4"/>
  <c r="E1024" i="4"/>
  <c r="D1024" i="4"/>
  <c r="C1024" i="4"/>
  <c r="B1024" i="4"/>
  <c r="A1024" i="4"/>
  <c r="H1023" i="4"/>
  <c r="G1023" i="4"/>
  <c r="F1023" i="4"/>
  <c r="E1023" i="4"/>
  <c r="D1023" i="4"/>
  <c r="C1023" i="4"/>
  <c r="B1023" i="4"/>
  <c r="A1023" i="4"/>
  <c r="H1022" i="4"/>
  <c r="G1022" i="4"/>
  <c r="F1022" i="4"/>
  <c r="E1022" i="4"/>
  <c r="D1022" i="4"/>
  <c r="C1022" i="4"/>
  <c r="B1022" i="4"/>
  <c r="A1022" i="4"/>
  <c r="H1021" i="4"/>
  <c r="G1021" i="4"/>
  <c r="F1021" i="4"/>
  <c r="E1021" i="4"/>
  <c r="D1021" i="4"/>
  <c r="C1021" i="4"/>
  <c r="B1021" i="4"/>
  <c r="A1021" i="4"/>
  <c r="H1020" i="4"/>
  <c r="G1020" i="4"/>
  <c r="F1020" i="4"/>
  <c r="E1020" i="4"/>
  <c r="D1020" i="4"/>
  <c r="C1020" i="4"/>
  <c r="B1020" i="4"/>
  <c r="A1020" i="4"/>
  <c r="H1019" i="4"/>
  <c r="G1019" i="4"/>
  <c r="F1019" i="4"/>
  <c r="E1019" i="4"/>
  <c r="D1019" i="4"/>
  <c r="C1019" i="4"/>
  <c r="B1019" i="4"/>
  <c r="A1019" i="4"/>
  <c r="H1018" i="4"/>
  <c r="G1018" i="4"/>
  <c r="F1018" i="4"/>
  <c r="E1018" i="4"/>
  <c r="D1018" i="4"/>
  <c r="C1018" i="4"/>
  <c r="B1018" i="4"/>
  <c r="A1018" i="4"/>
  <c r="H1017" i="4"/>
  <c r="G1017" i="4"/>
  <c r="F1017" i="4"/>
  <c r="E1017" i="4"/>
  <c r="D1017" i="4"/>
  <c r="C1017" i="4"/>
  <c r="B1017" i="4"/>
  <c r="A1017" i="4"/>
  <c r="H1016" i="4"/>
  <c r="G1016" i="4"/>
  <c r="F1016" i="4"/>
  <c r="E1016" i="4"/>
  <c r="D1016" i="4"/>
  <c r="C1016" i="4"/>
  <c r="B1016" i="4"/>
  <c r="A1016" i="4"/>
  <c r="H1015" i="4"/>
  <c r="G1015" i="4"/>
  <c r="F1015" i="4"/>
  <c r="E1015" i="4"/>
  <c r="D1015" i="4"/>
  <c r="C1015" i="4"/>
  <c r="B1015" i="4"/>
  <c r="A1015" i="4"/>
  <c r="H1014" i="4"/>
  <c r="G1014" i="4"/>
  <c r="F1014" i="4"/>
  <c r="E1014" i="4"/>
  <c r="D1014" i="4"/>
  <c r="C1014" i="4"/>
  <c r="B1014" i="4"/>
  <c r="A1014" i="4"/>
  <c r="H1013" i="4"/>
  <c r="G1013" i="4"/>
  <c r="F1013" i="4"/>
  <c r="E1013" i="4"/>
  <c r="D1013" i="4"/>
  <c r="C1013" i="4"/>
  <c r="B1013" i="4"/>
  <c r="A1013" i="4"/>
  <c r="H1012" i="4"/>
  <c r="G1012" i="4"/>
  <c r="F1012" i="4"/>
  <c r="E1012" i="4"/>
  <c r="D1012" i="4"/>
  <c r="C1012" i="4"/>
  <c r="B1012" i="4"/>
  <c r="A1012" i="4"/>
  <c r="H1011" i="4"/>
  <c r="G1011" i="4"/>
  <c r="F1011" i="4"/>
  <c r="E1011" i="4"/>
  <c r="D1011" i="4"/>
  <c r="C1011" i="4"/>
  <c r="B1011" i="4"/>
  <c r="A1011" i="4"/>
  <c r="H1010" i="4"/>
  <c r="G1010" i="4"/>
  <c r="F1010" i="4"/>
  <c r="E1010" i="4"/>
  <c r="D1010" i="4"/>
  <c r="C1010" i="4"/>
  <c r="B1010" i="4"/>
  <c r="A1010" i="4"/>
  <c r="H1009" i="4"/>
  <c r="G1009" i="4"/>
  <c r="F1009" i="4"/>
  <c r="E1009" i="4"/>
  <c r="D1009" i="4"/>
  <c r="C1009" i="4"/>
  <c r="B1009" i="4"/>
  <c r="A1009" i="4"/>
  <c r="H1008" i="4"/>
  <c r="G1008" i="4"/>
  <c r="F1008" i="4"/>
  <c r="E1008" i="4"/>
  <c r="D1008" i="4"/>
  <c r="C1008" i="4"/>
  <c r="B1008" i="4"/>
  <c r="A1008" i="4"/>
  <c r="H1007" i="4"/>
  <c r="G1007" i="4"/>
  <c r="F1007" i="4"/>
  <c r="E1007" i="4"/>
  <c r="D1007" i="4"/>
  <c r="C1007" i="4"/>
  <c r="B1007" i="4"/>
  <c r="A1007" i="4"/>
  <c r="H1006" i="4"/>
  <c r="G1006" i="4"/>
  <c r="F1006" i="4"/>
  <c r="E1006" i="4"/>
  <c r="D1006" i="4"/>
  <c r="C1006" i="4"/>
  <c r="B1006" i="4"/>
  <c r="A1006" i="4"/>
  <c r="H1005" i="4"/>
  <c r="G1005" i="4"/>
  <c r="F1005" i="4"/>
  <c r="E1005" i="4"/>
  <c r="D1005" i="4"/>
  <c r="C1005" i="4"/>
  <c r="B1005" i="4"/>
  <c r="A1005" i="4"/>
  <c r="H1004" i="4"/>
  <c r="G1004" i="4"/>
  <c r="F1004" i="4"/>
  <c r="E1004" i="4"/>
  <c r="D1004" i="4"/>
  <c r="C1004" i="4"/>
  <c r="B1004" i="4"/>
  <c r="A1004" i="4"/>
  <c r="H1003" i="4"/>
  <c r="G1003" i="4"/>
  <c r="F1003" i="4"/>
  <c r="E1003" i="4"/>
  <c r="D1003" i="4"/>
  <c r="C1003" i="4"/>
  <c r="B1003" i="4"/>
  <c r="A1003" i="4"/>
  <c r="H1002" i="4"/>
  <c r="G1002" i="4"/>
  <c r="F1002" i="4"/>
  <c r="E1002" i="4"/>
  <c r="D1002" i="4"/>
  <c r="C1002" i="4"/>
  <c r="B1002" i="4"/>
  <c r="A1002" i="4"/>
  <c r="H1001" i="4"/>
  <c r="G1001" i="4"/>
  <c r="F1001" i="4"/>
  <c r="E1001" i="4"/>
  <c r="D1001" i="4"/>
  <c r="C1001" i="4"/>
  <c r="B1001" i="4"/>
  <c r="A1001" i="4"/>
  <c r="H1000" i="4"/>
  <c r="G1000" i="4"/>
  <c r="F1000" i="4"/>
  <c r="E1000" i="4"/>
  <c r="D1000" i="4"/>
  <c r="C1000" i="4"/>
  <c r="B1000" i="4"/>
  <c r="A1000" i="4"/>
  <c r="H999" i="4"/>
  <c r="G999" i="4"/>
  <c r="F999" i="4"/>
  <c r="E999" i="4"/>
  <c r="D999" i="4"/>
  <c r="C999" i="4"/>
  <c r="B999" i="4"/>
  <c r="A999" i="4"/>
  <c r="H998" i="4"/>
  <c r="G998" i="4"/>
  <c r="F998" i="4"/>
  <c r="E998" i="4"/>
  <c r="D998" i="4"/>
  <c r="C998" i="4"/>
  <c r="B998" i="4"/>
  <c r="A998" i="4"/>
  <c r="H997" i="4"/>
  <c r="G997" i="4"/>
  <c r="F997" i="4"/>
  <c r="E997" i="4"/>
  <c r="D997" i="4"/>
  <c r="C997" i="4"/>
  <c r="B997" i="4"/>
  <c r="A997" i="4"/>
  <c r="H996" i="4"/>
  <c r="G996" i="4"/>
  <c r="F996" i="4"/>
  <c r="E996" i="4"/>
  <c r="D996" i="4"/>
  <c r="C996" i="4"/>
  <c r="B996" i="4"/>
  <c r="A996" i="4"/>
  <c r="H995" i="4"/>
  <c r="G995" i="4"/>
  <c r="F995" i="4"/>
  <c r="E995" i="4"/>
  <c r="D995" i="4"/>
  <c r="C995" i="4"/>
  <c r="B995" i="4"/>
  <c r="A995" i="4"/>
  <c r="H994" i="4"/>
  <c r="G994" i="4"/>
  <c r="F994" i="4"/>
  <c r="E994" i="4"/>
  <c r="D994" i="4"/>
  <c r="C994" i="4"/>
  <c r="B994" i="4"/>
  <c r="A994" i="4"/>
  <c r="H993" i="4"/>
  <c r="G993" i="4"/>
  <c r="F993" i="4"/>
  <c r="E993" i="4"/>
  <c r="D993" i="4"/>
  <c r="C993" i="4"/>
  <c r="B993" i="4"/>
  <c r="A993" i="4"/>
  <c r="H992" i="4"/>
  <c r="G992" i="4"/>
  <c r="F992" i="4"/>
  <c r="E992" i="4"/>
  <c r="D992" i="4"/>
  <c r="C992" i="4"/>
  <c r="B992" i="4"/>
  <c r="A992" i="4"/>
  <c r="H991" i="4"/>
  <c r="G991" i="4"/>
  <c r="F991" i="4"/>
  <c r="E991" i="4"/>
  <c r="D991" i="4"/>
  <c r="C991" i="4"/>
  <c r="B991" i="4"/>
  <c r="A991" i="4"/>
  <c r="H990" i="4"/>
  <c r="G990" i="4"/>
  <c r="F990" i="4"/>
  <c r="E990" i="4"/>
  <c r="D990" i="4"/>
  <c r="C990" i="4"/>
  <c r="B990" i="4"/>
  <c r="A990" i="4"/>
  <c r="H989" i="4"/>
  <c r="G989" i="4"/>
  <c r="F989" i="4"/>
  <c r="E989" i="4"/>
  <c r="D989" i="4"/>
  <c r="C989" i="4"/>
  <c r="B989" i="4"/>
  <c r="A989" i="4"/>
  <c r="H988" i="4"/>
  <c r="G988" i="4"/>
  <c r="F988" i="4"/>
  <c r="E988" i="4"/>
  <c r="D988" i="4"/>
  <c r="C988" i="4"/>
  <c r="B988" i="4"/>
  <c r="A988" i="4"/>
  <c r="H987" i="4"/>
  <c r="G987" i="4"/>
  <c r="F987" i="4"/>
  <c r="E987" i="4"/>
  <c r="D987" i="4"/>
  <c r="C987" i="4"/>
  <c r="B987" i="4"/>
  <c r="A987" i="4"/>
  <c r="H986" i="4"/>
  <c r="G986" i="4"/>
  <c r="F986" i="4"/>
  <c r="E986" i="4"/>
  <c r="D986" i="4"/>
  <c r="C986" i="4"/>
  <c r="B986" i="4"/>
  <c r="A986" i="4"/>
  <c r="H985" i="4"/>
  <c r="G985" i="4"/>
  <c r="F985" i="4"/>
  <c r="E985" i="4"/>
  <c r="D985" i="4"/>
  <c r="C985" i="4"/>
  <c r="B985" i="4"/>
  <c r="A985" i="4"/>
  <c r="H984" i="4"/>
  <c r="G984" i="4"/>
  <c r="F984" i="4"/>
  <c r="E984" i="4"/>
  <c r="D984" i="4"/>
  <c r="C984" i="4"/>
  <c r="B984" i="4"/>
  <c r="A984" i="4"/>
  <c r="H983" i="4"/>
  <c r="G983" i="4"/>
  <c r="F983" i="4"/>
  <c r="E983" i="4"/>
  <c r="D983" i="4"/>
  <c r="C983" i="4"/>
  <c r="B983" i="4"/>
  <c r="A983" i="4"/>
  <c r="H982" i="4"/>
  <c r="G982" i="4"/>
  <c r="F982" i="4"/>
  <c r="E982" i="4"/>
  <c r="D982" i="4"/>
  <c r="C982" i="4"/>
  <c r="B982" i="4"/>
  <c r="A982" i="4"/>
  <c r="H981" i="4"/>
  <c r="G981" i="4"/>
  <c r="F981" i="4"/>
  <c r="E981" i="4"/>
  <c r="D981" i="4"/>
  <c r="C981" i="4"/>
  <c r="B981" i="4"/>
  <c r="A981" i="4"/>
  <c r="H980" i="4"/>
  <c r="G980" i="4"/>
  <c r="F980" i="4"/>
  <c r="E980" i="4"/>
  <c r="D980" i="4"/>
  <c r="C980" i="4"/>
  <c r="B980" i="4"/>
  <c r="A980" i="4"/>
  <c r="H979" i="4"/>
  <c r="G979" i="4"/>
  <c r="F979" i="4"/>
  <c r="E979" i="4"/>
  <c r="D979" i="4"/>
  <c r="C979" i="4"/>
  <c r="B979" i="4"/>
  <c r="A979" i="4"/>
  <c r="H978" i="4"/>
  <c r="G978" i="4"/>
  <c r="F978" i="4"/>
  <c r="E978" i="4"/>
  <c r="D978" i="4"/>
  <c r="C978" i="4"/>
  <c r="B978" i="4"/>
  <c r="A978" i="4"/>
  <c r="H977" i="4"/>
  <c r="G977" i="4"/>
  <c r="F977" i="4"/>
  <c r="E977" i="4"/>
  <c r="D977" i="4"/>
  <c r="C977" i="4"/>
  <c r="B977" i="4"/>
  <c r="A977" i="4"/>
  <c r="H976" i="4"/>
  <c r="G976" i="4"/>
  <c r="F976" i="4"/>
  <c r="E976" i="4"/>
  <c r="D976" i="4"/>
  <c r="C976" i="4"/>
  <c r="B976" i="4"/>
  <c r="A976" i="4"/>
  <c r="H975" i="4"/>
  <c r="G975" i="4"/>
  <c r="F975" i="4"/>
  <c r="E975" i="4"/>
  <c r="D975" i="4"/>
  <c r="C975" i="4"/>
  <c r="B975" i="4"/>
  <c r="A975" i="4"/>
  <c r="H974" i="4"/>
  <c r="G974" i="4"/>
  <c r="F974" i="4"/>
  <c r="E974" i="4"/>
  <c r="D974" i="4"/>
  <c r="C974" i="4"/>
  <c r="B974" i="4"/>
  <c r="A974" i="4"/>
  <c r="H973" i="4"/>
  <c r="G973" i="4"/>
  <c r="F973" i="4"/>
  <c r="E973" i="4"/>
  <c r="D973" i="4"/>
  <c r="C973" i="4"/>
  <c r="B973" i="4"/>
  <c r="A973" i="4"/>
  <c r="H972" i="4"/>
  <c r="G972" i="4"/>
  <c r="F972" i="4"/>
  <c r="E972" i="4"/>
  <c r="D972" i="4"/>
  <c r="C972" i="4"/>
  <c r="B972" i="4"/>
  <c r="A972" i="4"/>
  <c r="H971" i="4"/>
  <c r="G971" i="4"/>
  <c r="F971" i="4"/>
  <c r="E971" i="4"/>
  <c r="D971" i="4"/>
  <c r="C971" i="4"/>
  <c r="B971" i="4"/>
  <c r="A971" i="4"/>
  <c r="H970" i="4"/>
  <c r="G970" i="4"/>
  <c r="F970" i="4"/>
  <c r="E970" i="4"/>
  <c r="D970" i="4"/>
  <c r="C970" i="4"/>
  <c r="B970" i="4"/>
  <c r="A970" i="4"/>
  <c r="H969" i="4"/>
  <c r="G969" i="4"/>
  <c r="F969" i="4"/>
  <c r="E969" i="4"/>
  <c r="D969" i="4"/>
  <c r="C969" i="4"/>
  <c r="B969" i="4"/>
  <c r="A969" i="4"/>
  <c r="H968" i="4"/>
  <c r="G968" i="4"/>
  <c r="F968" i="4"/>
  <c r="E968" i="4"/>
  <c r="D968" i="4"/>
  <c r="C968" i="4"/>
  <c r="B968" i="4"/>
  <c r="A968" i="4"/>
  <c r="H967" i="4"/>
  <c r="G967" i="4"/>
  <c r="F967" i="4"/>
  <c r="E967" i="4"/>
  <c r="D967" i="4"/>
  <c r="C967" i="4"/>
  <c r="B967" i="4"/>
  <c r="A967" i="4"/>
  <c r="H966" i="4"/>
  <c r="G966" i="4"/>
  <c r="F966" i="4"/>
  <c r="E966" i="4"/>
  <c r="D966" i="4"/>
  <c r="C966" i="4"/>
  <c r="B966" i="4"/>
  <c r="A966" i="4"/>
  <c r="H965" i="4"/>
  <c r="G965" i="4"/>
  <c r="F965" i="4"/>
  <c r="E965" i="4"/>
  <c r="D965" i="4"/>
  <c r="C965" i="4"/>
  <c r="B965" i="4"/>
  <c r="A965" i="4"/>
  <c r="H964" i="4"/>
  <c r="G964" i="4"/>
  <c r="F964" i="4"/>
  <c r="E964" i="4"/>
  <c r="D964" i="4"/>
  <c r="C964" i="4"/>
  <c r="B964" i="4"/>
  <c r="A964" i="4"/>
  <c r="H963" i="4"/>
  <c r="G963" i="4"/>
  <c r="F963" i="4"/>
  <c r="E963" i="4"/>
  <c r="D963" i="4"/>
  <c r="C963" i="4"/>
  <c r="B963" i="4"/>
  <c r="A963" i="4"/>
  <c r="H962" i="4"/>
  <c r="G962" i="4"/>
  <c r="F962" i="4"/>
  <c r="E962" i="4"/>
  <c r="D962" i="4"/>
  <c r="C962" i="4"/>
  <c r="B962" i="4"/>
  <c r="A962" i="4"/>
  <c r="H961" i="4"/>
  <c r="G961" i="4"/>
  <c r="F961" i="4"/>
  <c r="E961" i="4"/>
  <c r="D961" i="4"/>
  <c r="C961" i="4"/>
  <c r="B961" i="4"/>
  <c r="A961" i="4"/>
  <c r="H960" i="4"/>
  <c r="G960" i="4"/>
  <c r="F960" i="4"/>
  <c r="E960" i="4"/>
  <c r="D960" i="4"/>
  <c r="C960" i="4"/>
  <c r="B960" i="4"/>
  <c r="A960" i="4"/>
  <c r="H959" i="4"/>
  <c r="G959" i="4"/>
  <c r="F959" i="4"/>
  <c r="E959" i="4"/>
  <c r="D959" i="4"/>
  <c r="C959" i="4"/>
  <c r="B959" i="4"/>
  <c r="A959" i="4"/>
  <c r="H958" i="4"/>
  <c r="G958" i="4"/>
  <c r="F958" i="4"/>
  <c r="E958" i="4"/>
  <c r="D958" i="4"/>
  <c r="C958" i="4"/>
  <c r="B958" i="4"/>
  <c r="A958" i="4"/>
  <c r="H957" i="4"/>
  <c r="G957" i="4"/>
  <c r="F957" i="4"/>
  <c r="E957" i="4"/>
  <c r="D957" i="4"/>
  <c r="C957" i="4"/>
  <c r="B957" i="4"/>
  <c r="A957" i="4"/>
  <c r="H956" i="4"/>
  <c r="G956" i="4"/>
  <c r="F956" i="4"/>
  <c r="E956" i="4"/>
  <c r="D956" i="4"/>
  <c r="C956" i="4"/>
  <c r="B956" i="4"/>
  <c r="A956" i="4"/>
  <c r="H955" i="4"/>
  <c r="G955" i="4"/>
  <c r="F955" i="4"/>
  <c r="E955" i="4"/>
  <c r="D955" i="4"/>
  <c r="C955" i="4"/>
  <c r="B955" i="4"/>
  <c r="A955" i="4"/>
  <c r="H954" i="4"/>
  <c r="G954" i="4"/>
  <c r="F954" i="4"/>
  <c r="E954" i="4"/>
  <c r="D954" i="4"/>
  <c r="C954" i="4"/>
  <c r="B954" i="4"/>
  <c r="A954" i="4"/>
  <c r="H953" i="4"/>
  <c r="G953" i="4"/>
  <c r="F953" i="4"/>
  <c r="E953" i="4"/>
  <c r="D953" i="4"/>
  <c r="C953" i="4"/>
  <c r="B953" i="4"/>
  <c r="A953" i="4"/>
  <c r="H952" i="4"/>
  <c r="G952" i="4"/>
  <c r="F952" i="4"/>
  <c r="E952" i="4"/>
  <c r="D952" i="4"/>
  <c r="C952" i="4"/>
  <c r="B952" i="4"/>
  <c r="A952" i="4"/>
  <c r="H951" i="4"/>
  <c r="G951" i="4"/>
  <c r="F951" i="4"/>
  <c r="E951" i="4"/>
  <c r="D951" i="4"/>
  <c r="C951" i="4"/>
  <c r="B951" i="4"/>
  <c r="A951" i="4"/>
  <c r="H950" i="4"/>
  <c r="G950" i="4"/>
  <c r="F950" i="4"/>
  <c r="E950" i="4"/>
  <c r="D950" i="4"/>
  <c r="C950" i="4"/>
  <c r="B950" i="4"/>
  <c r="A950" i="4"/>
  <c r="H949" i="4"/>
  <c r="G949" i="4"/>
  <c r="F949" i="4"/>
  <c r="E949" i="4"/>
  <c r="D949" i="4"/>
  <c r="C949" i="4"/>
  <c r="B949" i="4"/>
  <c r="A949" i="4"/>
  <c r="H948" i="4"/>
  <c r="G948" i="4"/>
  <c r="F948" i="4"/>
  <c r="E948" i="4"/>
  <c r="D948" i="4"/>
  <c r="C948" i="4"/>
  <c r="B948" i="4"/>
  <c r="A948" i="4"/>
  <c r="H947" i="4"/>
  <c r="G947" i="4"/>
  <c r="F947" i="4"/>
  <c r="E947" i="4"/>
  <c r="D947" i="4"/>
  <c r="C947" i="4"/>
  <c r="B947" i="4"/>
  <c r="A947" i="4"/>
  <c r="H946" i="4"/>
  <c r="G946" i="4"/>
  <c r="F946" i="4"/>
  <c r="E946" i="4"/>
  <c r="D946" i="4"/>
  <c r="C946" i="4"/>
  <c r="B946" i="4"/>
  <c r="A946" i="4"/>
  <c r="H945" i="4"/>
  <c r="G945" i="4"/>
  <c r="F945" i="4"/>
  <c r="E945" i="4"/>
  <c r="D945" i="4"/>
  <c r="C945" i="4"/>
  <c r="B945" i="4"/>
  <c r="A945" i="4"/>
  <c r="H944" i="4"/>
  <c r="G944" i="4"/>
  <c r="F944" i="4"/>
  <c r="E944" i="4"/>
  <c r="D944" i="4"/>
  <c r="C944" i="4"/>
  <c r="B944" i="4"/>
  <c r="A944" i="4"/>
  <c r="H943" i="4"/>
  <c r="G943" i="4"/>
  <c r="F943" i="4"/>
  <c r="E943" i="4"/>
  <c r="D943" i="4"/>
  <c r="C943" i="4"/>
  <c r="B943" i="4"/>
  <c r="A943" i="4"/>
  <c r="H942" i="4"/>
  <c r="G942" i="4"/>
  <c r="F942" i="4"/>
  <c r="E942" i="4"/>
  <c r="D942" i="4"/>
  <c r="C942" i="4"/>
  <c r="B942" i="4"/>
  <c r="A942" i="4"/>
  <c r="H941" i="4"/>
  <c r="G941" i="4"/>
  <c r="F941" i="4"/>
  <c r="E941" i="4"/>
  <c r="D941" i="4"/>
  <c r="C941" i="4"/>
  <c r="B941" i="4"/>
  <c r="A941" i="4"/>
  <c r="H940" i="4"/>
  <c r="G940" i="4"/>
  <c r="F940" i="4"/>
  <c r="E940" i="4"/>
  <c r="D940" i="4"/>
  <c r="C940" i="4"/>
  <c r="B940" i="4"/>
  <c r="A940" i="4"/>
  <c r="H939" i="4"/>
  <c r="G939" i="4"/>
  <c r="F939" i="4"/>
  <c r="E939" i="4"/>
  <c r="D939" i="4"/>
  <c r="C939" i="4"/>
  <c r="B939" i="4"/>
  <c r="A939" i="4"/>
  <c r="H938" i="4"/>
  <c r="G938" i="4"/>
  <c r="F938" i="4"/>
  <c r="E938" i="4"/>
  <c r="D938" i="4"/>
  <c r="C938" i="4"/>
  <c r="B938" i="4"/>
  <c r="A938" i="4"/>
  <c r="H937" i="4"/>
  <c r="G937" i="4"/>
  <c r="F937" i="4"/>
  <c r="E937" i="4"/>
  <c r="D937" i="4"/>
  <c r="C937" i="4"/>
  <c r="B937" i="4"/>
  <c r="A937" i="4"/>
  <c r="H936" i="4"/>
  <c r="G936" i="4"/>
  <c r="F936" i="4"/>
  <c r="E936" i="4"/>
  <c r="D936" i="4"/>
  <c r="C936" i="4"/>
  <c r="B936" i="4"/>
  <c r="A936" i="4"/>
  <c r="H935" i="4"/>
  <c r="G935" i="4"/>
  <c r="F935" i="4"/>
  <c r="E935" i="4"/>
  <c r="D935" i="4"/>
  <c r="C935" i="4"/>
  <c r="B935" i="4"/>
  <c r="A935" i="4"/>
  <c r="H934" i="4"/>
  <c r="G934" i="4"/>
  <c r="F934" i="4"/>
  <c r="E934" i="4"/>
  <c r="D934" i="4"/>
  <c r="C934" i="4"/>
  <c r="B934" i="4"/>
  <c r="A934" i="4"/>
  <c r="H933" i="4"/>
  <c r="G933" i="4"/>
  <c r="F933" i="4"/>
  <c r="E933" i="4"/>
  <c r="D933" i="4"/>
  <c r="C933" i="4"/>
  <c r="B933" i="4"/>
  <c r="A933" i="4"/>
  <c r="H932" i="4"/>
  <c r="G932" i="4"/>
  <c r="F932" i="4"/>
  <c r="E932" i="4"/>
  <c r="D932" i="4"/>
  <c r="C932" i="4"/>
  <c r="B932" i="4"/>
  <c r="A932" i="4"/>
  <c r="H931" i="4"/>
  <c r="G931" i="4"/>
  <c r="F931" i="4"/>
  <c r="E931" i="4"/>
  <c r="D931" i="4"/>
  <c r="C931" i="4"/>
  <c r="B931" i="4"/>
  <c r="A931" i="4"/>
  <c r="H930" i="4"/>
  <c r="G930" i="4"/>
  <c r="F930" i="4"/>
  <c r="E930" i="4"/>
  <c r="D930" i="4"/>
  <c r="C930" i="4"/>
  <c r="B930" i="4"/>
  <c r="A930" i="4"/>
  <c r="H929" i="4"/>
  <c r="G929" i="4"/>
  <c r="F929" i="4"/>
  <c r="E929" i="4"/>
  <c r="D929" i="4"/>
  <c r="C929" i="4"/>
  <c r="B929" i="4"/>
  <c r="A929" i="4"/>
  <c r="H928" i="4"/>
  <c r="G928" i="4"/>
  <c r="F928" i="4"/>
  <c r="E928" i="4"/>
  <c r="D928" i="4"/>
  <c r="C928" i="4"/>
  <c r="B928" i="4"/>
  <c r="A928" i="4"/>
  <c r="H927" i="4"/>
  <c r="G927" i="4"/>
  <c r="F927" i="4"/>
  <c r="E927" i="4"/>
  <c r="D927" i="4"/>
  <c r="C927" i="4"/>
  <c r="B927" i="4"/>
  <c r="A927" i="4"/>
  <c r="H926" i="4"/>
  <c r="G926" i="4"/>
  <c r="F926" i="4"/>
  <c r="E926" i="4"/>
  <c r="D926" i="4"/>
  <c r="C926" i="4"/>
  <c r="B926" i="4"/>
  <c r="A926" i="4"/>
  <c r="H925" i="4"/>
  <c r="G925" i="4"/>
  <c r="F925" i="4"/>
  <c r="E925" i="4"/>
  <c r="D925" i="4"/>
  <c r="C925" i="4"/>
  <c r="B925" i="4"/>
  <c r="A925" i="4"/>
  <c r="H924" i="4"/>
  <c r="G924" i="4"/>
  <c r="F924" i="4"/>
  <c r="E924" i="4"/>
  <c r="D924" i="4"/>
  <c r="C924" i="4"/>
  <c r="B924" i="4"/>
  <c r="A924" i="4"/>
  <c r="H923" i="4"/>
  <c r="G923" i="4"/>
  <c r="F923" i="4"/>
  <c r="E923" i="4"/>
  <c r="D923" i="4"/>
  <c r="C923" i="4"/>
  <c r="B923" i="4"/>
  <c r="A923" i="4"/>
  <c r="H922" i="4"/>
  <c r="G922" i="4"/>
  <c r="F922" i="4"/>
  <c r="E922" i="4"/>
  <c r="D922" i="4"/>
  <c r="C922" i="4"/>
  <c r="B922" i="4"/>
  <c r="A922" i="4"/>
  <c r="H921" i="4"/>
  <c r="G921" i="4"/>
  <c r="F921" i="4"/>
  <c r="E921" i="4"/>
  <c r="D921" i="4"/>
  <c r="C921" i="4"/>
  <c r="B921" i="4"/>
  <c r="A921" i="4"/>
  <c r="H920" i="4"/>
  <c r="G920" i="4"/>
  <c r="F920" i="4"/>
  <c r="E920" i="4"/>
  <c r="D920" i="4"/>
  <c r="C920" i="4"/>
  <c r="B920" i="4"/>
  <c r="A920" i="4"/>
  <c r="H919" i="4"/>
  <c r="G919" i="4"/>
  <c r="F919" i="4"/>
  <c r="E919" i="4"/>
  <c r="D919" i="4"/>
  <c r="C919" i="4"/>
  <c r="B919" i="4"/>
  <c r="A919" i="4"/>
  <c r="H918" i="4"/>
  <c r="G918" i="4"/>
  <c r="F918" i="4"/>
  <c r="E918" i="4"/>
  <c r="D918" i="4"/>
  <c r="C918" i="4"/>
  <c r="B918" i="4"/>
  <c r="A918" i="4"/>
  <c r="H917" i="4"/>
  <c r="G917" i="4"/>
  <c r="F917" i="4"/>
  <c r="E917" i="4"/>
  <c r="D917" i="4"/>
  <c r="C917" i="4"/>
  <c r="B917" i="4"/>
  <c r="A917" i="4"/>
  <c r="H916" i="4"/>
  <c r="G916" i="4"/>
  <c r="F916" i="4"/>
  <c r="E916" i="4"/>
  <c r="D916" i="4"/>
  <c r="C916" i="4"/>
  <c r="B916" i="4"/>
  <c r="A916" i="4"/>
  <c r="H915" i="4"/>
  <c r="G915" i="4"/>
  <c r="F915" i="4"/>
  <c r="E915" i="4"/>
  <c r="D915" i="4"/>
  <c r="C915" i="4"/>
  <c r="B915" i="4"/>
  <c r="A915" i="4"/>
  <c r="H914" i="4"/>
  <c r="G914" i="4"/>
  <c r="F914" i="4"/>
  <c r="E914" i="4"/>
  <c r="D914" i="4"/>
  <c r="C914" i="4"/>
  <c r="B914" i="4"/>
  <c r="A914" i="4"/>
  <c r="H913" i="4"/>
  <c r="G913" i="4"/>
  <c r="F913" i="4"/>
  <c r="E913" i="4"/>
  <c r="D913" i="4"/>
  <c r="C913" i="4"/>
  <c r="B913" i="4"/>
  <c r="A913" i="4"/>
  <c r="H912" i="4"/>
  <c r="G912" i="4"/>
  <c r="F912" i="4"/>
  <c r="E912" i="4"/>
  <c r="D912" i="4"/>
  <c r="C912" i="4"/>
  <c r="B912" i="4"/>
  <c r="A912" i="4"/>
  <c r="H911" i="4"/>
  <c r="G911" i="4"/>
  <c r="F911" i="4"/>
  <c r="E911" i="4"/>
  <c r="D911" i="4"/>
  <c r="C911" i="4"/>
  <c r="B911" i="4"/>
  <c r="A911" i="4"/>
  <c r="H910" i="4"/>
  <c r="G910" i="4"/>
  <c r="F910" i="4"/>
  <c r="E910" i="4"/>
  <c r="D910" i="4"/>
  <c r="C910" i="4"/>
  <c r="B910" i="4"/>
  <c r="A910" i="4"/>
  <c r="H909" i="4"/>
  <c r="G909" i="4"/>
  <c r="F909" i="4"/>
  <c r="E909" i="4"/>
  <c r="D909" i="4"/>
  <c r="C909" i="4"/>
  <c r="B909" i="4"/>
  <c r="A909" i="4"/>
  <c r="H908" i="4"/>
  <c r="G908" i="4"/>
  <c r="F908" i="4"/>
  <c r="E908" i="4"/>
  <c r="D908" i="4"/>
  <c r="C908" i="4"/>
  <c r="B908" i="4"/>
  <c r="A908" i="4"/>
  <c r="H907" i="4"/>
  <c r="G907" i="4"/>
  <c r="F907" i="4"/>
  <c r="E907" i="4"/>
  <c r="D907" i="4"/>
  <c r="C907" i="4"/>
  <c r="B907" i="4"/>
  <c r="A907" i="4"/>
  <c r="H906" i="4"/>
  <c r="G906" i="4"/>
  <c r="F906" i="4"/>
  <c r="E906" i="4"/>
  <c r="D906" i="4"/>
  <c r="C906" i="4"/>
  <c r="B906" i="4"/>
  <c r="A906" i="4"/>
  <c r="H905" i="4"/>
  <c r="G905" i="4"/>
  <c r="F905" i="4"/>
  <c r="E905" i="4"/>
  <c r="D905" i="4"/>
  <c r="C905" i="4"/>
  <c r="B905" i="4"/>
  <c r="A905" i="4"/>
  <c r="H904" i="4"/>
  <c r="G904" i="4"/>
  <c r="F904" i="4"/>
  <c r="E904" i="4"/>
  <c r="D904" i="4"/>
  <c r="C904" i="4"/>
  <c r="B904" i="4"/>
  <c r="A904" i="4"/>
  <c r="H903" i="4"/>
  <c r="G903" i="4"/>
  <c r="F903" i="4"/>
  <c r="E903" i="4"/>
  <c r="D903" i="4"/>
  <c r="C903" i="4"/>
  <c r="B903" i="4"/>
  <c r="A903" i="4"/>
  <c r="H902" i="4"/>
  <c r="G902" i="4"/>
  <c r="F902" i="4"/>
  <c r="E902" i="4"/>
  <c r="D902" i="4"/>
  <c r="C902" i="4"/>
  <c r="B902" i="4"/>
  <c r="A902" i="4"/>
  <c r="H901" i="4"/>
  <c r="G901" i="4"/>
  <c r="F901" i="4"/>
  <c r="E901" i="4"/>
  <c r="D901" i="4"/>
  <c r="C901" i="4"/>
  <c r="B901" i="4"/>
  <c r="A901" i="4"/>
  <c r="H900" i="4"/>
  <c r="G900" i="4"/>
  <c r="F900" i="4"/>
  <c r="E900" i="4"/>
  <c r="D900" i="4"/>
  <c r="C900" i="4"/>
  <c r="B900" i="4"/>
  <c r="A900" i="4"/>
  <c r="H899" i="4"/>
  <c r="G899" i="4"/>
  <c r="F899" i="4"/>
  <c r="E899" i="4"/>
  <c r="D899" i="4"/>
  <c r="C899" i="4"/>
  <c r="B899" i="4"/>
  <c r="A899" i="4"/>
  <c r="H898" i="4"/>
  <c r="G898" i="4"/>
  <c r="F898" i="4"/>
  <c r="E898" i="4"/>
  <c r="D898" i="4"/>
  <c r="C898" i="4"/>
  <c r="B898" i="4"/>
  <c r="A898" i="4"/>
  <c r="H897" i="4"/>
  <c r="G897" i="4"/>
  <c r="F897" i="4"/>
  <c r="E897" i="4"/>
  <c r="D897" i="4"/>
  <c r="C897" i="4"/>
  <c r="B897" i="4"/>
  <c r="A897" i="4"/>
  <c r="H896" i="4"/>
  <c r="G896" i="4"/>
  <c r="F896" i="4"/>
  <c r="E896" i="4"/>
  <c r="D896" i="4"/>
  <c r="C896" i="4"/>
  <c r="B896" i="4"/>
  <c r="A896" i="4"/>
  <c r="H895" i="4"/>
  <c r="G895" i="4"/>
  <c r="F895" i="4"/>
  <c r="E895" i="4"/>
  <c r="D895" i="4"/>
  <c r="C895" i="4"/>
  <c r="B895" i="4"/>
  <c r="A895" i="4"/>
  <c r="H894" i="4"/>
  <c r="G894" i="4"/>
  <c r="F894" i="4"/>
  <c r="E894" i="4"/>
  <c r="D894" i="4"/>
  <c r="C894" i="4"/>
  <c r="B894" i="4"/>
  <c r="A894" i="4"/>
  <c r="H893" i="4"/>
  <c r="G893" i="4"/>
  <c r="F893" i="4"/>
  <c r="E893" i="4"/>
  <c r="D893" i="4"/>
  <c r="C893" i="4"/>
  <c r="B893" i="4"/>
  <c r="A893" i="4"/>
  <c r="H892" i="4"/>
  <c r="G892" i="4"/>
  <c r="F892" i="4"/>
  <c r="E892" i="4"/>
  <c r="D892" i="4"/>
  <c r="C892" i="4"/>
  <c r="B892" i="4"/>
  <c r="A892" i="4"/>
  <c r="H891" i="4"/>
  <c r="G891" i="4"/>
  <c r="F891" i="4"/>
  <c r="E891" i="4"/>
  <c r="D891" i="4"/>
  <c r="C891" i="4"/>
  <c r="B891" i="4"/>
  <c r="A891" i="4"/>
  <c r="H890" i="4"/>
  <c r="G890" i="4"/>
  <c r="F890" i="4"/>
  <c r="E890" i="4"/>
  <c r="D890" i="4"/>
  <c r="C890" i="4"/>
  <c r="B890" i="4"/>
  <c r="A890" i="4"/>
  <c r="H889" i="4"/>
  <c r="G889" i="4"/>
  <c r="F889" i="4"/>
  <c r="E889" i="4"/>
  <c r="D889" i="4"/>
  <c r="C889" i="4"/>
  <c r="B889" i="4"/>
  <c r="A889" i="4"/>
  <c r="H888" i="4"/>
  <c r="G888" i="4"/>
  <c r="F888" i="4"/>
  <c r="E888" i="4"/>
  <c r="D888" i="4"/>
  <c r="C888" i="4"/>
  <c r="B888" i="4"/>
  <c r="A888" i="4"/>
  <c r="H887" i="4"/>
  <c r="G887" i="4"/>
  <c r="F887" i="4"/>
  <c r="E887" i="4"/>
  <c r="D887" i="4"/>
  <c r="C887" i="4"/>
  <c r="B887" i="4"/>
  <c r="A887" i="4"/>
  <c r="H886" i="4"/>
  <c r="G886" i="4"/>
  <c r="F886" i="4"/>
  <c r="E886" i="4"/>
  <c r="D886" i="4"/>
  <c r="C886" i="4"/>
  <c r="B886" i="4"/>
  <c r="A886" i="4"/>
  <c r="H885" i="4"/>
  <c r="G885" i="4"/>
  <c r="F885" i="4"/>
  <c r="E885" i="4"/>
  <c r="D885" i="4"/>
  <c r="C885" i="4"/>
  <c r="B885" i="4"/>
  <c r="A885" i="4"/>
  <c r="H884" i="4"/>
  <c r="G884" i="4"/>
  <c r="F884" i="4"/>
  <c r="E884" i="4"/>
  <c r="D884" i="4"/>
  <c r="C884" i="4"/>
  <c r="B884" i="4"/>
  <c r="A884" i="4"/>
  <c r="H883" i="4"/>
  <c r="G883" i="4"/>
  <c r="F883" i="4"/>
  <c r="E883" i="4"/>
  <c r="D883" i="4"/>
  <c r="C883" i="4"/>
  <c r="B883" i="4"/>
  <c r="A883" i="4"/>
  <c r="H882" i="4"/>
  <c r="G882" i="4"/>
  <c r="F882" i="4"/>
  <c r="E882" i="4"/>
  <c r="D882" i="4"/>
  <c r="C882" i="4"/>
  <c r="B882" i="4"/>
  <c r="A882" i="4"/>
  <c r="H881" i="4"/>
  <c r="G881" i="4"/>
  <c r="F881" i="4"/>
  <c r="E881" i="4"/>
  <c r="D881" i="4"/>
  <c r="C881" i="4"/>
  <c r="B881" i="4"/>
  <c r="A881" i="4"/>
  <c r="H880" i="4"/>
  <c r="G880" i="4"/>
  <c r="F880" i="4"/>
  <c r="E880" i="4"/>
  <c r="D880" i="4"/>
  <c r="C880" i="4"/>
  <c r="B880" i="4"/>
  <c r="A880" i="4"/>
  <c r="H879" i="4"/>
  <c r="G879" i="4"/>
  <c r="F879" i="4"/>
  <c r="E879" i="4"/>
  <c r="D879" i="4"/>
  <c r="C879" i="4"/>
  <c r="B879" i="4"/>
  <c r="A879" i="4"/>
  <c r="H878" i="4"/>
  <c r="G878" i="4"/>
  <c r="F878" i="4"/>
  <c r="E878" i="4"/>
  <c r="D878" i="4"/>
  <c r="C878" i="4"/>
  <c r="B878" i="4"/>
  <c r="A878" i="4"/>
  <c r="H877" i="4"/>
  <c r="G877" i="4"/>
  <c r="F877" i="4"/>
  <c r="E877" i="4"/>
  <c r="D877" i="4"/>
  <c r="C877" i="4"/>
  <c r="B877" i="4"/>
  <c r="A877" i="4"/>
  <c r="H876" i="4"/>
  <c r="G876" i="4"/>
  <c r="F876" i="4"/>
  <c r="E876" i="4"/>
  <c r="D876" i="4"/>
  <c r="C876" i="4"/>
  <c r="B876" i="4"/>
  <c r="A876" i="4"/>
  <c r="H875" i="4"/>
  <c r="G875" i="4"/>
  <c r="F875" i="4"/>
  <c r="E875" i="4"/>
  <c r="D875" i="4"/>
  <c r="C875" i="4"/>
  <c r="B875" i="4"/>
  <c r="A875" i="4"/>
  <c r="H874" i="4"/>
  <c r="G874" i="4"/>
  <c r="F874" i="4"/>
  <c r="E874" i="4"/>
  <c r="D874" i="4"/>
  <c r="C874" i="4"/>
  <c r="B874" i="4"/>
  <c r="A874" i="4"/>
  <c r="H873" i="4"/>
  <c r="G873" i="4"/>
  <c r="F873" i="4"/>
  <c r="E873" i="4"/>
  <c r="D873" i="4"/>
  <c r="C873" i="4"/>
  <c r="B873" i="4"/>
  <c r="A873" i="4"/>
  <c r="H872" i="4"/>
  <c r="G872" i="4"/>
  <c r="F872" i="4"/>
  <c r="E872" i="4"/>
  <c r="D872" i="4"/>
  <c r="C872" i="4"/>
  <c r="B872" i="4"/>
  <c r="A872" i="4"/>
  <c r="H871" i="4"/>
  <c r="G871" i="4"/>
  <c r="F871" i="4"/>
  <c r="E871" i="4"/>
  <c r="D871" i="4"/>
  <c r="C871" i="4"/>
  <c r="B871" i="4"/>
  <c r="A871" i="4"/>
  <c r="H870" i="4"/>
  <c r="G870" i="4"/>
  <c r="F870" i="4"/>
  <c r="E870" i="4"/>
  <c r="D870" i="4"/>
  <c r="C870" i="4"/>
  <c r="B870" i="4"/>
  <c r="A870" i="4"/>
  <c r="H869" i="4"/>
  <c r="G869" i="4"/>
  <c r="F869" i="4"/>
  <c r="E869" i="4"/>
  <c r="D869" i="4"/>
  <c r="C869" i="4"/>
  <c r="B869" i="4"/>
  <c r="A869" i="4"/>
  <c r="H868" i="4"/>
  <c r="G868" i="4"/>
  <c r="F868" i="4"/>
  <c r="E868" i="4"/>
  <c r="D868" i="4"/>
  <c r="C868" i="4"/>
  <c r="B868" i="4"/>
  <c r="A868" i="4"/>
  <c r="H867" i="4"/>
  <c r="G867" i="4"/>
  <c r="F867" i="4"/>
  <c r="E867" i="4"/>
  <c r="D867" i="4"/>
  <c r="C867" i="4"/>
  <c r="B867" i="4"/>
  <c r="A867" i="4"/>
  <c r="H866" i="4"/>
  <c r="G866" i="4"/>
  <c r="F866" i="4"/>
  <c r="E866" i="4"/>
  <c r="D866" i="4"/>
  <c r="C866" i="4"/>
  <c r="B866" i="4"/>
  <c r="A866" i="4"/>
  <c r="H865" i="4"/>
  <c r="G865" i="4"/>
  <c r="F865" i="4"/>
  <c r="E865" i="4"/>
  <c r="D865" i="4"/>
  <c r="C865" i="4"/>
  <c r="B865" i="4"/>
  <c r="A865" i="4"/>
  <c r="H864" i="4"/>
  <c r="G864" i="4"/>
  <c r="F864" i="4"/>
  <c r="E864" i="4"/>
  <c r="D864" i="4"/>
  <c r="C864" i="4"/>
  <c r="B864" i="4"/>
  <c r="A864" i="4"/>
  <c r="H863" i="4"/>
  <c r="G863" i="4"/>
  <c r="F863" i="4"/>
  <c r="E863" i="4"/>
  <c r="D863" i="4"/>
  <c r="C863" i="4"/>
  <c r="B863" i="4"/>
  <c r="A863" i="4"/>
  <c r="H862" i="4"/>
  <c r="G862" i="4"/>
  <c r="F862" i="4"/>
  <c r="E862" i="4"/>
  <c r="D862" i="4"/>
  <c r="C862" i="4"/>
  <c r="B862" i="4"/>
  <c r="A862" i="4"/>
  <c r="H861" i="4"/>
  <c r="G861" i="4"/>
  <c r="F861" i="4"/>
  <c r="E861" i="4"/>
  <c r="D861" i="4"/>
  <c r="C861" i="4"/>
  <c r="B861" i="4"/>
  <c r="A861" i="4"/>
  <c r="H860" i="4"/>
  <c r="G860" i="4"/>
  <c r="F860" i="4"/>
  <c r="E860" i="4"/>
  <c r="D860" i="4"/>
  <c r="C860" i="4"/>
  <c r="B860" i="4"/>
  <c r="A860" i="4"/>
  <c r="H859" i="4"/>
  <c r="G859" i="4"/>
  <c r="F859" i="4"/>
  <c r="E859" i="4"/>
  <c r="D859" i="4"/>
  <c r="C859" i="4"/>
  <c r="B859" i="4"/>
  <c r="A859" i="4"/>
  <c r="H858" i="4"/>
  <c r="G858" i="4"/>
  <c r="F858" i="4"/>
  <c r="E858" i="4"/>
  <c r="D858" i="4"/>
  <c r="C858" i="4"/>
  <c r="B858" i="4"/>
  <c r="A858" i="4"/>
  <c r="H857" i="4"/>
  <c r="G857" i="4"/>
  <c r="F857" i="4"/>
  <c r="E857" i="4"/>
  <c r="D857" i="4"/>
  <c r="C857" i="4"/>
  <c r="B857" i="4"/>
  <c r="A857" i="4"/>
  <c r="H856" i="4"/>
  <c r="G856" i="4"/>
  <c r="F856" i="4"/>
  <c r="E856" i="4"/>
  <c r="D856" i="4"/>
  <c r="C856" i="4"/>
  <c r="B856" i="4"/>
  <c r="A856" i="4"/>
  <c r="H855" i="4"/>
  <c r="G855" i="4"/>
  <c r="F855" i="4"/>
  <c r="E855" i="4"/>
  <c r="D855" i="4"/>
  <c r="C855" i="4"/>
  <c r="B855" i="4"/>
  <c r="A855" i="4"/>
  <c r="H854" i="4"/>
  <c r="G854" i="4"/>
  <c r="F854" i="4"/>
  <c r="E854" i="4"/>
  <c r="D854" i="4"/>
  <c r="C854" i="4"/>
  <c r="B854" i="4"/>
  <c r="A854" i="4"/>
  <c r="H853" i="4"/>
  <c r="G853" i="4"/>
  <c r="F853" i="4"/>
  <c r="E853" i="4"/>
  <c r="D853" i="4"/>
  <c r="C853" i="4"/>
  <c r="B853" i="4"/>
  <c r="A853" i="4"/>
  <c r="H852" i="4"/>
  <c r="G852" i="4"/>
  <c r="F852" i="4"/>
  <c r="E852" i="4"/>
  <c r="D852" i="4"/>
  <c r="C852" i="4"/>
  <c r="B852" i="4"/>
  <c r="A852" i="4"/>
  <c r="H851" i="4"/>
  <c r="G851" i="4"/>
  <c r="F851" i="4"/>
  <c r="E851" i="4"/>
  <c r="D851" i="4"/>
  <c r="C851" i="4"/>
  <c r="B851" i="4"/>
  <c r="A851" i="4"/>
  <c r="H850" i="4"/>
  <c r="G850" i="4"/>
  <c r="F850" i="4"/>
  <c r="E850" i="4"/>
  <c r="D850" i="4"/>
  <c r="C850" i="4"/>
  <c r="B850" i="4"/>
  <c r="A850" i="4"/>
  <c r="H849" i="4"/>
  <c r="G849" i="4"/>
  <c r="F849" i="4"/>
  <c r="E849" i="4"/>
  <c r="D849" i="4"/>
  <c r="C849" i="4"/>
  <c r="B849" i="4"/>
  <c r="A849" i="4"/>
  <c r="H848" i="4"/>
  <c r="G848" i="4"/>
  <c r="F848" i="4"/>
  <c r="E848" i="4"/>
  <c r="D848" i="4"/>
  <c r="C848" i="4"/>
  <c r="B848" i="4"/>
  <c r="A848" i="4"/>
  <c r="H847" i="4"/>
  <c r="G847" i="4"/>
  <c r="F847" i="4"/>
  <c r="E847" i="4"/>
  <c r="D847" i="4"/>
  <c r="C847" i="4"/>
  <c r="B847" i="4"/>
  <c r="A847" i="4"/>
  <c r="H846" i="4"/>
  <c r="G846" i="4"/>
  <c r="F846" i="4"/>
  <c r="E846" i="4"/>
  <c r="D846" i="4"/>
  <c r="C846" i="4"/>
  <c r="B846" i="4"/>
  <c r="A846" i="4"/>
  <c r="H845" i="4"/>
  <c r="G845" i="4"/>
  <c r="F845" i="4"/>
  <c r="E845" i="4"/>
  <c r="D845" i="4"/>
  <c r="C845" i="4"/>
  <c r="B845" i="4"/>
  <c r="A845" i="4"/>
  <c r="H844" i="4"/>
  <c r="G844" i="4"/>
  <c r="F844" i="4"/>
  <c r="E844" i="4"/>
  <c r="D844" i="4"/>
  <c r="C844" i="4"/>
  <c r="B844" i="4"/>
  <c r="A844" i="4"/>
  <c r="H843" i="4"/>
  <c r="G843" i="4"/>
  <c r="F843" i="4"/>
  <c r="E843" i="4"/>
  <c r="D843" i="4"/>
  <c r="C843" i="4"/>
  <c r="B843" i="4"/>
  <c r="A843" i="4"/>
  <c r="H842" i="4"/>
  <c r="G842" i="4"/>
  <c r="F842" i="4"/>
  <c r="E842" i="4"/>
  <c r="D842" i="4"/>
  <c r="C842" i="4"/>
  <c r="B842" i="4"/>
  <c r="A842" i="4"/>
  <c r="H841" i="4"/>
  <c r="G841" i="4"/>
  <c r="F841" i="4"/>
  <c r="E841" i="4"/>
  <c r="D841" i="4"/>
  <c r="C841" i="4"/>
  <c r="B841" i="4"/>
  <c r="A841" i="4"/>
  <c r="H840" i="4"/>
  <c r="G840" i="4"/>
  <c r="F840" i="4"/>
  <c r="E840" i="4"/>
  <c r="D840" i="4"/>
  <c r="C840" i="4"/>
  <c r="B840" i="4"/>
  <c r="A840" i="4"/>
  <c r="H839" i="4"/>
  <c r="G839" i="4"/>
  <c r="F839" i="4"/>
  <c r="E839" i="4"/>
  <c r="D839" i="4"/>
  <c r="C839" i="4"/>
  <c r="B839" i="4"/>
  <c r="A839" i="4"/>
  <c r="H838" i="4"/>
  <c r="G838" i="4"/>
  <c r="F838" i="4"/>
  <c r="E838" i="4"/>
  <c r="D838" i="4"/>
  <c r="C838" i="4"/>
  <c r="B838" i="4"/>
  <c r="A838" i="4"/>
  <c r="H837" i="4"/>
  <c r="G837" i="4"/>
  <c r="F837" i="4"/>
  <c r="E837" i="4"/>
  <c r="D837" i="4"/>
  <c r="C837" i="4"/>
  <c r="B837" i="4"/>
  <c r="A837" i="4"/>
  <c r="H836" i="4"/>
  <c r="G836" i="4"/>
  <c r="F836" i="4"/>
  <c r="E836" i="4"/>
  <c r="D836" i="4"/>
  <c r="C836" i="4"/>
  <c r="B836" i="4"/>
  <c r="A836" i="4"/>
  <c r="H835" i="4"/>
  <c r="G835" i="4"/>
  <c r="F835" i="4"/>
  <c r="E835" i="4"/>
  <c r="D835" i="4"/>
  <c r="C835" i="4"/>
  <c r="B835" i="4"/>
  <c r="A835" i="4"/>
  <c r="H834" i="4"/>
  <c r="G834" i="4"/>
  <c r="F834" i="4"/>
  <c r="E834" i="4"/>
  <c r="D834" i="4"/>
  <c r="C834" i="4"/>
  <c r="B834" i="4"/>
  <c r="A834" i="4"/>
  <c r="H833" i="4"/>
  <c r="G833" i="4"/>
  <c r="F833" i="4"/>
  <c r="E833" i="4"/>
  <c r="D833" i="4"/>
  <c r="C833" i="4"/>
  <c r="B833" i="4"/>
  <c r="A833" i="4"/>
  <c r="H832" i="4"/>
  <c r="G832" i="4"/>
  <c r="F832" i="4"/>
  <c r="E832" i="4"/>
  <c r="D832" i="4"/>
  <c r="C832" i="4"/>
  <c r="B832" i="4"/>
  <c r="A832" i="4"/>
  <c r="H831" i="4"/>
  <c r="G831" i="4"/>
  <c r="F831" i="4"/>
  <c r="E831" i="4"/>
  <c r="D831" i="4"/>
  <c r="C831" i="4"/>
  <c r="B831" i="4"/>
  <c r="A831" i="4"/>
  <c r="H830" i="4"/>
  <c r="G830" i="4"/>
  <c r="F830" i="4"/>
  <c r="E830" i="4"/>
  <c r="D830" i="4"/>
  <c r="C830" i="4"/>
  <c r="B830" i="4"/>
  <c r="A830" i="4"/>
  <c r="H829" i="4"/>
  <c r="G829" i="4"/>
  <c r="F829" i="4"/>
  <c r="E829" i="4"/>
  <c r="D829" i="4"/>
  <c r="C829" i="4"/>
  <c r="B829" i="4"/>
  <c r="A829" i="4"/>
  <c r="H828" i="4"/>
  <c r="G828" i="4"/>
  <c r="F828" i="4"/>
  <c r="E828" i="4"/>
  <c r="D828" i="4"/>
  <c r="C828" i="4"/>
  <c r="B828" i="4"/>
  <c r="A828" i="4"/>
  <c r="H827" i="4"/>
  <c r="G827" i="4"/>
  <c r="F827" i="4"/>
  <c r="E827" i="4"/>
  <c r="D827" i="4"/>
  <c r="C827" i="4"/>
  <c r="B827" i="4"/>
  <c r="A827" i="4"/>
  <c r="H826" i="4"/>
  <c r="G826" i="4"/>
  <c r="F826" i="4"/>
  <c r="E826" i="4"/>
  <c r="D826" i="4"/>
  <c r="C826" i="4"/>
  <c r="B826" i="4"/>
  <c r="A826" i="4"/>
  <c r="H825" i="4"/>
  <c r="G825" i="4"/>
  <c r="F825" i="4"/>
  <c r="E825" i="4"/>
  <c r="D825" i="4"/>
  <c r="C825" i="4"/>
  <c r="B825" i="4"/>
  <c r="A825" i="4"/>
  <c r="H824" i="4"/>
  <c r="G824" i="4"/>
  <c r="F824" i="4"/>
  <c r="E824" i="4"/>
  <c r="D824" i="4"/>
  <c r="C824" i="4"/>
  <c r="B824" i="4"/>
  <c r="A824" i="4"/>
  <c r="H823" i="4"/>
  <c r="G823" i="4"/>
  <c r="F823" i="4"/>
  <c r="E823" i="4"/>
  <c r="D823" i="4"/>
  <c r="C823" i="4"/>
  <c r="B823" i="4"/>
  <c r="A823" i="4"/>
  <c r="H822" i="4"/>
  <c r="G822" i="4"/>
  <c r="F822" i="4"/>
  <c r="E822" i="4"/>
  <c r="D822" i="4"/>
  <c r="C822" i="4"/>
  <c r="B822" i="4"/>
  <c r="A822" i="4"/>
  <c r="H821" i="4"/>
  <c r="G821" i="4"/>
  <c r="F821" i="4"/>
  <c r="E821" i="4"/>
  <c r="D821" i="4"/>
  <c r="C821" i="4"/>
  <c r="B821" i="4"/>
  <c r="A821" i="4"/>
  <c r="H820" i="4"/>
  <c r="G820" i="4"/>
  <c r="F820" i="4"/>
  <c r="E820" i="4"/>
  <c r="D820" i="4"/>
  <c r="C820" i="4"/>
  <c r="B820" i="4"/>
  <c r="A820" i="4"/>
  <c r="H819" i="4"/>
  <c r="G819" i="4"/>
  <c r="F819" i="4"/>
  <c r="E819" i="4"/>
  <c r="D819" i="4"/>
  <c r="C819" i="4"/>
  <c r="B819" i="4"/>
  <c r="A819" i="4"/>
  <c r="H818" i="4"/>
  <c r="G818" i="4"/>
  <c r="F818" i="4"/>
  <c r="E818" i="4"/>
  <c r="D818" i="4"/>
  <c r="C818" i="4"/>
  <c r="B818" i="4"/>
  <c r="A818" i="4"/>
  <c r="H817" i="4"/>
  <c r="G817" i="4"/>
  <c r="F817" i="4"/>
  <c r="E817" i="4"/>
  <c r="D817" i="4"/>
  <c r="C817" i="4"/>
  <c r="B817" i="4"/>
  <c r="A817" i="4"/>
  <c r="H816" i="4"/>
  <c r="G816" i="4"/>
  <c r="F816" i="4"/>
  <c r="E816" i="4"/>
  <c r="D816" i="4"/>
  <c r="C816" i="4"/>
  <c r="B816" i="4"/>
  <c r="A816" i="4"/>
  <c r="H815" i="4"/>
  <c r="G815" i="4"/>
  <c r="F815" i="4"/>
  <c r="E815" i="4"/>
  <c r="D815" i="4"/>
  <c r="C815" i="4"/>
  <c r="B815" i="4"/>
  <c r="A815" i="4"/>
  <c r="H814" i="4"/>
  <c r="G814" i="4"/>
  <c r="F814" i="4"/>
  <c r="E814" i="4"/>
  <c r="D814" i="4"/>
  <c r="C814" i="4"/>
  <c r="B814" i="4"/>
  <c r="A814" i="4"/>
  <c r="H813" i="4"/>
  <c r="G813" i="4"/>
  <c r="F813" i="4"/>
  <c r="E813" i="4"/>
  <c r="D813" i="4"/>
  <c r="C813" i="4"/>
  <c r="B813" i="4"/>
  <c r="A813" i="4"/>
  <c r="H812" i="4"/>
  <c r="G812" i="4"/>
  <c r="F812" i="4"/>
  <c r="E812" i="4"/>
  <c r="D812" i="4"/>
  <c r="C812" i="4"/>
  <c r="B812" i="4"/>
  <c r="A812" i="4"/>
  <c r="H811" i="4"/>
  <c r="G811" i="4"/>
  <c r="F811" i="4"/>
  <c r="E811" i="4"/>
  <c r="D811" i="4"/>
  <c r="C811" i="4"/>
  <c r="B811" i="4"/>
  <c r="A811" i="4"/>
  <c r="H810" i="4"/>
  <c r="G810" i="4"/>
  <c r="F810" i="4"/>
  <c r="E810" i="4"/>
  <c r="D810" i="4"/>
  <c r="C810" i="4"/>
  <c r="B810" i="4"/>
  <c r="A810" i="4"/>
  <c r="H809" i="4"/>
  <c r="G809" i="4"/>
  <c r="F809" i="4"/>
  <c r="E809" i="4"/>
  <c r="D809" i="4"/>
  <c r="C809" i="4"/>
  <c r="B809" i="4"/>
  <c r="A809" i="4"/>
  <c r="H808" i="4"/>
  <c r="G808" i="4"/>
  <c r="F808" i="4"/>
  <c r="E808" i="4"/>
  <c r="D808" i="4"/>
  <c r="C808" i="4"/>
  <c r="B808" i="4"/>
  <c r="A808" i="4"/>
  <c r="H807" i="4"/>
  <c r="G807" i="4"/>
  <c r="F807" i="4"/>
  <c r="E807" i="4"/>
  <c r="D807" i="4"/>
  <c r="C807" i="4"/>
  <c r="B807" i="4"/>
  <c r="A807" i="4"/>
  <c r="H806" i="4"/>
  <c r="G806" i="4"/>
  <c r="F806" i="4"/>
  <c r="E806" i="4"/>
  <c r="D806" i="4"/>
  <c r="C806" i="4"/>
  <c r="B806" i="4"/>
  <c r="A806" i="4"/>
  <c r="H805" i="4"/>
  <c r="G805" i="4"/>
  <c r="F805" i="4"/>
  <c r="E805" i="4"/>
  <c r="D805" i="4"/>
  <c r="C805" i="4"/>
  <c r="B805" i="4"/>
  <c r="A805" i="4"/>
  <c r="H804" i="4"/>
  <c r="G804" i="4"/>
  <c r="F804" i="4"/>
  <c r="E804" i="4"/>
  <c r="D804" i="4"/>
  <c r="C804" i="4"/>
  <c r="B804" i="4"/>
  <c r="A804" i="4"/>
  <c r="H803" i="4"/>
  <c r="G803" i="4"/>
  <c r="F803" i="4"/>
  <c r="E803" i="4"/>
  <c r="D803" i="4"/>
  <c r="C803" i="4"/>
  <c r="B803" i="4"/>
  <c r="A803" i="4"/>
  <c r="H802" i="4"/>
  <c r="G802" i="4"/>
  <c r="F802" i="4"/>
  <c r="E802" i="4"/>
  <c r="D802" i="4"/>
  <c r="C802" i="4"/>
  <c r="B802" i="4"/>
  <c r="A802" i="4"/>
  <c r="H801" i="4"/>
  <c r="G801" i="4"/>
  <c r="F801" i="4"/>
  <c r="E801" i="4"/>
  <c r="D801" i="4"/>
  <c r="C801" i="4"/>
  <c r="B801" i="4"/>
  <c r="A801" i="4"/>
  <c r="H800" i="4"/>
  <c r="G800" i="4"/>
  <c r="F800" i="4"/>
  <c r="E800" i="4"/>
  <c r="D800" i="4"/>
  <c r="C800" i="4"/>
  <c r="B800" i="4"/>
  <c r="A800" i="4"/>
  <c r="H799" i="4"/>
  <c r="G799" i="4"/>
  <c r="F799" i="4"/>
  <c r="E799" i="4"/>
  <c r="D799" i="4"/>
  <c r="C799" i="4"/>
  <c r="B799" i="4"/>
  <c r="A799" i="4"/>
  <c r="H798" i="4"/>
  <c r="G798" i="4"/>
  <c r="F798" i="4"/>
  <c r="E798" i="4"/>
  <c r="D798" i="4"/>
  <c r="C798" i="4"/>
  <c r="B798" i="4"/>
  <c r="A798" i="4"/>
  <c r="H797" i="4"/>
  <c r="G797" i="4"/>
  <c r="F797" i="4"/>
  <c r="E797" i="4"/>
  <c r="D797" i="4"/>
  <c r="C797" i="4"/>
  <c r="B797" i="4"/>
  <c r="A797" i="4"/>
  <c r="H796" i="4"/>
  <c r="G796" i="4"/>
  <c r="F796" i="4"/>
  <c r="E796" i="4"/>
  <c r="D796" i="4"/>
  <c r="C796" i="4"/>
  <c r="B796" i="4"/>
  <c r="A796" i="4"/>
  <c r="H795" i="4"/>
  <c r="G795" i="4"/>
  <c r="F795" i="4"/>
  <c r="E795" i="4"/>
  <c r="D795" i="4"/>
  <c r="C795" i="4"/>
  <c r="B795" i="4"/>
  <c r="A795" i="4"/>
  <c r="H794" i="4"/>
  <c r="G794" i="4"/>
  <c r="F794" i="4"/>
  <c r="E794" i="4"/>
  <c r="D794" i="4"/>
  <c r="C794" i="4"/>
  <c r="B794" i="4"/>
  <c r="A794" i="4"/>
  <c r="H793" i="4"/>
  <c r="G793" i="4"/>
  <c r="F793" i="4"/>
  <c r="E793" i="4"/>
  <c r="D793" i="4"/>
  <c r="C793" i="4"/>
  <c r="B793" i="4"/>
  <c r="A793" i="4"/>
  <c r="H792" i="4"/>
  <c r="G792" i="4"/>
  <c r="F792" i="4"/>
  <c r="E792" i="4"/>
  <c r="D792" i="4"/>
  <c r="C792" i="4"/>
  <c r="B792" i="4"/>
  <c r="A792" i="4"/>
  <c r="H791" i="4"/>
  <c r="G791" i="4"/>
  <c r="F791" i="4"/>
  <c r="E791" i="4"/>
  <c r="D791" i="4"/>
  <c r="C791" i="4"/>
  <c r="B791" i="4"/>
  <c r="A791" i="4"/>
  <c r="H790" i="4"/>
  <c r="G790" i="4"/>
  <c r="F790" i="4"/>
  <c r="E790" i="4"/>
  <c r="D790" i="4"/>
  <c r="C790" i="4"/>
  <c r="B790" i="4"/>
  <c r="A790" i="4"/>
  <c r="H789" i="4"/>
  <c r="G789" i="4"/>
  <c r="F789" i="4"/>
  <c r="E789" i="4"/>
  <c r="D789" i="4"/>
  <c r="C789" i="4"/>
  <c r="B789" i="4"/>
  <c r="A789" i="4"/>
  <c r="H788" i="4"/>
  <c r="G788" i="4"/>
  <c r="F788" i="4"/>
  <c r="E788" i="4"/>
  <c r="D788" i="4"/>
  <c r="C788" i="4"/>
  <c r="B788" i="4"/>
  <c r="A788" i="4"/>
  <c r="H787" i="4"/>
  <c r="G787" i="4"/>
  <c r="F787" i="4"/>
  <c r="E787" i="4"/>
  <c r="D787" i="4"/>
  <c r="C787" i="4"/>
  <c r="B787" i="4"/>
  <c r="A787" i="4"/>
  <c r="H786" i="4"/>
  <c r="G786" i="4"/>
  <c r="F786" i="4"/>
  <c r="E786" i="4"/>
  <c r="D786" i="4"/>
  <c r="C786" i="4"/>
  <c r="B786" i="4"/>
  <c r="A786" i="4"/>
  <c r="H785" i="4"/>
  <c r="G785" i="4"/>
  <c r="F785" i="4"/>
  <c r="E785" i="4"/>
  <c r="D785" i="4"/>
  <c r="C785" i="4"/>
  <c r="B785" i="4"/>
  <c r="A785" i="4"/>
  <c r="H784" i="4"/>
  <c r="G784" i="4"/>
  <c r="F784" i="4"/>
  <c r="E784" i="4"/>
  <c r="D784" i="4"/>
  <c r="C784" i="4"/>
  <c r="B784" i="4"/>
  <c r="A784" i="4"/>
  <c r="H783" i="4"/>
  <c r="G783" i="4"/>
  <c r="F783" i="4"/>
  <c r="E783" i="4"/>
  <c r="D783" i="4"/>
  <c r="C783" i="4"/>
  <c r="B783" i="4"/>
  <c r="A783" i="4"/>
  <c r="H782" i="4"/>
  <c r="G782" i="4"/>
  <c r="F782" i="4"/>
  <c r="E782" i="4"/>
  <c r="D782" i="4"/>
  <c r="C782" i="4"/>
  <c r="B782" i="4"/>
  <c r="A782" i="4"/>
  <c r="H781" i="4"/>
  <c r="G781" i="4"/>
  <c r="F781" i="4"/>
  <c r="E781" i="4"/>
  <c r="D781" i="4"/>
  <c r="C781" i="4"/>
  <c r="B781" i="4"/>
  <c r="A781" i="4"/>
  <c r="H780" i="4"/>
  <c r="G780" i="4"/>
  <c r="F780" i="4"/>
  <c r="E780" i="4"/>
  <c r="D780" i="4"/>
  <c r="C780" i="4"/>
  <c r="B780" i="4"/>
  <c r="A780" i="4"/>
  <c r="H779" i="4"/>
  <c r="G779" i="4"/>
  <c r="F779" i="4"/>
  <c r="E779" i="4"/>
  <c r="D779" i="4"/>
  <c r="C779" i="4"/>
  <c r="B779" i="4"/>
  <c r="A779" i="4"/>
  <c r="H778" i="4"/>
  <c r="G778" i="4"/>
  <c r="F778" i="4"/>
  <c r="E778" i="4"/>
  <c r="D778" i="4"/>
  <c r="C778" i="4"/>
  <c r="B778" i="4"/>
  <c r="A778" i="4"/>
  <c r="H777" i="4"/>
  <c r="G777" i="4"/>
  <c r="F777" i="4"/>
  <c r="E777" i="4"/>
  <c r="D777" i="4"/>
  <c r="C777" i="4"/>
  <c r="B777" i="4"/>
  <c r="A777" i="4"/>
  <c r="H776" i="4"/>
  <c r="G776" i="4"/>
  <c r="F776" i="4"/>
  <c r="E776" i="4"/>
  <c r="D776" i="4"/>
  <c r="C776" i="4"/>
  <c r="B776" i="4"/>
  <c r="A776" i="4"/>
  <c r="H775" i="4"/>
  <c r="G775" i="4"/>
  <c r="F775" i="4"/>
  <c r="E775" i="4"/>
  <c r="D775" i="4"/>
  <c r="C775" i="4"/>
  <c r="B775" i="4"/>
  <c r="A775" i="4"/>
  <c r="H774" i="4"/>
  <c r="G774" i="4"/>
  <c r="F774" i="4"/>
  <c r="E774" i="4"/>
  <c r="D774" i="4"/>
  <c r="C774" i="4"/>
  <c r="B774" i="4"/>
  <c r="A774" i="4"/>
  <c r="H773" i="4"/>
  <c r="G773" i="4"/>
  <c r="F773" i="4"/>
  <c r="E773" i="4"/>
  <c r="D773" i="4"/>
  <c r="C773" i="4"/>
  <c r="B773" i="4"/>
  <c r="A773" i="4"/>
  <c r="H772" i="4"/>
  <c r="G772" i="4"/>
  <c r="F772" i="4"/>
  <c r="E772" i="4"/>
  <c r="D772" i="4"/>
  <c r="C772" i="4"/>
  <c r="B772" i="4"/>
  <c r="A772" i="4"/>
  <c r="H771" i="4"/>
  <c r="G771" i="4"/>
  <c r="F771" i="4"/>
  <c r="E771" i="4"/>
  <c r="D771" i="4"/>
  <c r="C771" i="4"/>
  <c r="B771" i="4"/>
  <c r="A771" i="4"/>
  <c r="H770" i="4"/>
  <c r="G770" i="4"/>
  <c r="F770" i="4"/>
  <c r="E770" i="4"/>
  <c r="D770" i="4"/>
  <c r="C770" i="4"/>
  <c r="B770" i="4"/>
  <c r="A770" i="4"/>
  <c r="H769" i="4"/>
  <c r="G769" i="4"/>
  <c r="F769" i="4"/>
  <c r="E769" i="4"/>
  <c r="D769" i="4"/>
  <c r="C769" i="4"/>
  <c r="B769" i="4"/>
  <c r="A769" i="4"/>
  <c r="H768" i="4"/>
  <c r="G768" i="4"/>
  <c r="F768" i="4"/>
  <c r="E768" i="4"/>
  <c r="D768" i="4"/>
  <c r="C768" i="4"/>
  <c r="B768" i="4"/>
  <c r="A768" i="4"/>
  <c r="H767" i="4"/>
  <c r="G767" i="4"/>
  <c r="F767" i="4"/>
  <c r="E767" i="4"/>
  <c r="D767" i="4"/>
  <c r="C767" i="4"/>
  <c r="B767" i="4"/>
  <c r="A767" i="4"/>
  <c r="H766" i="4"/>
  <c r="G766" i="4"/>
  <c r="F766" i="4"/>
  <c r="E766" i="4"/>
  <c r="D766" i="4"/>
  <c r="C766" i="4"/>
  <c r="B766" i="4"/>
  <c r="A766" i="4"/>
  <c r="H765" i="4"/>
  <c r="G765" i="4"/>
  <c r="F765" i="4"/>
  <c r="E765" i="4"/>
  <c r="D765" i="4"/>
  <c r="C765" i="4"/>
  <c r="B765" i="4"/>
  <c r="A765" i="4"/>
  <c r="H764" i="4"/>
  <c r="G764" i="4"/>
  <c r="F764" i="4"/>
  <c r="E764" i="4"/>
  <c r="D764" i="4"/>
  <c r="C764" i="4"/>
  <c r="B764" i="4"/>
  <c r="A764" i="4"/>
  <c r="H763" i="4"/>
  <c r="G763" i="4"/>
  <c r="F763" i="4"/>
  <c r="E763" i="4"/>
  <c r="D763" i="4"/>
  <c r="C763" i="4"/>
  <c r="B763" i="4"/>
  <c r="A763" i="4"/>
  <c r="H762" i="4"/>
  <c r="G762" i="4"/>
  <c r="F762" i="4"/>
  <c r="E762" i="4"/>
  <c r="D762" i="4"/>
  <c r="C762" i="4"/>
  <c r="B762" i="4"/>
  <c r="A762" i="4"/>
  <c r="H761" i="4"/>
  <c r="G761" i="4"/>
  <c r="F761" i="4"/>
  <c r="E761" i="4"/>
  <c r="D761" i="4"/>
  <c r="C761" i="4"/>
  <c r="B761" i="4"/>
  <c r="A761" i="4"/>
  <c r="H760" i="4"/>
  <c r="G760" i="4"/>
  <c r="F760" i="4"/>
  <c r="E760" i="4"/>
  <c r="D760" i="4"/>
  <c r="C760" i="4"/>
  <c r="B760" i="4"/>
  <c r="A760" i="4"/>
  <c r="H759" i="4"/>
  <c r="G759" i="4"/>
  <c r="F759" i="4"/>
  <c r="E759" i="4"/>
  <c r="D759" i="4"/>
  <c r="C759" i="4"/>
  <c r="B759" i="4"/>
  <c r="A759" i="4"/>
  <c r="H758" i="4"/>
  <c r="G758" i="4"/>
  <c r="F758" i="4"/>
  <c r="E758" i="4"/>
  <c r="D758" i="4"/>
  <c r="C758" i="4"/>
  <c r="B758" i="4"/>
  <c r="A758" i="4"/>
  <c r="H757" i="4"/>
  <c r="G757" i="4"/>
  <c r="F757" i="4"/>
  <c r="E757" i="4"/>
  <c r="D757" i="4"/>
  <c r="C757" i="4"/>
  <c r="B757" i="4"/>
  <c r="A757" i="4"/>
  <c r="H756" i="4"/>
  <c r="G756" i="4"/>
  <c r="F756" i="4"/>
  <c r="E756" i="4"/>
  <c r="D756" i="4"/>
  <c r="C756" i="4"/>
  <c r="B756" i="4"/>
  <c r="A756" i="4"/>
  <c r="H755" i="4"/>
  <c r="G755" i="4"/>
  <c r="F755" i="4"/>
  <c r="E755" i="4"/>
  <c r="D755" i="4"/>
  <c r="C755" i="4"/>
  <c r="B755" i="4"/>
  <c r="A755" i="4"/>
  <c r="H754" i="4"/>
  <c r="G754" i="4"/>
  <c r="F754" i="4"/>
  <c r="E754" i="4"/>
  <c r="D754" i="4"/>
  <c r="C754" i="4"/>
  <c r="B754" i="4"/>
  <c r="A754" i="4"/>
  <c r="H753" i="4"/>
  <c r="G753" i="4"/>
  <c r="F753" i="4"/>
  <c r="E753" i="4"/>
  <c r="D753" i="4"/>
  <c r="C753" i="4"/>
  <c r="B753" i="4"/>
  <c r="A753" i="4"/>
  <c r="H752" i="4"/>
  <c r="G752" i="4"/>
  <c r="F752" i="4"/>
  <c r="E752" i="4"/>
  <c r="D752" i="4"/>
  <c r="C752" i="4"/>
  <c r="B752" i="4"/>
  <c r="A752" i="4"/>
  <c r="H751" i="4"/>
  <c r="G751" i="4"/>
  <c r="F751" i="4"/>
  <c r="E751" i="4"/>
  <c r="D751" i="4"/>
  <c r="C751" i="4"/>
  <c r="B751" i="4"/>
  <c r="A751" i="4"/>
  <c r="H750" i="4"/>
  <c r="G750" i="4"/>
  <c r="F750" i="4"/>
  <c r="E750" i="4"/>
  <c r="D750" i="4"/>
  <c r="C750" i="4"/>
  <c r="B750" i="4"/>
  <c r="A750" i="4"/>
  <c r="H749" i="4"/>
  <c r="G749" i="4"/>
  <c r="F749" i="4"/>
  <c r="E749" i="4"/>
  <c r="D749" i="4"/>
  <c r="C749" i="4"/>
  <c r="B749" i="4"/>
  <c r="A749" i="4"/>
  <c r="H748" i="4"/>
  <c r="G748" i="4"/>
  <c r="F748" i="4"/>
  <c r="E748" i="4"/>
  <c r="D748" i="4"/>
  <c r="C748" i="4"/>
  <c r="B748" i="4"/>
  <c r="A748" i="4"/>
  <c r="H747" i="4"/>
  <c r="G747" i="4"/>
  <c r="F747" i="4"/>
  <c r="E747" i="4"/>
  <c r="D747" i="4"/>
  <c r="C747" i="4"/>
  <c r="B747" i="4"/>
  <c r="A747" i="4"/>
  <c r="H746" i="4"/>
  <c r="G746" i="4"/>
  <c r="F746" i="4"/>
  <c r="E746" i="4"/>
  <c r="D746" i="4"/>
  <c r="C746" i="4"/>
  <c r="B746" i="4"/>
  <c r="A746" i="4"/>
  <c r="H745" i="4"/>
  <c r="G745" i="4"/>
  <c r="F745" i="4"/>
  <c r="E745" i="4"/>
  <c r="D745" i="4"/>
  <c r="C745" i="4"/>
  <c r="B745" i="4"/>
  <c r="A745" i="4"/>
  <c r="H744" i="4"/>
  <c r="G744" i="4"/>
  <c r="F744" i="4"/>
  <c r="E744" i="4"/>
  <c r="D744" i="4"/>
  <c r="C744" i="4"/>
  <c r="B744" i="4"/>
  <c r="A744" i="4"/>
  <c r="H743" i="4"/>
  <c r="G743" i="4"/>
  <c r="F743" i="4"/>
  <c r="E743" i="4"/>
  <c r="D743" i="4"/>
  <c r="C743" i="4"/>
  <c r="B743" i="4"/>
  <c r="A743" i="4"/>
  <c r="H742" i="4"/>
  <c r="G742" i="4"/>
  <c r="F742" i="4"/>
  <c r="E742" i="4"/>
  <c r="D742" i="4"/>
  <c r="C742" i="4"/>
  <c r="B742" i="4"/>
  <c r="A742" i="4"/>
  <c r="H741" i="4"/>
  <c r="G741" i="4"/>
  <c r="F741" i="4"/>
  <c r="E741" i="4"/>
  <c r="D741" i="4"/>
  <c r="C741" i="4"/>
  <c r="B741" i="4"/>
  <c r="A741" i="4"/>
  <c r="H740" i="4"/>
  <c r="G740" i="4"/>
  <c r="F740" i="4"/>
  <c r="E740" i="4"/>
  <c r="D740" i="4"/>
  <c r="C740" i="4"/>
  <c r="B740" i="4"/>
  <c r="A740" i="4"/>
  <c r="H739" i="4"/>
  <c r="G739" i="4"/>
  <c r="F739" i="4"/>
  <c r="E739" i="4"/>
  <c r="D739" i="4"/>
  <c r="C739" i="4"/>
  <c r="B739" i="4"/>
  <c r="A739" i="4"/>
  <c r="H738" i="4"/>
  <c r="G738" i="4"/>
  <c r="F738" i="4"/>
  <c r="E738" i="4"/>
  <c r="D738" i="4"/>
  <c r="C738" i="4"/>
  <c r="B738" i="4"/>
  <c r="A738" i="4"/>
  <c r="H737" i="4"/>
  <c r="G737" i="4"/>
  <c r="F737" i="4"/>
  <c r="E737" i="4"/>
  <c r="D737" i="4"/>
  <c r="C737" i="4"/>
  <c r="B737" i="4"/>
  <c r="A737" i="4"/>
  <c r="H736" i="4"/>
  <c r="G736" i="4"/>
  <c r="F736" i="4"/>
  <c r="E736" i="4"/>
  <c r="D736" i="4"/>
  <c r="C736" i="4"/>
  <c r="B736" i="4"/>
  <c r="A736" i="4"/>
  <c r="H735" i="4"/>
  <c r="G735" i="4"/>
  <c r="F735" i="4"/>
  <c r="E735" i="4"/>
  <c r="D735" i="4"/>
  <c r="C735" i="4"/>
  <c r="B735" i="4"/>
  <c r="A735" i="4"/>
  <c r="H734" i="4"/>
  <c r="G734" i="4"/>
  <c r="F734" i="4"/>
  <c r="E734" i="4"/>
  <c r="D734" i="4"/>
  <c r="C734" i="4"/>
  <c r="B734" i="4"/>
  <c r="A734" i="4"/>
  <c r="H733" i="4"/>
  <c r="G733" i="4"/>
  <c r="F733" i="4"/>
  <c r="E733" i="4"/>
  <c r="D733" i="4"/>
  <c r="C733" i="4"/>
  <c r="B733" i="4"/>
  <c r="A733" i="4"/>
  <c r="H732" i="4"/>
  <c r="G732" i="4"/>
  <c r="F732" i="4"/>
  <c r="E732" i="4"/>
  <c r="D732" i="4"/>
  <c r="C732" i="4"/>
  <c r="B732" i="4"/>
  <c r="A732" i="4"/>
  <c r="H731" i="4"/>
  <c r="G731" i="4"/>
  <c r="F731" i="4"/>
  <c r="E731" i="4"/>
  <c r="D731" i="4"/>
  <c r="C731" i="4"/>
  <c r="B731" i="4"/>
  <c r="A731" i="4"/>
  <c r="H730" i="4"/>
  <c r="G730" i="4"/>
  <c r="F730" i="4"/>
  <c r="E730" i="4"/>
  <c r="D730" i="4"/>
  <c r="C730" i="4"/>
  <c r="B730" i="4"/>
  <c r="A730" i="4"/>
  <c r="H729" i="4"/>
  <c r="G729" i="4"/>
  <c r="F729" i="4"/>
  <c r="E729" i="4"/>
  <c r="D729" i="4"/>
  <c r="C729" i="4"/>
  <c r="B729" i="4"/>
  <c r="A729" i="4"/>
  <c r="H728" i="4"/>
  <c r="G728" i="4"/>
  <c r="F728" i="4"/>
  <c r="E728" i="4"/>
  <c r="D728" i="4"/>
  <c r="C728" i="4"/>
  <c r="B728" i="4"/>
  <c r="A728" i="4"/>
  <c r="H727" i="4"/>
  <c r="G727" i="4"/>
  <c r="F727" i="4"/>
  <c r="E727" i="4"/>
  <c r="D727" i="4"/>
  <c r="C727" i="4"/>
  <c r="B727" i="4"/>
  <c r="A727" i="4"/>
  <c r="H726" i="4"/>
  <c r="G726" i="4"/>
  <c r="F726" i="4"/>
  <c r="E726" i="4"/>
  <c r="D726" i="4"/>
  <c r="C726" i="4"/>
  <c r="B726" i="4"/>
  <c r="A726" i="4"/>
  <c r="H725" i="4"/>
  <c r="G725" i="4"/>
  <c r="F725" i="4"/>
  <c r="E725" i="4"/>
  <c r="D725" i="4"/>
  <c r="C725" i="4"/>
  <c r="B725" i="4"/>
  <c r="A725" i="4"/>
  <c r="H724" i="4"/>
  <c r="G724" i="4"/>
  <c r="F724" i="4"/>
  <c r="E724" i="4"/>
  <c r="D724" i="4"/>
  <c r="C724" i="4"/>
  <c r="B724" i="4"/>
  <c r="A724" i="4"/>
  <c r="H723" i="4"/>
  <c r="G723" i="4"/>
  <c r="F723" i="4"/>
  <c r="E723" i="4"/>
  <c r="D723" i="4"/>
  <c r="C723" i="4"/>
  <c r="B723" i="4"/>
  <c r="A723" i="4"/>
  <c r="H722" i="4"/>
  <c r="G722" i="4"/>
  <c r="F722" i="4"/>
  <c r="E722" i="4"/>
  <c r="D722" i="4"/>
  <c r="C722" i="4"/>
  <c r="B722" i="4"/>
  <c r="A722" i="4"/>
  <c r="H721" i="4"/>
  <c r="G721" i="4"/>
  <c r="F721" i="4"/>
  <c r="E721" i="4"/>
  <c r="D721" i="4"/>
  <c r="C721" i="4"/>
  <c r="B721" i="4"/>
  <c r="A721" i="4"/>
  <c r="H720" i="4"/>
  <c r="G720" i="4"/>
  <c r="F720" i="4"/>
  <c r="E720" i="4"/>
  <c r="D720" i="4"/>
  <c r="C720" i="4"/>
  <c r="B720" i="4"/>
  <c r="A720" i="4"/>
  <c r="H719" i="4"/>
  <c r="G719" i="4"/>
  <c r="F719" i="4"/>
  <c r="E719" i="4"/>
  <c r="D719" i="4"/>
  <c r="C719" i="4"/>
  <c r="B719" i="4"/>
  <c r="A719" i="4"/>
  <c r="H718" i="4"/>
  <c r="G718" i="4"/>
  <c r="F718" i="4"/>
  <c r="E718" i="4"/>
  <c r="D718" i="4"/>
  <c r="C718" i="4"/>
  <c r="B718" i="4"/>
  <c r="A718" i="4"/>
  <c r="H717" i="4"/>
  <c r="G717" i="4"/>
  <c r="F717" i="4"/>
  <c r="E717" i="4"/>
  <c r="D717" i="4"/>
  <c r="C717" i="4"/>
  <c r="B717" i="4"/>
  <c r="A717" i="4"/>
  <c r="H716" i="4"/>
  <c r="G716" i="4"/>
  <c r="F716" i="4"/>
  <c r="E716" i="4"/>
  <c r="D716" i="4"/>
  <c r="C716" i="4"/>
  <c r="B716" i="4"/>
  <c r="A716" i="4"/>
  <c r="H715" i="4"/>
  <c r="G715" i="4"/>
  <c r="F715" i="4"/>
  <c r="E715" i="4"/>
  <c r="D715" i="4"/>
  <c r="C715" i="4"/>
  <c r="B715" i="4"/>
  <c r="A715" i="4"/>
  <c r="H714" i="4"/>
  <c r="G714" i="4"/>
  <c r="F714" i="4"/>
  <c r="E714" i="4"/>
  <c r="D714" i="4"/>
  <c r="C714" i="4"/>
  <c r="B714" i="4"/>
  <c r="A714" i="4"/>
  <c r="H713" i="4"/>
  <c r="G713" i="4"/>
  <c r="F713" i="4"/>
  <c r="E713" i="4"/>
  <c r="D713" i="4"/>
  <c r="C713" i="4"/>
  <c r="B713" i="4"/>
  <c r="A713" i="4"/>
  <c r="H712" i="4"/>
  <c r="G712" i="4"/>
  <c r="F712" i="4"/>
  <c r="E712" i="4"/>
  <c r="D712" i="4"/>
  <c r="C712" i="4"/>
  <c r="B712" i="4"/>
  <c r="A712" i="4"/>
  <c r="H711" i="4"/>
  <c r="G711" i="4"/>
  <c r="F711" i="4"/>
  <c r="E711" i="4"/>
  <c r="D711" i="4"/>
  <c r="C711" i="4"/>
  <c r="B711" i="4"/>
  <c r="A711" i="4"/>
  <c r="H710" i="4"/>
  <c r="G710" i="4"/>
  <c r="F710" i="4"/>
  <c r="E710" i="4"/>
  <c r="D710" i="4"/>
  <c r="C710" i="4"/>
  <c r="B710" i="4"/>
  <c r="A710" i="4"/>
  <c r="H709" i="4"/>
  <c r="G709" i="4"/>
  <c r="F709" i="4"/>
  <c r="E709" i="4"/>
  <c r="D709" i="4"/>
  <c r="C709" i="4"/>
  <c r="B709" i="4"/>
  <c r="A709" i="4"/>
  <c r="H708" i="4"/>
  <c r="G708" i="4"/>
  <c r="F708" i="4"/>
  <c r="E708" i="4"/>
  <c r="D708" i="4"/>
  <c r="C708" i="4"/>
  <c r="B708" i="4"/>
  <c r="A708" i="4"/>
  <c r="H707" i="4"/>
  <c r="G707" i="4"/>
  <c r="F707" i="4"/>
  <c r="E707" i="4"/>
  <c r="D707" i="4"/>
  <c r="C707" i="4"/>
  <c r="B707" i="4"/>
  <c r="A707" i="4"/>
  <c r="H706" i="4"/>
  <c r="G706" i="4"/>
  <c r="F706" i="4"/>
  <c r="E706" i="4"/>
  <c r="D706" i="4"/>
  <c r="C706" i="4"/>
  <c r="B706" i="4"/>
  <c r="A706" i="4"/>
  <c r="H705" i="4"/>
  <c r="G705" i="4"/>
  <c r="F705" i="4"/>
  <c r="E705" i="4"/>
  <c r="D705" i="4"/>
  <c r="C705" i="4"/>
  <c r="B705" i="4"/>
  <c r="A705" i="4"/>
  <c r="H704" i="4"/>
  <c r="G704" i="4"/>
  <c r="F704" i="4"/>
  <c r="E704" i="4"/>
  <c r="D704" i="4"/>
  <c r="C704" i="4"/>
  <c r="B704" i="4"/>
  <c r="A704" i="4"/>
  <c r="H703" i="4"/>
  <c r="G703" i="4"/>
  <c r="F703" i="4"/>
  <c r="E703" i="4"/>
  <c r="D703" i="4"/>
  <c r="C703" i="4"/>
  <c r="B703" i="4"/>
  <c r="A703" i="4"/>
  <c r="H702" i="4"/>
  <c r="G702" i="4"/>
  <c r="F702" i="4"/>
  <c r="E702" i="4"/>
  <c r="D702" i="4"/>
  <c r="C702" i="4"/>
  <c r="B702" i="4"/>
  <c r="A702" i="4"/>
  <c r="H701" i="4"/>
  <c r="G701" i="4"/>
  <c r="F701" i="4"/>
  <c r="E701" i="4"/>
  <c r="D701" i="4"/>
  <c r="C701" i="4"/>
  <c r="B701" i="4"/>
  <c r="A701" i="4"/>
  <c r="H700" i="4"/>
  <c r="G700" i="4"/>
  <c r="F700" i="4"/>
  <c r="E700" i="4"/>
  <c r="D700" i="4"/>
  <c r="C700" i="4"/>
  <c r="B700" i="4"/>
  <c r="A700" i="4"/>
  <c r="H699" i="4"/>
  <c r="G699" i="4"/>
  <c r="F699" i="4"/>
  <c r="E699" i="4"/>
  <c r="D699" i="4"/>
  <c r="C699" i="4"/>
  <c r="B699" i="4"/>
  <c r="A699" i="4"/>
  <c r="H698" i="4"/>
  <c r="G698" i="4"/>
  <c r="F698" i="4"/>
  <c r="E698" i="4"/>
  <c r="D698" i="4"/>
  <c r="C698" i="4"/>
  <c r="B698" i="4"/>
  <c r="A698" i="4"/>
  <c r="H697" i="4"/>
  <c r="G697" i="4"/>
  <c r="F697" i="4"/>
  <c r="E697" i="4"/>
  <c r="D697" i="4"/>
  <c r="C697" i="4"/>
  <c r="B697" i="4"/>
  <c r="A697" i="4"/>
  <c r="H696" i="4"/>
  <c r="G696" i="4"/>
  <c r="F696" i="4"/>
  <c r="E696" i="4"/>
  <c r="D696" i="4"/>
  <c r="C696" i="4"/>
  <c r="B696" i="4"/>
  <c r="A696" i="4"/>
  <c r="H695" i="4"/>
  <c r="G695" i="4"/>
  <c r="F695" i="4"/>
  <c r="E695" i="4"/>
  <c r="D695" i="4"/>
  <c r="C695" i="4"/>
  <c r="B695" i="4"/>
  <c r="A695" i="4"/>
  <c r="H694" i="4"/>
  <c r="G694" i="4"/>
  <c r="F694" i="4"/>
  <c r="E694" i="4"/>
  <c r="D694" i="4"/>
  <c r="C694" i="4"/>
  <c r="B694" i="4"/>
  <c r="A694" i="4"/>
  <c r="H693" i="4"/>
  <c r="G693" i="4"/>
  <c r="F693" i="4"/>
  <c r="E693" i="4"/>
  <c r="D693" i="4"/>
  <c r="C693" i="4"/>
  <c r="B693" i="4"/>
  <c r="A693" i="4"/>
  <c r="H692" i="4"/>
  <c r="G692" i="4"/>
  <c r="F692" i="4"/>
  <c r="E692" i="4"/>
  <c r="D692" i="4"/>
  <c r="C692" i="4"/>
  <c r="B692" i="4"/>
  <c r="A692" i="4"/>
  <c r="H691" i="4"/>
  <c r="G691" i="4"/>
  <c r="F691" i="4"/>
  <c r="E691" i="4"/>
  <c r="D691" i="4"/>
  <c r="C691" i="4"/>
  <c r="B691" i="4"/>
  <c r="A691" i="4"/>
  <c r="H690" i="4"/>
  <c r="G690" i="4"/>
  <c r="F690" i="4"/>
  <c r="E690" i="4"/>
  <c r="D690" i="4"/>
  <c r="C690" i="4"/>
  <c r="B690" i="4"/>
  <c r="A690" i="4"/>
  <c r="H689" i="4"/>
  <c r="G689" i="4"/>
  <c r="F689" i="4"/>
  <c r="E689" i="4"/>
  <c r="D689" i="4"/>
  <c r="C689" i="4"/>
  <c r="B689" i="4"/>
  <c r="A689" i="4"/>
  <c r="H688" i="4"/>
  <c r="G688" i="4"/>
  <c r="F688" i="4"/>
  <c r="E688" i="4"/>
  <c r="D688" i="4"/>
  <c r="C688" i="4"/>
  <c r="B688" i="4"/>
  <c r="A688" i="4"/>
  <c r="H687" i="4"/>
  <c r="G687" i="4"/>
  <c r="F687" i="4"/>
  <c r="E687" i="4"/>
  <c r="D687" i="4"/>
  <c r="C687" i="4"/>
  <c r="B687" i="4"/>
  <c r="A687" i="4"/>
  <c r="H686" i="4"/>
  <c r="G686" i="4"/>
  <c r="F686" i="4"/>
  <c r="E686" i="4"/>
  <c r="D686" i="4"/>
  <c r="C686" i="4"/>
  <c r="B686" i="4"/>
  <c r="A686" i="4"/>
  <c r="H685" i="4"/>
  <c r="G685" i="4"/>
  <c r="F685" i="4"/>
  <c r="E685" i="4"/>
  <c r="D685" i="4"/>
  <c r="C685" i="4"/>
  <c r="B685" i="4"/>
  <c r="A685" i="4"/>
  <c r="H684" i="4"/>
  <c r="G684" i="4"/>
  <c r="F684" i="4"/>
  <c r="E684" i="4"/>
  <c r="D684" i="4"/>
  <c r="C684" i="4"/>
  <c r="B684" i="4"/>
  <c r="A684" i="4"/>
  <c r="H683" i="4"/>
  <c r="G683" i="4"/>
  <c r="F683" i="4"/>
  <c r="E683" i="4"/>
  <c r="D683" i="4"/>
  <c r="C683" i="4"/>
  <c r="B683" i="4"/>
  <c r="A683" i="4"/>
  <c r="H682" i="4"/>
  <c r="G682" i="4"/>
  <c r="F682" i="4"/>
  <c r="E682" i="4"/>
  <c r="D682" i="4"/>
  <c r="C682" i="4"/>
  <c r="B682" i="4"/>
  <c r="A682" i="4"/>
  <c r="H681" i="4"/>
  <c r="G681" i="4"/>
  <c r="F681" i="4"/>
  <c r="E681" i="4"/>
  <c r="D681" i="4"/>
  <c r="C681" i="4"/>
  <c r="B681" i="4"/>
  <c r="A681" i="4"/>
  <c r="H680" i="4"/>
  <c r="G680" i="4"/>
  <c r="F680" i="4"/>
  <c r="E680" i="4"/>
  <c r="D680" i="4"/>
  <c r="C680" i="4"/>
  <c r="B680" i="4"/>
  <c r="A680" i="4"/>
  <c r="H679" i="4"/>
  <c r="G679" i="4"/>
  <c r="F679" i="4"/>
  <c r="E679" i="4"/>
  <c r="D679" i="4"/>
  <c r="C679" i="4"/>
  <c r="B679" i="4"/>
  <c r="A679" i="4"/>
  <c r="H678" i="4"/>
  <c r="G678" i="4"/>
  <c r="F678" i="4"/>
  <c r="E678" i="4"/>
  <c r="D678" i="4"/>
  <c r="C678" i="4"/>
  <c r="B678" i="4"/>
  <c r="A678" i="4"/>
  <c r="H677" i="4"/>
  <c r="G677" i="4"/>
  <c r="F677" i="4"/>
  <c r="E677" i="4"/>
  <c r="D677" i="4"/>
  <c r="C677" i="4"/>
  <c r="B677" i="4"/>
  <c r="A677" i="4"/>
  <c r="H676" i="4"/>
  <c r="G676" i="4"/>
  <c r="F676" i="4"/>
  <c r="E676" i="4"/>
  <c r="D676" i="4"/>
  <c r="C676" i="4"/>
  <c r="B676" i="4"/>
  <c r="A676" i="4"/>
  <c r="H675" i="4"/>
  <c r="G675" i="4"/>
  <c r="F675" i="4"/>
  <c r="E675" i="4"/>
  <c r="D675" i="4"/>
  <c r="C675" i="4"/>
  <c r="B675" i="4"/>
  <c r="A675" i="4"/>
  <c r="H674" i="4"/>
  <c r="G674" i="4"/>
  <c r="F674" i="4"/>
  <c r="E674" i="4"/>
  <c r="D674" i="4"/>
  <c r="C674" i="4"/>
  <c r="B674" i="4"/>
  <c r="A674" i="4"/>
  <c r="H673" i="4"/>
  <c r="G673" i="4"/>
  <c r="F673" i="4"/>
  <c r="E673" i="4"/>
  <c r="D673" i="4"/>
  <c r="C673" i="4"/>
  <c r="B673" i="4"/>
  <c r="A673" i="4"/>
  <c r="H672" i="4"/>
  <c r="G672" i="4"/>
  <c r="F672" i="4"/>
  <c r="E672" i="4"/>
  <c r="D672" i="4"/>
  <c r="C672" i="4"/>
  <c r="B672" i="4"/>
  <c r="A672" i="4"/>
  <c r="H671" i="4"/>
  <c r="G671" i="4"/>
  <c r="F671" i="4"/>
  <c r="E671" i="4"/>
  <c r="D671" i="4"/>
  <c r="C671" i="4"/>
  <c r="B671" i="4"/>
  <c r="A671" i="4"/>
  <c r="H670" i="4"/>
  <c r="G670" i="4"/>
  <c r="F670" i="4"/>
  <c r="E670" i="4"/>
  <c r="D670" i="4"/>
  <c r="C670" i="4"/>
  <c r="B670" i="4"/>
  <c r="A670" i="4"/>
  <c r="H669" i="4"/>
  <c r="G669" i="4"/>
  <c r="F669" i="4"/>
  <c r="E669" i="4"/>
  <c r="D669" i="4"/>
  <c r="C669" i="4"/>
  <c r="B669" i="4"/>
  <c r="A669" i="4"/>
  <c r="H668" i="4"/>
  <c r="G668" i="4"/>
  <c r="F668" i="4"/>
  <c r="E668" i="4"/>
  <c r="D668" i="4"/>
  <c r="C668" i="4"/>
  <c r="B668" i="4"/>
  <c r="A668" i="4"/>
  <c r="H667" i="4"/>
  <c r="G667" i="4"/>
  <c r="F667" i="4"/>
  <c r="E667" i="4"/>
  <c r="D667" i="4"/>
  <c r="C667" i="4"/>
  <c r="B667" i="4"/>
  <c r="A667" i="4"/>
  <c r="H666" i="4"/>
  <c r="G666" i="4"/>
  <c r="F666" i="4"/>
  <c r="E666" i="4"/>
  <c r="D666" i="4"/>
  <c r="C666" i="4"/>
  <c r="B666" i="4"/>
  <c r="A666" i="4"/>
  <c r="H665" i="4"/>
  <c r="G665" i="4"/>
  <c r="F665" i="4"/>
  <c r="E665" i="4"/>
  <c r="D665" i="4"/>
  <c r="C665" i="4"/>
  <c r="B665" i="4"/>
  <c r="A665" i="4"/>
  <c r="H664" i="4"/>
  <c r="G664" i="4"/>
  <c r="F664" i="4"/>
  <c r="E664" i="4"/>
  <c r="D664" i="4"/>
  <c r="C664" i="4"/>
  <c r="B664" i="4"/>
  <c r="A664" i="4"/>
  <c r="H663" i="4"/>
  <c r="G663" i="4"/>
  <c r="F663" i="4"/>
  <c r="E663" i="4"/>
  <c r="D663" i="4"/>
  <c r="C663" i="4"/>
  <c r="B663" i="4"/>
  <c r="A663" i="4"/>
  <c r="H662" i="4"/>
  <c r="G662" i="4"/>
  <c r="F662" i="4"/>
  <c r="E662" i="4"/>
  <c r="D662" i="4"/>
  <c r="C662" i="4"/>
  <c r="B662" i="4"/>
  <c r="A662" i="4"/>
  <c r="H661" i="4"/>
  <c r="G661" i="4"/>
  <c r="F661" i="4"/>
  <c r="E661" i="4"/>
  <c r="D661" i="4"/>
  <c r="C661" i="4"/>
  <c r="B661" i="4"/>
  <c r="A661" i="4"/>
  <c r="H660" i="4"/>
  <c r="G660" i="4"/>
  <c r="F660" i="4"/>
  <c r="E660" i="4"/>
  <c r="D660" i="4"/>
  <c r="C660" i="4"/>
  <c r="B660" i="4"/>
  <c r="A660" i="4"/>
  <c r="H659" i="4"/>
  <c r="G659" i="4"/>
  <c r="F659" i="4"/>
  <c r="E659" i="4"/>
  <c r="D659" i="4"/>
  <c r="C659" i="4"/>
  <c r="B659" i="4"/>
  <c r="A659" i="4"/>
  <c r="H658" i="4"/>
  <c r="G658" i="4"/>
  <c r="F658" i="4"/>
  <c r="E658" i="4"/>
  <c r="D658" i="4"/>
  <c r="C658" i="4"/>
  <c r="B658" i="4"/>
  <c r="A658" i="4"/>
  <c r="H657" i="4"/>
  <c r="G657" i="4"/>
  <c r="F657" i="4"/>
  <c r="E657" i="4"/>
  <c r="D657" i="4"/>
  <c r="C657" i="4"/>
  <c r="B657" i="4"/>
  <c r="A657" i="4"/>
  <c r="H656" i="4"/>
  <c r="G656" i="4"/>
  <c r="F656" i="4"/>
  <c r="E656" i="4"/>
  <c r="D656" i="4"/>
  <c r="C656" i="4"/>
  <c r="B656" i="4"/>
  <c r="A656" i="4"/>
  <c r="H655" i="4"/>
  <c r="G655" i="4"/>
  <c r="F655" i="4"/>
  <c r="E655" i="4"/>
  <c r="D655" i="4"/>
  <c r="C655" i="4"/>
  <c r="B655" i="4"/>
  <c r="A655" i="4"/>
  <c r="H654" i="4"/>
  <c r="G654" i="4"/>
  <c r="F654" i="4"/>
  <c r="E654" i="4"/>
  <c r="D654" i="4"/>
  <c r="C654" i="4"/>
  <c r="B654" i="4"/>
  <c r="A654" i="4"/>
  <c r="H653" i="4"/>
  <c r="G653" i="4"/>
  <c r="F653" i="4"/>
  <c r="E653" i="4"/>
  <c r="D653" i="4"/>
  <c r="C653" i="4"/>
  <c r="B653" i="4"/>
  <c r="A653" i="4"/>
  <c r="H652" i="4"/>
  <c r="G652" i="4"/>
  <c r="F652" i="4"/>
  <c r="E652" i="4"/>
  <c r="D652" i="4"/>
  <c r="C652" i="4"/>
  <c r="B652" i="4"/>
  <c r="A652" i="4"/>
  <c r="H651" i="4"/>
  <c r="G651" i="4"/>
  <c r="F651" i="4"/>
  <c r="E651" i="4"/>
  <c r="D651" i="4"/>
  <c r="C651" i="4"/>
  <c r="B651" i="4"/>
  <c r="A651" i="4"/>
  <c r="H650" i="4"/>
  <c r="G650" i="4"/>
  <c r="F650" i="4"/>
  <c r="E650" i="4"/>
  <c r="D650" i="4"/>
  <c r="C650" i="4"/>
  <c r="B650" i="4"/>
  <c r="A650" i="4"/>
  <c r="H649" i="4"/>
  <c r="G649" i="4"/>
  <c r="F649" i="4"/>
  <c r="E649" i="4"/>
  <c r="D649" i="4"/>
  <c r="C649" i="4"/>
  <c r="B649" i="4"/>
  <c r="A649" i="4"/>
  <c r="H648" i="4"/>
  <c r="G648" i="4"/>
  <c r="F648" i="4"/>
  <c r="E648" i="4"/>
  <c r="D648" i="4"/>
  <c r="C648" i="4"/>
  <c r="B648" i="4"/>
  <c r="A648" i="4"/>
  <c r="H647" i="4"/>
  <c r="G647" i="4"/>
  <c r="F647" i="4"/>
  <c r="E647" i="4"/>
  <c r="D647" i="4"/>
  <c r="C647" i="4"/>
  <c r="B647" i="4"/>
  <c r="A647" i="4"/>
  <c r="H646" i="4"/>
  <c r="G646" i="4"/>
  <c r="F646" i="4"/>
  <c r="E646" i="4"/>
  <c r="D646" i="4"/>
  <c r="C646" i="4"/>
  <c r="B646" i="4"/>
  <c r="A646" i="4"/>
  <c r="H645" i="4"/>
  <c r="G645" i="4"/>
  <c r="F645" i="4"/>
  <c r="E645" i="4"/>
  <c r="D645" i="4"/>
  <c r="C645" i="4"/>
  <c r="B645" i="4"/>
  <c r="A645" i="4"/>
  <c r="H644" i="4"/>
  <c r="G644" i="4"/>
  <c r="F644" i="4"/>
  <c r="E644" i="4"/>
  <c r="D644" i="4"/>
  <c r="C644" i="4"/>
  <c r="B644" i="4"/>
  <c r="A644" i="4"/>
  <c r="H643" i="4"/>
  <c r="G643" i="4"/>
  <c r="F643" i="4"/>
  <c r="E643" i="4"/>
  <c r="D643" i="4"/>
  <c r="C643" i="4"/>
  <c r="B643" i="4"/>
  <c r="A643" i="4"/>
  <c r="H642" i="4"/>
  <c r="G642" i="4"/>
  <c r="F642" i="4"/>
  <c r="E642" i="4"/>
  <c r="D642" i="4"/>
  <c r="C642" i="4"/>
  <c r="B642" i="4"/>
  <c r="A642" i="4"/>
  <c r="H641" i="4"/>
  <c r="G641" i="4"/>
  <c r="F641" i="4"/>
  <c r="E641" i="4"/>
  <c r="D641" i="4"/>
  <c r="C641" i="4"/>
  <c r="B641" i="4"/>
  <c r="A641" i="4"/>
  <c r="H640" i="4"/>
  <c r="G640" i="4"/>
  <c r="F640" i="4"/>
  <c r="E640" i="4"/>
  <c r="D640" i="4"/>
  <c r="C640" i="4"/>
  <c r="B640" i="4"/>
  <c r="A640" i="4"/>
  <c r="H639" i="4"/>
  <c r="G639" i="4"/>
  <c r="F639" i="4"/>
  <c r="E639" i="4"/>
  <c r="D639" i="4"/>
  <c r="C639" i="4"/>
  <c r="B639" i="4"/>
  <c r="A639" i="4"/>
  <c r="H638" i="4"/>
  <c r="G638" i="4"/>
  <c r="F638" i="4"/>
  <c r="E638" i="4"/>
  <c r="D638" i="4"/>
  <c r="C638" i="4"/>
  <c r="B638" i="4"/>
  <c r="A638" i="4"/>
  <c r="H637" i="4"/>
  <c r="G637" i="4"/>
  <c r="F637" i="4"/>
  <c r="E637" i="4"/>
  <c r="D637" i="4"/>
  <c r="C637" i="4"/>
  <c r="B637" i="4"/>
  <c r="A637" i="4"/>
  <c r="H636" i="4"/>
  <c r="G636" i="4"/>
  <c r="F636" i="4"/>
  <c r="E636" i="4"/>
  <c r="D636" i="4"/>
  <c r="C636" i="4"/>
  <c r="B636" i="4"/>
  <c r="A636" i="4"/>
  <c r="H635" i="4"/>
  <c r="G635" i="4"/>
  <c r="F635" i="4"/>
  <c r="E635" i="4"/>
  <c r="D635" i="4"/>
  <c r="C635" i="4"/>
  <c r="B635" i="4"/>
  <c r="A635" i="4"/>
  <c r="H634" i="4"/>
  <c r="G634" i="4"/>
  <c r="F634" i="4"/>
  <c r="E634" i="4"/>
  <c r="D634" i="4"/>
  <c r="C634" i="4"/>
  <c r="B634" i="4"/>
  <c r="A634" i="4"/>
  <c r="H633" i="4"/>
  <c r="G633" i="4"/>
  <c r="F633" i="4"/>
  <c r="E633" i="4"/>
  <c r="D633" i="4"/>
  <c r="C633" i="4"/>
  <c r="B633" i="4"/>
  <c r="A633" i="4"/>
  <c r="H632" i="4"/>
  <c r="G632" i="4"/>
  <c r="F632" i="4"/>
  <c r="E632" i="4"/>
  <c r="D632" i="4"/>
  <c r="C632" i="4"/>
  <c r="B632" i="4"/>
  <c r="A632" i="4"/>
  <c r="H631" i="4"/>
  <c r="G631" i="4"/>
  <c r="F631" i="4"/>
  <c r="E631" i="4"/>
  <c r="D631" i="4"/>
  <c r="C631" i="4"/>
  <c r="B631" i="4"/>
  <c r="A631" i="4"/>
  <c r="H630" i="4"/>
  <c r="G630" i="4"/>
  <c r="F630" i="4"/>
  <c r="E630" i="4"/>
  <c r="D630" i="4"/>
  <c r="C630" i="4"/>
  <c r="B630" i="4"/>
  <c r="A630" i="4"/>
  <c r="H629" i="4"/>
  <c r="G629" i="4"/>
  <c r="F629" i="4"/>
  <c r="E629" i="4"/>
  <c r="D629" i="4"/>
  <c r="C629" i="4"/>
  <c r="B629" i="4"/>
  <c r="A629" i="4"/>
  <c r="H628" i="4"/>
  <c r="G628" i="4"/>
  <c r="F628" i="4"/>
  <c r="E628" i="4"/>
  <c r="D628" i="4"/>
  <c r="C628" i="4"/>
  <c r="B628" i="4"/>
  <c r="A628" i="4"/>
  <c r="H627" i="4"/>
  <c r="G627" i="4"/>
  <c r="F627" i="4"/>
  <c r="E627" i="4"/>
  <c r="D627" i="4"/>
  <c r="C627" i="4"/>
  <c r="B627" i="4"/>
  <c r="A627" i="4"/>
  <c r="H626" i="4"/>
  <c r="G626" i="4"/>
  <c r="F626" i="4"/>
  <c r="E626" i="4"/>
  <c r="D626" i="4"/>
  <c r="C626" i="4"/>
  <c r="B626" i="4"/>
  <c r="A626" i="4"/>
  <c r="H625" i="4"/>
  <c r="G625" i="4"/>
  <c r="F625" i="4"/>
  <c r="E625" i="4"/>
  <c r="D625" i="4"/>
  <c r="C625" i="4"/>
  <c r="B625" i="4"/>
  <c r="A625" i="4"/>
  <c r="H624" i="4"/>
  <c r="G624" i="4"/>
  <c r="F624" i="4"/>
  <c r="E624" i="4"/>
  <c r="D624" i="4"/>
  <c r="C624" i="4"/>
  <c r="B624" i="4"/>
  <c r="A624" i="4"/>
  <c r="H623" i="4"/>
  <c r="G623" i="4"/>
  <c r="F623" i="4"/>
  <c r="E623" i="4"/>
  <c r="D623" i="4"/>
  <c r="C623" i="4"/>
  <c r="B623" i="4"/>
  <c r="A623" i="4"/>
  <c r="H622" i="4"/>
  <c r="G622" i="4"/>
  <c r="F622" i="4"/>
  <c r="E622" i="4"/>
  <c r="D622" i="4"/>
  <c r="C622" i="4"/>
  <c r="B622" i="4"/>
  <c r="A622" i="4"/>
  <c r="H621" i="4"/>
  <c r="G621" i="4"/>
  <c r="F621" i="4"/>
  <c r="E621" i="4"/>
  <c r="D621" i="4"/>
  <c r="C621" i="4"/>
  <c r="B621" i="4"/>
  <c r="A621" i="4"/>
  <c r="H620" i="4"/>
  <c r="G620" i="4"/>
  <c r="F620" i="4"/>
  <c r="E620" i="4"/>
  <c r="D620" i="4"/>
  <c r="C620" i="4"/>
  <c r="B620" i="4"/>
  <c r="A620" i="4"/>
  <c r="H619" i="4"/>
  <c r="G619" i="4"/>
  <c r="F619" i="4"/>
  <c r="E619" i="4"/>
  <c r="D619" i="4"/>
  <c r="C619" i="4"/>
  <c r="B619" i="4"/>
  <c r="A619" i="4"/>
  <c r="H618" i="4"/>
  <c r="G618" i="4"/>
  <c r="F618" i="4"/>
  <c r="E618" i="4"/>
  <c r="D618" i="4"/>
  <c r="C618" i="4"/>
  <c r="B618" i="4"/>
  <c r="A618" i="4"/>
  <c r="H617" i="4"/>
  <c r="G617" i="4"/>
  <c r="F617" i="4"/>
  <c r="E617" i="4"/>
  <c r="D617" i="4"/>
  <c r="C617" i="4"/>
  <c r="B617" i="4"/>
  <c r="A617" i="4"/>
  <c r="H616" i="4"/>
  <c r="G616" i="4"/>
  <c r="F616" i="4"/>
  <c r="E616" i="4"/>
  <c r="D616" i="4"/>
  <c r="C616" i="4"/>
  <c r="B616" i="4"/>
  <c r="A616" i="4"/>
  <c r="H615" i="4"/>
  <c r="G615" i="4"/>
  <c r="F615" i="4"/>
  <c r="E615" i="4"/>
  <c r="D615" i="4"/>
  <c r="C615" i="4"/>
  <c r="B615" i="4"/>
  <c r="A615" i="4"/>
  <c r="H614" i="4"/>
  <c r="G614" i="4"/>
  <c r="F614" i="4"/>
  <c r="E614" i="4"/>
  <c r="D614" i="4"/>
  <c r="C614" i="4"/>
  <c r="B614" i="4"/>
  <c r="A614" i="4"/>
  <c r="H613" i="4"/>
  <c r="G613" i="4"/>
  <c r="F613" i="4"/>
  <c r="E613" i="4"/>
  <c r="D613" i="4"/>
  <c r="C613" i="4"/>
  <c r="B613" i="4"/>
  <c r="A613" i="4"/>
  <c r="H612" i="4"/>
  <c r="G612" i="4"/>
  <c r="F612" i="4"/>
  <c r="E612" i="4"/>
  <c r="D612" i="4"/>
  <c r="C612" i="4"/>
  <c r="B612" i="4"/>
  <c r="A612" i="4"/>
  <c r="H611" i="4"/>
  <c r="G611" i="4"/>
  <c r="F611" i="4"/>
  <c r="E611" i="4"/>
  <c r="D611" i="4"/>
  <c r="C611" i="4"/>
  <c r="B611" i="4"/>
  <c r="A611" i="4"/>
  <c r="H610" i="4"/>
  <c r="G610" i="4"/>
  <c r="F610" i="4"/>
  <c r="E610" i="4"/>
  <c r="D610" i="4"/>
  <c r="C610" i="4"/>
  <c r="B610" i="4"/>
  <c r="A610" i="4"/>
  <c r="H609" i="4"/>
  <c r="G609" i="4"/>
  <c r="F609" i="4"/>
  <c r="E609" i="4"/>
  <c r="D609" i="4"/>
  <c r="C609" i="4"/>
  <c r="B609" i="4"/>
  <c r="A609" i="4"/>
  <c r="H608" i="4"/>
  <c r="G608" i="4"/>
  <c r="F608" i="4"/>
  <c r="E608" i="4"/>
  <c r="D608" i="4"/>
  <c r="C608" i="4"/>
  <c r="B608" i="4"/>
  <c r="A608" i="4"/>
  <c r="H607" i="4"/>
  <c r="G607" i="4"/>
  <c r="F607" i="4"/>
  <c r="E607" i="4"/>
  <c r="D607" i="4"/>
  <c r="C607" i="4"/>
  <c r="B607" i="4"/>
  <c r="A607" i="4"/>
  <c r="H606" i="4"/>
  <c r="G606" i="4"/>
  <c r="F606" i="4"/>
  <c r="E606" i="4"/>
  <c r="D606" i="4"/>
  <c r="C606" i="4"/>
  <c r="B606" i="4"/>
  <c r="A606" i="4"/>
  <c r="H605" i="4"/>
  <c r="G605" i="4"/>
  <c r="F605" i="4"/>
  <c r="E605" i="4"/>
  <c r="D605" i="4"/>
  <c r="C605" i="4"/>
  <c r="B605" i="4"/>
  <c r="A605" i="4"/>
  <c r="H604" i="4"/>
  <c r="G604" i="4"/>
  <c r="F604" i="4"/>
  <c r="E604" i="4"/>
  <c r="D604" i="4"/>
  <c r="C604" i="4"/>
  <c r="B604" i="4"/>
  <c r="A604" i="4"/>
  <c r="H603" i="4"/>
  <c r="G603" i="4"/>
  <c r="F603" i="4"/>
  <c r="E603" i="4"/>
  <c r="D603" i="4"/>
  <c r="C603" i="4"/>
  <c r="B603" i="4"/>
  <c r="A603" i="4"/>
  <c r="H602" i="4"/>
  <c r="G602" i="4"/>
  <c r="F602" i="4"/>
  <c r="E602" i="4"/>
  <c r="D602" i="4"/>
  <c r="C602" i="4"/>
  <c r="B602" i="4"/>
  <c r="A602" i="4"/>
  <c r="H601" i="4"/>
  <c r="G601" i="4"/>
  <c r="F601" i="4"/>
  <c r="E601" i="4"/>
  <c r="D601" i="4"/>
  <c r="C601" i="4"/>
  <c r="B601" i="4"/>
  <c r="A601" i="4"/>
  <c r="H600" i="4"/>
  <c r="G600" i="4"/>
  <c r="F600" i="4"/>
  <c r="E600" i="4"/>
  <c r="D600" i="4"/>
  <c r="C600" i="4"/>
  <c r="B600" i="4"/>
  <c r="A600" i="4"/>
  <c r="H599" i="4"/>
  <c r="G599" i="4"/>
  <c r="F599" i="4"/>
  <c r="E599" i="4"/>
  <c r="D599" i="4"/>
  <c r="C599" i="4"/>
  <c r="B599" i="4"/>
  <c r="A599" i="4"/>
  <c r="H598" i="4"/>
  <c r="G598" i="4"/>
  <c r="F598" i="4"/>
  <c r="E598" i="4"/>
  <c r="D598" i="4"/>
  <c r="C598" i="4"/>
  <c r="B598" i="4"/>
  <c r="A598" i="4"/>
  <c r="H597" i="4"/>
  <c r="G597" i="4"/>
  <c r="F597" i="4"/>
  <c r="E597" i="4"/>
  <c r="D597" i="4"/>
  <c r="C597" i="4"/>
  <c r="B597" i="4"/>
  <c r="A597" i="4"/>
  <c r="H596" i="4"/>
  <c r="G596" i="4"/>
  <c r="F596" i="4"/>
  <c r="E596" i="4"/>
  <c r="D596" i="4"/>
  <c r="C596" i="4"/>
  <c r="B596" i="4"/>
  <c r="A596" i="4"/>
  <c r="H595" i="4"/>
  <c r="G595" i="4"/>
  <c r="F595" i="4"/>
  <c r="E595" i="4"/>
  <c r="D595" i="4"/>
  <c r="C595" i="4"/>
  <c r="B595" i="4"/>
  <c r="A595" i="4"/>
  <c r="H594" i="4"/>
  <c r="G594" i="4"/>
  <c r="F594" i="4"/>
  <c r="E594" i="4"/>
  <c r="D594" i="4"/>
  <c r="C594" i="4"/>
  <c r="B594" i="4"/>
  <c r="A594" i="4"/>
  <c r="H593" i="4"/>
  <c r="G593" i="4"/>
  <c r="F593" i="4"/>
  <c r="E593" i="4"/>
  <c r="D593" i="4"/>
  <c r="C593" i="4"/>
  <c r="B593" i="4"/>
  <c r="A593" i="4"/>
  <c r="H592" i="4"/>
  <c r="G592" i="4"/>
  <c r="F592" i="4"/>
  <c r="E592" i="4"/>
  <c r="D592" i="4"/>
  <c r="C592" i="4"/>
  <c r="B592" i="4"/>
  <c r="A592" i="4"/>
  <c r="H591" i="4"/>
  <c r="G591" i="4"/>
  <c r="F591" i="4"/>
  <c r="E591" i="4"/>
  <c r="D591" i="4"/>
  <c r="C591" i="4"/>
  <c r="B591" i="4"/>
  <c r="A591" i="4"/>
  <c r="H590" i="4"/>
  <c r="G590" i="4"/>
  <c r="F590" i="4"/>
  <c r="E590" i="4"/>
  <c r="D590" i="4"/>
  <c r="C590" i="4"/>
  <c r="B590" i="4"/>
  <c r="A590" i="4"/>
  <c r="H589" i="4"/>
  <c r="G589" i="4"/>
  <c r="F589" i="4"/>
  <c r="E589" i="4"/>
  <c r="D589" i="4"/>
  <c r="C589" i="4"/>
  <c r="B589" i="4"/>
  <c r="A589" i="4"/>
  <c r="H588" i="4"/>
  <c r="G588" i="4"/>
  <c r="F588" i="4"/>
  <c r="E588" i="4"/>
  <c r="D588" i="4"/>
  <c r="C588" i="4"/>
  <c r="B588" i="4"/>
  <c r="A588" i="4"/>
  <c r="H587" i="4"/>
  <c r="G587" i="4"/>
  <c r="F587" i="4"/>
  <c r="E587" i="4"/>
  <c r="D587" i="4"/>
  <c r="C587" i="4"/>
  <c r="B587" i="4"/>
  <c r="A587" i="4"/>
  <c r="H586" i="4"/>
  <c r="G586" i="4"/>
  <c r="F586" i="4"/>
  <c r="E586" i="4"/>
  <c r="D586" i="4"/>
  <c r="C586" i="4"/>
  <c r="B586" i="4"/>
  <c r="A586" i="4"/>
  <c r="H585" i="4"/>
  <c r="G585" i="4"/>
  <c r="F585" i="4"/>
  <c r="E585" i="4"/>
  <c r="D585" i="4"/>
  <c r="C585" i="4"/>
  <c r="B585" i="4"/>
  <c r="A585" i="4"/>
  <c r="H584" i="4"/>
  <c r="G584" i="4"/>
  <c r="F584" i="4"/>
  <c r="E584" i="4"/>
  <c r="D584" i="4"/>
  <c r="C584" i="4"/>
  <c r="B584" i="4"/>
  <c r="A584" i="4"/>
  <c r="H583" i="4"/>
  <c r="G583" i="4"/>
  <c r="F583" i="4"/>
  <c r="E583" i="4"/>
  <c r="D583" i="4"/>
  <c r="C583" i="4"/>
  <c r="B583" i="4"/>
  <c r="A583" i="4"/>
  <c r="H582" i="4"/>
  <c r="G582" i="4"/>
  <c r="F582" i="4"/>
  <c r="E582" i="4"/>
  <c r="D582" i="4"/>
  <c r="C582" i="4"/>
  <c r="B582" i="4"/>
  <c r="A582" i="4"/>
  <c r="H581" i="4"/>
  <c r="G581" i="4"/>
  <c r="F581" i="4"/>
  <c r="E581" i="4"/>
  <c r="D581" i="4"/>
  <c r="C581" i="4"/>
  <c r="B581" i="4"/>
  <c r="A581" i="4"/>
  <c r="H580" i="4"/>
  <c r="G580" i="4"/>
  <c r="F580" i="4"/>
  <c r="E580" i="4"/>
  <c r="D580" i="4"/>
  <c r="C580" i="4"/>
  <c r="B580" i="4"/>
  <c r="A580" i="4"/>
  <c r="H579" i="4"/>
  <c r="G579" i="4"/>
  <c r="F579" i="4"/>
  <c r="E579" i="4"/>
  <c r="D579" i="4"/>
  <c r="C579" i="4"/>
  <c r="B579" i="4"/>
  <c r="A579" i="4"/>
  <c r="H578" i="4"/>
  <c r="G578" i="4"/>
  <c r="F578" i="4"/>
  <c r="E578" i="4"/>
  <c r="D578" i="4"/>
  <c r="C578" i="4"/>
  <c r="B578" i="4"/>
  <c r="A578" i="4"/>
  <c r="H577" i="4"/>
  <c r="G577" i="4"/>
  <c r="F577" i="4"/>
  <c r="E577" i="4"/>
  <c r="D577" i="4"/>
  <c r="C577" i="4"/>
  <c r="B577" i="4"/>
  <c r="A577" i="4"/>
  <c r="H576" i="4"/>
  <c r="G576" i="4"/>
  <c r="F576" i="4"/>
  <c r="E576" i="4"/>
  <c r="D576" i="4"/>
  <c r="C576" i="4"/>
  <c r="B576" i="4"/>
  <c r="A576" i="4"/>
  <c r="H575" i="4"/>
  <c r="G575" i="4"/>
  <c r="F575" i="4"/>
  <c r="E575" i="4"/>
  <c r="D575" i="4"/>
  <c r="C575" i="4"/>
  <c r="B575" i="4"/>
  <c r="A575" i="4"/>
  <c r="H574" i="4"/>
  <c r="G574" i="4"/>
  <c r="F574" i="4"/>
  <c r="E574" i="4"/>
  <c r="D574" i="4"/>
  <c r="C574" i="4"/>
  <c r="B574" i="4"/>
  <c r="A574" i="4"/>
  <c r="H573" i="4"/>
  <c r="G573" i="4"/>
  <c r="F573" i="4"/>
  <c r="E573" i="4"/>
  <c r="D573" i="4"/>
  <c r="C573" i="4"/>
  <c r="B573" i="4"/>
  <c r="A573" i="4"/>
  <c r="H572" i="4"/>
  <c r="G572" i="4"/>
  <c r="F572" i="4"/>
  <c r="E572" i="4"/>
  <c r="D572" i="4"/>
  <c r="C572" i="4"/>
  <c r="B572" i="4"/>
  <c r="A572" i="4"/>
  <c r="H571" i="4"/>
  <c r="G571" i="4"/>
  <c r="F571" i="4"/>
  <c r="E571" i="4"/>
  <c r="D571" i="4"/>
  <c r="C571" i="4"/>
  <c r="B571" i="4"/>
  <c r="A571" i="4"/>
  <c r="H570" i="4"/>
  <c r="G570" i="4"/>
  <c r="F570" i="4"/>
  <c r="E570" i="4"/>
  <c r="D570" i="4"/>
  <c r="C570" i="4"/>
  <c r="B570" i="4"/>
  <c r="A570" i="4"/>
  <c r="H569" i="4"/>
  <c r="G569" i="4"/>
  <c r="F569" i="4"/>
  <c r="E569" i="4"/>
  <c r="D569" i="4"/>
  <c r="C569" i="4"/>
  <c r="B569" i="4"/>
  <c r="A569" i="4"/>
  <c r="H568" i="4"/>
  <c r="G568" i="4"/>
  <c r="F568" i="4"/>
  <c r="E568" i="4"/>
  <c r="D568" i="4"/>
  <c r="C568" i="4"/>
  <c r="B568" i="4"/>
  <c r="A568" i="4"/>
  <c r="H567" i="4"/>
  <c r="G567" i="4"/>
  <c r="F567" i="4"/>
  <c r="E567" i="4"/>
  <c r="D567" i="4"/>
  <c r="C567" i="4"/>
  <c r="B567" i="4"/>
  <c r="A567" i="4"/>
  <c r="H566" i="4"/>
  <c r="G566" i="4"/>
  <c r="F566" i="4"/>
  <c r="E566" i="4"/>
  <c r="D566" i="4"/>
  <c r="C566" i="4"/>
  <c r="B566" i="4"/>
  <c r="A566" i="4"/>
  <c r="H565" i="4"/>
  <c r="G565" i="4"/>
  <c r="F565" i="4"/>
  <c r="E565" i="4"/>
  <c r="D565" i="4"/>
  <c r="C565" i="4"/>
  <c r="B565" i="4"/>
  <c r="A565" i="4"/>
  <c r="H564" i="4"/>
  <c r="G564" i="4"/>
  <c r="F564" i="4"/>
  <c r="E564" i="4"/>
  <c r="D564" i="4"/>
  <c r="C564" i="4"/>
  <c r="B564" i="4"/>
  <c r="A564" i="4"/>
  <c r="H563" i="4"/>
  <c r="G563" i="4"/>
  <c r="F563" i="4"/>
  <c r="E563" i="4"/>
  <c r="D563" i="4"/>
  <c r="C563" i="4"/>
  <c r="B563" i="4"/>
  <c r="A563" i="4"/>
  <c r="H562" i="4"/>
  <c r="G562" i="4"/>
  <c r="F562" i="4"/>
  <c r="E562" i="4"/>
  <c r="D562" i="4"/>
  <c r="C562" i="4"/>
  <c r="B562" i="4"/>
  <c r="A562" i="4"/>
  <c r="H561" i="4"/>
  <c r="G561" i="4"/>
  <c r="F561" i="4"/>
  <c r="E561" i="4"/>
  <c r="D561" i="4"/>
  <c r="C561" i="4"/>
  <c r="B561" i="4"/>
  <c r="A561" i="4"/>
  <c r="H560" i="4"/>
  <c r="G560" i="4"/>
  <c r="F560" i="4"/>
  <c r="E560" i="4"/>
  <c r="D560" i="4"/>
  <c r="C560" i="4"/>
  <c r="B560" i="4"/>
  <c r="A560" i="4"/>
  <c r="H559" i="4"/>
  <c r="G559" i="4"/>
  <c r="F559" i="4"/>
  <c r="E559" i="4"/>
  <c r="D559" i="4"/>
  <c r="C559" i="4"/>
  <c r="B559" i="4"/>
  <c r="A559" i="4"/>
  <c r="H558" i="4"/>
  <c r="G558" i="4"/>
  <c r="F558" i="4"/>
  <c r="E558" i="4"/>
  <c r="D558" i="4"/>
  <c r="C558" i="4"/>
  <c r="B558" i="4"/>
  <c r="A558" i="4"/>
  <c r="H557" i="4"/>
  <c r="G557" i="4"/>
  <c r="F557" i="4"/>
  <c r="E557" i="4"/>
  <c r="D557" i="4"/>
  <c r="C557" i="4"/>
  <c r="B557" i="4"/>
  <c r="A557" i="4"/>
  <c r="H556" i="4"/>
  <c r="G556" i="4"/>
  <c r="F556" i="4"/>
  <c r="E556" i="4"/>
  <c r="D556" i="4"/>
  <c r="C556" i="4"/>
  <c r="B556" i="4"/>
  <c r="A556" i="4"/>
  <c r="H555" i="4"/>
  <c r="G555" i="4"/>
  <c r="F555" i="4"/>
  <c r="E555" i="4"/>
  <c r="D555" i="4"/>
  <c r="C555" i="4"/>
  <c r="B555" i="4"/>
  <c r="A555" i="4"/>
  <c r="H554" i="4"/>
  <c r="G554" i="4"/>
  <c r="F554" i="4"/>
  <c r="E554" i="4"/>
  <c r="D554" i="4"/>
  <c r="C554" i="4"/>
  <c r="B554" i="4"/>
  <c r="A554" i="4"/>
  <c r="H553" i="4"/>
  <c r="G553" i="4"/>
  <c r="F553" i="4"/>
  <c r="E553" i="4"/>
  <c r="D553" i="4"/>
  <c r="C553" i="4"/>
  <c r="B553" i="4"/>
  <c r="A553" i="4"/>
  <c r="H552" i="4"/>
  <c r="G552" i="4"/>
  <c r="F552" i="4"/>
  <c r="E552" i="4"/>
  <c r="D552" i="4"/>
  <c r="C552" i="4"/>
  <c r="B552" i="4"/>
  <c r="A552" i="4"/>
  <c r="H551" i="4"/>
  <c r="G551" i="4"/>
  <c r="F551" i="4"/>
  <c r="E551" i="4"/>
  <c r="D551" i="4"/>
  <c r="C551" i="4"/>
  <c r="B551" i="4"/>
  <c r="A551" i="4"/>
  <c r="H550" i="4"/>
  <c r="G550" i="4"/>
  <c r="F550" i="4"/>
  <c r="E550" i="4"/>
  <c r="D550" i="4"/>
  <c r="C550" i="4"/>
  <c r="B550" i="4"/>
  <c r="A550" i="4"/>
  <c r="H549" i="4"/>
  <c r="G549" i="4"/>
  <c r="F549" i="4"/>
  <c r="E549" i="4"/>
  <c r="D549" i="4"/>
  <c r="C549" i="4"/>
  <c r="B549" i="4"/>
  <c r="A549" i="4"/>
  <c r="H548" i="4"/>
  <c r="G548" i="4"/>
  <c r="F548" i="4"/>
  <c r="E548" i="4"/>
  <c r="D548" i="4"/>
  <c r="C548" i="4"/>
  <c r="B548" i="4"/>
  <c r="A548" i="4"/>
  <c r="H547" i="4"/>
  <c r="G547" i="4"/>
  <c r="F547" i="4"/>
  <c r="E547" i="4"/>
  <c r="D547" i="4"/>
  <c r="C547" i="4"/>
  <c r="B547" i="4"/>
  <c r="A547" i="4"/>
  <c r="H546" i="4"/>
  <c r="G546" i="4"/>
  <c r="F546" i="4"/>
  <c r="E546" i="4"/>
  <c r="D546" i="4"/>
  <c r="C546" i="4"/>
  <c r="B546" i="4"/>
  <c r="A546" i="4"/>
  <c r="H545" i="4"/>
  <c r="G545" i="4"/>
  <c r="F545" i="4"/>
  <c r="E545" i="4"/>
  <c r="D545" i="4"/>
  <c r="C545" i="4"/>
  <c r="B545" i="4"/>
  <c r="A545" i="4"/>
  <c r="H544" i="4"/>
  <c r="G544" i="4"/>
  <c r="F544" i="4"/>
  <c r="E544" i="4"/>
  <c r="D544" i="4"/>
  <c r="C544" i="4"/>
  <c r="B544" i="4"/>
  <c r="A544" i="4"/>
  <c r="H543" i="4"/>
  <c r="G543" i="4"/>
  <c r="F543" i="4"/>
  <c r="E543" i="4"/>
  <c r="D543" i="4"/>
  <c r="C543" i="4"/>
  <c r="B543" i="4"/>
  <c r="A543" i="4"/>
  <c r="H542" i="4"/>
  <c r="G542" i="4"/>
  <c r="F542" i="4"/>
  <c r="E542" i="4"/>
  <c r="D542" i="4"/>
  <c r="C542" i="4"/>
  <c r="B542" i="4"/>
  <c r="A542" i="4"/>
  <c r="H541" i="4"/>
  <c r="G541" i="4"/>
  <c r="F541" i="4"/>
  <c r="E541" i="4"/>
  <c r="D541" i="4"/>
  <c r="C541" i="4"/>
  <c r="B541" i="4"/>
  <c r="A541" i="4"/>
  <c r="H540" i="4"/>
  <c r="G540" i="4"/>
  <c r="F540" i="4"/>
  <c r="E540" i="4"/>
  <c r="D540" i="4"/>
  <c r="C540" i="4"/>
  <c r="B540" i="4"/>
  <c r="A540" i="4"/>
  <c r="H539" i="4"/>
  <c r="G539" i="4"/>
  <c r="F539" i="4"/>
  <c r="E539" i="4"/>
  <c r="D539" i="4"/>
  <c r="C539" i="4"/>
  <c r="B539" i="4"/>
  <c r="A539" i="4"/>
  <c r="H538" i="4"/>
  <c r="G538" i="4"/>
  <c r="F538" i="4"/>
  <c r="E538" i="4"/>
  <c r="D538" i="4"/>
  <c r="C538" i="4"/>
  <c r="B538" i="4"/>
  <c r="A538" i="4"/>
  <c r="H537" i="4"/>
  <c r="G537" i="4"/>
  <c r="F537" i="4"/>
  <c r="E537" i="4"/>
  <c r="D537" i="4"/>
  <c r="C537" i="4"/>
  <c r="B537" i="4"/>
  <c r="A537" i="4"/>
  <c r="H536" i="4"/>
  <c r="G536" i="4"/>
  <c r="F536" i="4"/>
  <c r="E536" i="4"/>
  <c r="D536" i="4"/>
  <c r="C536" i="4"/>
  <c r="B536" i="4"/>
  <c r="A536" i="4"/>
  <c r="H535" i="4"/>
  <c r="G535" i="4"/>
  <c r="F535" i="4"/>
  <c r="E535" i="4"/>
  <c r="D535" i="4"/>
  <c r="C535" i="4"/>
  <c r="B535" i="4"/>
  <c r="A535" i="4"/>
  <c r="H534" i="4"/>
  <c r="G534" i="4"/>
  <c r="F534" i="4"/>
  <c r="E534" i="4"/>
  <c r="D534" i="4"/>
  <c r="C534" i="4"/>
  <c r="B534" i="4"/>
  <c r="A534" i="4"/>
  <c r="H533" i="4"/>
  <c r="G533" i="4"/>
  <c r="F533" i="4"/>
  <c r="E533" i="4"/>
  <c r="D533" i="4"/>
  <c r="C533" i="4"/>
  <c r="B533" i="4"/>
  <c r="A533" i="4"/>
  <c r="H532" i="4"/>
  <c r="G532" i="4"/>
  <c r="F532" i="4"/>
  <c r="E532" i="4"/>
  <c r="D532" i="4"/>
  <c r="C532" i="4"/>
  <c r="B532" i="4"/>
  <c r="A532" i="4"/>
  <c r="H531" i="4"/>
  <c r="G531" i="4"/>
  <c r="F531" i="4"/>
  <c r="E531" i="4"/>
  <c r="D531" i="4"/>
  <c r="C531" i="4"/>
  <c r="B531" i="4"/>
  <c r="A531" i="4"/>
  <c r="H530" i="4"/>
  <c r="G530" i="4"/>
  <c r="F530" i="4"/>
  <c r="E530" i="4"/>
  <c r="D530" i="4"/>
  <c r="C530" i="4"/>
  <c r="B530" i="4"/>
  <c r="A530" i="4"/>
  <c r="H529" i="4"/>
  <c r="G529" i="4"/>
  <c r="F529" i="4"/>
  <c r="E529" i="4"/>
  <c r="D529" i="4"/>
  <c r="C529" i="4"/>
  <c r="B529" i="4"/>
  <c r="A529" i="4"/>
  <c r="H528" i="4"/>
  <c r="G528" i="4"/>
  <c r="F528" i="4"/>
  <c r="E528" i="4"/>
  <c r="D528" i="4"/>
  <c r="C528" i="4"/>
  <c r="B528" i="4"/>
  <c r="A528" i="4"/>
  <c r="H527" i="4"/>
  <c r="G527" i="4"/>
  <c r="F527" i="4"/>
  <c r="E527" i="4"/>
  <c r="D527" i="4"/>
  <c r="C527" i="4"/>
  <c r="B527" i="4"/>
  <c r="A527" i="4"/>
  <c r="H526" i="4"/>
  <c r="G526" i="4"/>
  <c r="F526" i="4"/>
  <c r="E526" i="4"/>
  <c r="D526" i="4"/>
  <c r="C526" i="4"/>
  <c r="B526" i="4"/>
  <c r="A526" i="4"/>
  <c r="H525" i="4"/>
  <c r="G525" i="4"/>
  <c r="F525" i="4"/>
  <c r="E525" i="4"/>
  <c r="D525" i="4"/>
  <c r="C525" i="4"/>
  <c r="B525" i="4"/>
  <c r="A525" i="4"/>
  <c r="H524" i="4"/>
  <c r="G524" i="4"/>
  <c r="F524" i="4"/>
  <c r="E524" i="4"/>
  <c r="D524" i="4"/>
  <c r="C524" i="4"/>
  <c r="B524" i="4"/>
  <c r="A524" i="4"/>
  <c r="H523" i="4"/>
  <c r="G523" i="4"/>
  <c r="F523" i="4"/>
  <c r="E523" i="4"/>
  <c r="D523" i="4"/>
  <c r="C523" i="4"/>
  <c r="B523" i="4"/>
  <c r="A523" i="4"/>
  <c r="H522" i="4"/>
  <c r="G522" i="4"/>
  <c r="F522" i="4"/>
  <c r="E522" i="4"/>
  <c r="D522" i="4"/>
  <c r="C522" i="4"/>
  <c r="B522" i="4"/>
  <c r="A522" i="4"/>
  <c r="H521" i="4"/>
  <c r="G521" i="4"/>
  <c r="F521" i="4"/>
  <c r="E521" i="4"/>
  <c r="D521" i="4"/>
  <c r="C521" i="4"/>
  <c r="B521" i="4"/>
  <c r="A521" i="4"/>
  <c r="H520" i="4"/>
  <c r="G520" i="4"/>
  <c r="F520" i="4"/>
  <c r="E520" i="4"/>
  <c r="D520" i="4"/>
  <c r="C520" i="4"/>
  <c r="B520" i="4"/>
  <c r="A520" i="4"/>
  <c r="H519" i="4"/>
  <c r="G519" i="4"/>
  <c r="F519" i="4"/>
  <c r="E519" i="4"/>
  <c r="D519" i="4"/>
  <c r="C519" i="4"/>
  <c r="B519" i="4"/>
  <c r="A519" i="4"/>
  <c r="H518" i="4"/>
  <c r="G518" i="4"/>
  <c r="F518" i="4"/>
  <c r="E518" i="4"/>
  <c r="D518" i="4"/>
  <c r="C518" i="4"/>
  <c r="B518" i="4"/>
  <c r="A518" i="4"/>
  <c r="H517" i="4"/>
  <c r="G517" i="4"/>
  <c r="F517" i="4"/>
  <c r="E517" i="4"/>
  <c r="D517" i="4"/>
  <c r="C517" i="4"/>
  <c r="B517" i="4"/>
  <c r="A517" i="4"/>
  <c r="H516" i="4"/>
  <c r="G516" i="4"/>
  <c r="F516" i="4"/>
  <c r="E516" i="4"/>
  <c r="D516" i="4"/>
  <c r="C516" i="4"/>
  <c r="B516" i="4"/>
  <c r="A516" i="4"/>
  <c r="H515" i="4"/>
  <c r="G515" i="4"/>
  <c r="F515" i="4"/>
  <c r="E515" i="4"/>
  <c r="D515" i="4"/>
  <c r="C515" i="4"/>
  <c r="B515" i="4"/>
  <c r="A515" i="4"/>
  <c r="H514" i="4"/>
  <c r="G514" i="4"/>
  <c r="F514" i="4"/>
  <c r="E514" i="4"/>
  <c r="D514" i="4"/>
  <c r="C514" i="4"/>
  <c r="B514" i="4"/>
  <c r="A514" i="4"/>
  <c r="H513" i="4"/>
  <c r="G513" i="4"/>
  <c r="F513" i="4"/>
  <c r="E513" i="4"/>
  <c r="D513" i="4"/>
  <c r="C513" i="4"/>
  <c r="B513" i="4"/>
  <c r="A513" i="4"/>
  <c r="H512" i="4"/>
  <c r="G512" i="4"/>
  <c r="F512" i="4"/>
  <c r="E512" i="4"/>
  <c r="D512" i="4"/>
  <c r="C512" i="4"/>
  <c r="B512" i="4"/>
  <c r="A512" i="4"/>
  <c r="H511" i="4"/>
  <c r="G511" i="4"/>
  <c r="F511" i="4"/>
  <c r="E511" i="4"/>
  <c r="D511" i="4"/>
  <c r="C511" i="4"/>
  <c r="B511" i="4"/>
  <c r="A511" i="4"/>
  <c r="H510" i="4"/>
  <c r="G510" i="4"/>
  <c r="F510" i="4"/>
  <c r="E510" i="4"/>
  <c r="D510" i="4"/>
  <c r="C510" i="4"/>
  <c r="B510" i="4"/>
  <c r="A510" i="4"/>
  <c r="H509" i="4"/>
  <c r="G509" i="4"/>
  <c r="F509" i="4"/>
  <c r="E509" i="4"/>
  <c r="D509" i="4"/>
  <c r="C509" i="4"/>
  <c r="B509" i="4"/>
  <c r="A509" i="4"/>
  <c r="H508" i="4"/>
  <c r="G508" i="4"/>
  <c r="F508" i="4"/>
  <c r="E508" i="4"/>
  <c r="D508" i="4"/>
  <c r="C508" i="4"/>
  <c r="B508" i="4"/>
  <c r="A508" i="4"/>
  <c r="H507" i="4"/>
  <c r="G507" i="4"/>
  <c r="F507" i="4"/>
  <c r="E507" i="4"/>
  <c r="D507" i="4"/>
  <c r="C507" i="4"/>
  <c r="B507" i="4"/>
  <c r="A507" i="4"/>
  <c r="H506" i="4"/>
  <c r="G506" i="4"/>
  <c r="F506" i="4"/>
  <c r="E506" i="4"/>
  <c r="D506" i="4"/>
  <c r="C506" i="4"/>
  <c r="B506" i="4"/>
  <c r="A506" i="4"/>
  <c r="H505" i="4"/>
  <c r="G505" i="4"/>
  <c r="F505" i="4"/>
  <c r="E505" i="4"/>
  <c r="D505" i="4"/>
  <c r="C505" i="4"/>
  <c r="B505" i="4"/>
  <c r="A505" i="4"/>
  <c r="H504" i="4"/>
  <c r="G504" i="4"/>
  <c r="F504" i="4"/>
  <c r="E504" i="4"/>
  <c r="D504" i="4"/>
  <c r="C504" i="4"/>
  <c r="B504" i="4"/>
  <c r="A504" i="4"/>
  <c r="H503" i="4"/>
  <c r="G503" i="4"/>
  <c r="F503" i="4"/>
  <c r="E503" i="4"/>
  <c r="D503" i="4"/>
  <c r="C503" i="4"/>
  <c r="B503" i="4"/>
  <c r="A503" i="4"/>
  <c r="H502" i="4"/>
  <c r="G502" i="4"/>
  <c r="F502" i="4"/>
  <c r="E502" i="4"/>
  <c r="D502" i="4"/>
  <c r="C502" i="4"/>
  <c r="B502" i="4"/>
  <c r="A502" i="4"/>
  <c r="H501" i="4"/>
  <c r="G501" i="4"/>
  <c r="F501" i="4"/>
  <c r="E501" i="4"/>
  <c r="D501" i="4"/>
  <c r="C501" i="4"/>
  <c r="B501" i="4"/>
  <c r="A501" i="4"/>
  <c r="H500" i="4"/>
  <c r="G500" i="4"/>
  <c r="F500" i="4"/>
  <c r="E500" i="4"/>
  <c r="D500" i="4"/>
  <c r="C500" i="4"/>
  <c r="B500" i="4"/>
  <c r="A500" i="4"/>
  <c r="H499" i="4"/>
  <c r="G499" i="4"/>
  <c r="F499" i="4"/>
  <c r="E499" i="4"/>
  <c r="D499" i="4"/>
  <c r="C499" i="4"/>
  <c r="B499" i="4"/>
  <c r="A499" i="4"/>
  <c r="H498" i="4"/>
  <c r="G498" i="4"/>
  <c r="F498" i="4"/>
  <c r="E498" i="4"/>
  <c r="D498" i="4"/>
  <c r="C498" i="4"/>
  <c r="B498" i="4"/>
  <c r="A498" i="4"/>
  <c r="H497" i="4"/>
  <c r="G497" i="4"/>
  <c r="F497" i="4"/>
  <c r="E497" i="4"/>
  <c r="D497" i="4"/>
  <c r="C497" i="4"/>
  <c r="B497" i="4"/>
  <c r="A497" i="4"/>
  <c r="H496" i="4"/>
  <c r="G496" i="4"/>
  <c r="F496" i="4"/>
  <c r="E496" i="4"/>
  <c r="D496" i="4"/>
  <c r="C496" i="4"/>
  <c r="B496" i="4"/>
  <c r="A496" i="4"/>
  <c r="H495" i="4"/>
  <c r="G495" i="4"/>
  <c r="F495" i="4"/>
  <c r="E495" i="4"/>
  <c r="D495" i="4"/>
  <c r="C495" i="4"/>
  <c r="B495" i="4"/>
  <c r="A495" i="4"/>
  <c r="H494" i="4"/>
  <c r="G494" i="4"/>
  <c r="F494" i="4"/>
  <c r="E494" i="4"/>
  <c r="D494" i="4"/>
  <c r="C494" i="4"/>
  <c r="B494" i="4"/>
  <c r="A494" i="4"/>
  <c r="H493" i="4"/>
  <c r="G493" i="4"/>
  <c r="F493" i="4"/>
  <c r="E493" i="4"/>
  <c r="D493" i="4"/>
  <c r="C493" i="4"/>
  <c r="B493" i="4"/>
  <c r="A493" i="4"/>
  <c r="H492" i="4"/>
  <c r="G492" i="4"/>
  <c r="F492" i="4"/>
  <c r="E492" i="4"/>
  <c r="D492" i="4"/>
  <c r="C492" i="4"/>
  <c r="B492" i="4"/>
  <c r="A492" i="4"/>
  <c r="H491" i="4"/>
  <c r="G491" i="4"/>
  <c r="F491" i="4"/>
  <c r="E491" i="4"/>
  <c r="D491" i="4"/>
  <c r="C491" i="4"/>
  <c r="B491" i="4"/>
  <c r="A491" i="4"/>
  <c r="H490" i="4"/>
  <c r="G490" i="4"/>
  <c r="F490" i="4"/>
  <c r="E490" i="4"/>
  <c r="D490" i="4"/>
  <c r="C490" i="4"/>
  <c r="B490" i="4"/>
  <c r="A490" i="4"/>
  <c r="H489" i="4"/>
  <c r="G489" i="4"/>
  <c r="F489" i="4"/>
  <c r="E489" i="4"/>
  <c r="D489" i="4"/>
  <c r="C489" i="4"/>
  <c r="B489" i="4"/>
  <c r="A489" i="4"/>
  <c r="H488" i="4"/>
  <c r="G488" i="4"/>
  <c r="F488" i="4"/>
  <c r="E488" i="4"/>
  <c r="D488" i="4"/>
  <c r="C488" i="4"/>
  <c r="B488" i="4"/>
  <c r="A488" i="4"/>
  <c r="H487" i="4"/>
  <c r="G487" i="4"/>
  <c r="F487" i="4"/>
  <c r="E487" i="4"/>
  <c r="D487" i="4"/>
  <c r="C487" i="4"/>
  <c r="B487" i="4"/>
  <c r="A487" i="4"/>
  <c r="H486" i="4"/>
  <c r="G486" i="4"/>
  <c r="F486" i="4"/>
  <c r="E486" i="4"/>
  <c r="D486" i="4"/>
  <c r="C486" i="4"/>
  <c r="B486" i="4"/>
  <c r="A486" i="4"/>
  <c r="H485" i="4"/>
  <c r="G485" i="4"/>
  <c r="F485" i="4"/>
  <c r="E485" i="4"/>
  <c r="D485" i="4"/>
  <c r="C485" i="4"/>
  <c r="B485" i="4"/>
  <c r="A485" i="4"/>
  <c r="H484" i="4"/>
  <c r="G484" i="4"/>
  <c r="F484" i="4"/>
  <c r="E484" i="4"/>
  <c r="D484" i="4"/>
  <c r="C484" i="4"/>
  <c r="B484" i="4"/>
  <c r="A484" i="4"/>
  <c r="H483" i="4"/>
  <c r="G483" i="4"/>
  <c r="F483" i="4"/>
  <c r="E483" i="4"/>
  <c r="D483" i="4"/>
  <c r="C483" i="4"/>
  <c r="B483" i="4"/>
  <c r="A483" i="4"/>
  <c r="H482" i="4"/>
  <c r="G482" i="4"/>
  <c r="F482" i="4"/>
  <c r="E482" i="4"/>
  <c r="D482" i="4"/>
  <c r="C482" i="4"/>
  <c r="B482" i="4"/>
  <c r="A482" i="4"/>
  <c r="H481" i="4"/>
  <c r="G481" i="4"/>
  <c r="F481" i="4"/>
  <c r="E481" i="4"/>
  <c r="D481" i="4"/>
  <c r="C481" i="4"/>
  <c r="B481" i="4"/>
  <c r="A481" i="4"/>
  <c r="H480" i="4"/>
  <c r="G480" i="4"/>
  <c r="F480" i="4"/>
  <c r="E480" i="4"/>
  <c r="D480" i="4"/>
  <c r="C480" i="4"/>
  <c r="B480" i="4"/>
  <c r="A480" i="4"/>
  <c r="H479" i="4"/>
  <c r="G479" i="4"/>
  <c r="F479" i="4"/>
  <c r="E479" i="4"/>
  <c r="D479" i="4"/>
  <c r="C479" i="4"/>
  <c r="B479" i="4"/>
  <c r="A479" i="4"/>
  <c r="H478" i="4"/>
  <c r="G478" i="4"/>
  <c r="F478" i="4"/>
  <c r="E478" i="4"/>
  <c r="D478" i="4"/>
  <c r="C478" i="4"/>
  <c r="B478" i="4"/>
  <c r="A478" i="4"/>
  <c r="H477" i="4"/>
  <c r="G477" i="4"/>
  <c r="F477" i="4"/>
  <c r="E477" i="4"/>
  <c r="D477" i="4"/>
  <c r="C477" i="4"/>
  <c r="B477" i="4"/>
  <c r="A477" i="4"/>
  <c r="H476" i="4"/>
  <c r="G476" i="4"/>
  <c r="F476" i="4"/>
  <c r="E476" i="4"/>
  <c r="D476" i="4"/>
  <c r="C476" i="4"/>
  <c r="B476" i="4"/>
  <c r="A476" i="4"/>
  <c r="H475" i="4"/>
  <c r="G475" i="4"/>
  <c r="F475" i="4"/>
  <c r="E475" i="4"/>
  <c r="D475" i="4"/>
  <c r="C475" i="4"/>
  <c r="B475" i="4"/>
  <c r="A475" i="4"/>
  <c r="H474" i="4"/>
  <c r="G474" i="4"/>
  <c r="F474" i="4"/>
  <c r="E474" i="4"/>
  <c r="D474" i="4"/>
  <c r="C474" i="4"/>
  <c r="B474" i="4"/>
  <c r="A474" i="4"/>
  <c r="H473" i="4"/>
  <c r="G473" i="4"/>
  <c r="F473" i="4"/>
  <c r="E473" i="4"/>
  <c r="D473" i="4"/>
  <c r="C473" i="4"/>
  <c r="B473" i="4"/>
  <c r="A473" i="4"/>
  <c r="H472" i="4"/>
  <c r="G472" i="4"/>
  <c r="F472" i="4"/>
  <c r="E472" i="4"/>
  <c r="D472" i="4"/>
  <c r="C472" i="4"/>
  <c r="B472" i="4"/>
  <c r="A472" i="4"/>
  <c r="H471" i="4"/>
  <c r="G471" i="4"/>
  <c r="F471" i="4"/>
  <c r="E471" i="4"/>
  <c r="D471" i="4"/>
  <c r="C471" i="4"/>
  <c r="B471" i="4"/>
  <c r="A471" i="4"/>
  <c r="H470" i="4"/>
  <c r="G470" i="4"/>
  <c r="F470" i="4"/>
  <c r="E470" i="4"/>
  <c r="D470" i="4"/>
  <c r="C470" i="4"/>
  <c r="B470" i="4"/>
  <c r="A470" i="4"/>
  <c r="H469" i="4"/>
  <c r="G469" i="4"/>
  <c r="F469" i="4"/>
  <c r="E469" i="4"/>
  <c r="D469" i="4"/>
  <c r="C469" i="4"/>
  <c r="B469" i="4"/>
  <c r="A469" i="4"/>
  <c r="H468" i="4"/>
  <c r="G468" i="4"/>
  <c r="F468" i="4"/>
  <c r="E468" i="4"/>
  <c r="D468" i="4"/>
  <c r="C468" i="4"/>
  <c r="B468" i="4"/>
  <c r="A468" i="4"/>
  <c r="H467" i="4"/>
  <c r="G467" i="4"/>
  <c r="F467" i="4"/>
  <c r="E467" i="4"/>
  <c r="D467" i="4"/>
  <c r="C467" i="4"/>
  <c r="B467" i="4"/>
  <c r="A467" i="4"/>
  <c r="H466" i="4"/>
  <c r="G466" i="4"/>
  <c r="F466" i="4"/>
  <c r="E466" i="4"/>
  <c r="D466" i="4"/>
  <c r="C466" i="4"/>
  <c r="B466" i="4"/>
  <c r="A466" i="4"/>
  <c r="H465" i="4"/>
  <c r="G465" i="4"/>
  <c r="F465" i="4"/>
  <c r="E465" i="4"/>
  <c r="D465" i="4"/>
  <c r="C465" i="4"/>
  <c r="B465" i="4"/>
  <c r="A465" i="4"/>
  <c r="H464" i="4"/>
  <c r="G464" i="4"/>
  <c r="F464" i="4"/>
  <c r="E464" i="4"/>
  <c r="D464" i="4"/>
  <c r="C464" i="4"/>
  <c r="B464" i="4"/>
  <c r="A464" i="4"/>
  <c r="H463" i="4"/>
  <c r="G463" i="4"/>
  <c r="F463" i="4"/>
  <c r="E463" i="4"/>
  <c r="D463" i="4"/>
  <c r="C463" i="4"/>
  <c r="B463" i="4"/>
  <c r="A463" i="4"/>
  <c r="H462" i="4"/>
  <c r="G462" i="4"/>
  <c r="F462" i="4"/>
  <c r="E462" i="4"/>
  <c r="D462" i="4"/>
  <c r="C462" i="4"/>
  <c r="B462" i="4"/>
  <c r="A462" i="4"/>
  <c r="H461" i="4"/>
  <c r="G461" i="4"/>
  <c r="F461" i="4"/>
  <c r="E461" i="4"/>
  <c r="D461" i="4"/>
  <c r="C461" i="4"/>
  <c r="B461" i="4"/>
  <c r="A461" i="4"/>
  <c r="H460" i="4"/>
  <c r="G460" i="4"/>
  <c r="F460" i="4"/>
  <c r="E460" i="4"/>
  <c r="D460" i="4"/>
  <c r="C460" i="4"/>
  <c r="B460" i="4"/>
  <c r="A460" i="4"/>
  <c r="H459" i="4"/>
  <c r="G459" i="4"/>
  <c r="F459" i="4"/>
  <c r="E459" i="4"/>
  <c r="D459" i="4"/>
  <c r="C459" i="4"/>
  <c r="B459" i="4"/>
  <c r="A459" i="4"/>
  <c r="H458" i="4"/>
  <c r="G458" i="4"/>
  <c r="F458" i="4"/>
  <c r="E458" i="4"/>
  <c r="D458" i="4"/>
  <c r="C458" i="4"/>
  <c r="B458" i="4"/>
  <c r="A458" i="4"/>
  <c r="H457" i="4"/>
  <c r="G457" i="4"/>
  <c r="F457" i="4"/>
  <c r="E457" i="4"/>
  <c r="D457" i="4"/>
  <c r="C457" i="4"/>
  <c r="B457" i="4"/>
  <c r="A457" i="4"/>
  <c r="H456" i="4"/>
  <c r="G456" i="4"/>
  <c r="F456" i="4"/>
  <c r="E456" i="4"/>
  <c r="D456" i="4"/>
  <c r="C456" i="4"/>
  <c r="B456" i="4"/>
  <c r="A456" i="4"/>
  <c r="H455" i="4"/>
  <c r="G455" i="4"/>
  <c r="F455" i="4"/>
  <c r="E455" i="4"/>
  <c r="D455" i="4"/>
  <c r="C455" i="4"/>
  <c r="B455" i="4"/>
  <c r="A455" i="4"/>
  <c r="H454" i="4"/>
  <c r="G454" i="4"/>
  <c r="F454" i="4"/>
  <c r="E454" i="4"/>
  <c r="D454" i="4"/>
  <c r="C454" i="4"/>
  <c r="B454" i="4"/>
  <c r="A454" i="4"/>
  <c r="H453" i="4"/>
  <c r="G453" i="4"/>
  <c r="F453" i="4"/>
  <c r="E453" i="4"/>
  <c r="D453" i="4"/>
  <c r="C453" i="4"/>
  <c r="B453" i="4"/>
  <c r="A453" i="4"/>
  <c r="H452" i="4"/>
  <c r="G452" i="4"/>
  <c r="F452" i="4"/>
  <c r="E452" i="4"/>
  <c r="D452" i="4"/>
  <c r="C452" i="4"/>
  <c r="B452" i="4"/>
  <c r="A452" i="4"/>
  <c r="H451" i="4"/>
  <c r="G451" i="4"/>
  <c r="F451" i="4"/>
  <c r="E451" i="4"/>
  <c r="D451" i="4"/>
  <c r="C451" i="4"/>
  <c r="B451" i="4"/>
  <c r="A451" i="4"/>
  <c r="H450" i="4"/>
  <c r="G450" i="4"/>
  <c r="F450" i="4"/>
  <c r="E450" i="4"/>
  <c r="D450" i="4"/>
  <c r="C450" i="4"/>
  <c r="B450" i="4"/>
  <c r="A450" i="4"/>
  <c r="H449" i="4"/>
  <c r="G449" i="4"/>
  <c r="F449" i="4"/>
  <c r="E449" i="4"/>
  <c r="D449" i="4"/>
  <c r="C449" i="4"/>
  <c r="B449" i="4"/>
  <c r="A449" i="4"/>
  <c r="H448" i="4"/>
  <c r="G448" i="4"/>
  <c r="F448" i="4"/>
  <c r="E448" i="4"/>
  <c r="D448" i="4"/>
  <c r="C448" i="4"/>
  <c r="B448" i="4"/>
  <c r="A448" i="4"/>
  <c r="H447" i="4"/>
  <c r="G447" i="4"/>
  <c r="F447" i="4"/>
  <c r="E447" i="4"/>
  <c r="D447" i="4"/>
  <c r="C447" i="4"/>
  <c r="B447" i="4"/>
  <c r="A447" i="4"/>
  <c r="H446" i="4"/>
  <c r="G446" i="4"/>
  <c r="F446" i="4"/>
  <c r="E446" i="4"/>
  <c r="D446" i="4"/>
  <c r="C446" i="4"/>
  <c r="B446" i="4"/>
  <c r="A446" i="4"/>
  <c r="H445" i="4"/>
  <c r="G445" i="4"/>
  <c r="F445" i="4"/>
  <c r="E445" i="4"/>
  <c r="D445" i="4"/>
  <c r="C445" i="4"/>
  <c r="B445" i="4"/>
  <c r="A445" i="4"/>
  <c r="H444" i="4"/>
  <c r="G444" i="4"/>
  <c r="F444" i="4"/>
  <c r="E444" i="4"/>
  <c r="D444" i="4"/>
  <c r="C444" i="4"/>
  <c r="B444" i="4"/>
  <c r="A444" i="4"/>
  <c r="H443" i="4"/>
  <c r="G443" i="4"/>
  <c r="F443" i="4"/>
  <c r="E443" i="4"/>
  <c r="D443" i="4"/>
  <c r="C443" i="4"/>
  <c r="B443" i="4"/>
  <c r="A443" i="4"/>
  <c r="H442" i="4"/>
  <c r="G442" i="4"/>
  <c r="F442" i="4"/>
  <c r="E442" i="4"/>
  <c r="D442" i="4"/>
  <c r="C442" i="4"/>
  <c r="B442" i="4"/>
  <c r="A442" i="4"/>
  <c r="H441" i="4"/>
  <c r="G441" i="4"/>
  <c r="F441" i="4"/>
  <c r="E441" i="4"/>
  <c r="D441" i="4"/>
  <c r="C441" i="4"/>
  <c r="B441" i="4"/>
  <c r="A441" i="4"/>
  <c r="H440" i="4"/>
  <c r="G440" i="4"/>
  <c r="F440" i="4"/>
  <c r="E440" i="4"/>
  <c r="D440" i="4"/>
  <c r="C440" i="4"/>
  <c r="B440" i="4"/>
  <c r="A440" i="4"/>
  <c r="D99" i="4"/>
  <c r="E81" i="4"/>
  <c r="A72" i="4"/>
  <c r="F53" i="4"/>
  <c r="E44" i="4"/>
  <c r="E39" i="4"/>
  <c r="A35" i="4"/>
  <c r="B9" i="4"/>
  <c r="I297" i="3"/>
  <c r="H439" i="4" s="1"/>
  <c r="H297" i="3"/>
  <c r="G297" i="3"/>
  <c r="F439" i="4" s="1"/>
  <c r="F297" i="3"/>
  <c r="E439" i="4" s="1"/>
  <c r="E297" i="3"/>
  <c r="D439" i="4" s="1"/>
  <c r="D297" i="3"/>
  <c r="C439" i="4" s="1"/>
  <c r="C297" i="3"/>
  <c r="B439" i="4" s="1"/>
  <c r="B297" i="3"/>
  <c r="A297" i="3"/>
  <c r="A439" i="4" s="1"/>
  <c r="I296" i="3"/>
  <c r="H438" i="4" s="1"/>
  <c r="H296" i="3"/>
  <c r="G438" i="4" s="1"/>
  <c r="G296" i="3"/>
  <c r="F438" i="4" s="1"/>
  <c r="F296" i="3"/>
  <c r="E438" i="4" s="1"/>
  <c r="E296" i="3"/>
  <c r="D438" i="4" s="1"/>
  <c r="D296" i="3"/>
  <c r="C438" i="4" s="1"/>
  <c r="C296" i="3"/>
  <c r="B438" i="4" s="1"/>
  <c r="B296" i="3"/>
  <c r="A296" i="3"/>
  <c r="I295" i="3"/>
  <c r="H437" i="4" s="1"/>
  <c r="H295" i="3"/>
  <c r="G437" i="4" s="1"/>
  <c r="G295" i="3"/>
  <c r="F437" i="4" s="1"/>
  <c r="F295" i="3"/>
  <c r="E437" i="4" s="1"/>
  <c r="E295" i="3"/>
  <c r="D437" i="4" s="1"/>
  <c r="D295" i="3"/>
  <c r="C437" i="4" s="1"/>
  <c r="C295" i="3"/>
  <c r="B437" i="4" s="1"/>
  <c r="B295" i="3"/>
  <c r="A295" i="3"/>
  <c r="A437" i="4" s="1"/>
  <c r="I294" i="3"/>
  <c r="H436" i="4" s="1"/>
  <c r="H294" i="3"/>
  <c r="G436" i="4" s="1"/>
  <c r="G294" i="3"/>
  <c r="F436" i="4" s="1"/>
  <c r="F294" i="3"/>
  <c r="E436" i="4" s="1"/>
  <c r="E294" i="3"/>
  <c r="D436" i="4" s="1"/>
  <c r="D294" i="3"/>
  <c r="C436" i="4" s="1"/>
  <c r="C294" i="3"/>
  <c r="B294" i="3"/>
  <c r="A294" i="3"/>
  <c r="A436" i="4" s="1"/>
  <c r="I293" i="3"/>
  <c r="H435" i="4" s="1"/>
  <c r="H293" i="3"/>
  <c r="G435" i="4" s="1"/>
  <c r="G293" i="3"/>
  <c r="F435" i="4" s="1"/>
  <c r="F293" i="3"/>
  <c r="E435" i="4" s="1"/>
  <c r="E293" i="3"/>
  <c r="D435" i="4" s="1"/>
  <c r="D293" i="3"/>
  <c r="C293" i="3"/>
  <c r="B435" i="4" s="1"/>
  <c r="B293" i="3"/>
  <c r="A293" i="3"/>
  <c r="A435" i="4" s="1"/>
  <c r="I292" i="3"/>
  <c r="H434" i="4" s="1"/>
  <c r="H292" i="3"/>
  <c r="G434" i="4" s="1"/>
  <c r="G292" i="3"/>
  <c r="F434" i="4" s="1"/>
  <c r="F292" i="3"/>
  <c r="E434" i="4" s="1"/>
  <c r="E292" i="3"/>
  <c r="D434" i="4" s="1"/>
  <c r="D292" i="3"/>
  <c r="C434" i="4" s="1"/>
  <c r="C292" i="3"/>
  <c r="B434" i="4" s="1"/>
  <c r="B292" i="3"/>
  <c r="A292" i="3"/>
  <c r="A434" i="4" s="1"/>
  <c r="I291" i="3"/>
  <c r="H433" i="4" s="1"/>
  <c r="H291" i="3"/>
  <c r="G433" i="4" s="1"/>
  <c r="G291" i="3"/>
  <c r="F433" i="4" s="1"/>
  <c r="F291" i="3"/>
  <c r="E433" i="4" s="1"/>
  <c r="E291" i="3"/>
  <c r="D433" i="4" s="1"/>
  <c r="D291" i="3"/>
  <c r="C433" i="4" s="1"/>
  <c r="C291" i="3"/>
  <c r="B433" i="4" s="1"/>
  <c r="B291" i="3"/>
  <c r="A291" i="3"/>
  <c r="A433" i="4" s="1"/>
  <c r="I290" i="3"/>
  <c r="H432" i="4" s="1"/>
  <c r="H290" i="3"/>
  <c r="G432" i="4" s="1"/>
  <c r="G290" i="3"/>
  <c r="F290" i="3"/>
  <c r="E432" i="4" s="1"/>
  <c r="E290" i="3"/>
  <c r="D432" i="4" s="1"/>
  <c r="D290" i="3"/>
  <c r="C432" i="4" s="1"/>
  <c r="C290" i="3"/>
  <c r="B432" i="4" s="1"/>
  <c r="B290" i="3"/>
  <c r="A290" i="3"/>
  <c r="A432" i="4" s="1"/>
  <c r="I289" i="3"/>
  <c r="H431" i="4" s="1"/>
  <c r="H289" i="3"/>
  <c r="G289" i="3"/>
  <c r="F431" i="4" s="1"/>
  <c r="F289" i="3"/>
  <c r="E431" i="4" s="1"/>
  <c r="E289" i="3"/>
  <c r="D431" i="4" s="1"/>
  <c r="D289" i="3"/>
  <c r="C431" i="4" s="1"/>
  <c r="C289" i="3"/>
  <c r="B431" i="4" s="1"/>
  <c r="B289" i="3"/>
  <c r="A289" i="3"/>
  <c r="A431" i="4" s="1"/>
  <c r="I288" i="3"/>
  <c r="H430" i="4" s="1"/>
  <c r="H288" i="3"/>
  <c r="G430" i="4" s="1"/>
  <c r="G288" i="3"/>
  <c r="F430" i="4" s="1"/>
  <c r="F288" i="3"/>
  <c r="E430" i="4" s="1"/>
  <c r="E288" i="3"/>
  <c r="D430" i="4" s="1"/>
  <c r="D288" i="3"/>
  <c r="C430" i="4" s="1"/>
  <c r="C288" i="3"/>
  <c r="B430" i="4" s="1"/>
  <c r="B288" i="3"/>
  <c r="A288" i="3"/>
  <c r="I287" i="3"/>
  <c r="H429" i="4" s="1"/>
  <c r="H287" i="3"/>
  <c r="G429" i="4" s="1"/>
  <c r="G287" i="3"/>
  <c r="F429" i="4" s="1"/>
  <c r="F287" i="3"/>
  <c r="E429" i="4" s="1"/>
  <c r="E287" i="3"/>
  <c r="D429" i="4" s="1"/>
  <c r="D287" i="3"/>
  <c r="C429" i="4" s="1"/>
  <c r="C287" i="3"/>
  <c r="B429" i="4" s="1"/>
  <c r="B287" i="3"/>
  <c r="A287" i="3"/>
  <c r="A429" i="4" s="1"/>
  <c r="I286" i="3"/>
  <c r="H428" i="4" s="1"/>
  <c r="H286" i="3"/>
  <c r="G428" i="4" s="1"/>
  <c r="G286" i="3"/>
  <c r="F428" i="4" s="1"/>
  <c r="F286" i="3"/>
  <c r="E428" i="4" s="1"/>
  <c r="E286" i="3"/>
  <c r="D428" i="4" s="1"/>
  <c r="D286" i="3"/>
  <c r="C428" i="4" s="1"/>
  <c r="C286" i="3"/>
  <c r="B286" i="3"/>
  <c r="A286" i="3"/>
  <c r="A428" i="4" s="1"/>
  <c r="I285" i="3"/>
  <c r="H427" i="4" s="1"/>
  <c r="H285" i="3"/>
  <c r="G427" i="4" s="1"/>
  <c r="G285" i="3"/>
  <c r="F427" i="4" s="1"/>
  <c r="F285" i="3"/>
  <c r="E427" i="4" s="1"/>
  <c r="E285" i="3"/>
  <c r="D427" i="4" s="1"/>
  <c r="D285" i="3"/>
  <c r="C285" i="3"/>
  <c r="B427" i="4" s="1"/>
  <c r="B285" i="3"/>
  <c r="A285" i="3"/>
  <c r="A427" i="4" s="1"/>
  <c r="I284" i="3"/>
  <c r="H426" i="4" s="1"/>
  <c r="H284" i="3"/>
  <c r="G426" i="4" s="1"/>
  <c r="G284" i="3"/>
  <c r="F426" i="4" s="1"/>
  <c r="F284" i="3"/>
  <c r="E426" i="4" s="1"/>
  <c r="E284" i="3"/>
  <c r="D426" i="4" s="1"/>
  <c r="D284" i="3"/>
  <c r="C426" i="4" s="1"/>
  <c r="C284" i="3"/>
  <c r="B426" i="4" s="1"/>
  <c r="B284" i="3"/>
  <c r="A284" i="3"/>
  <c r="A426" i="4" s="1"/>
  <c r="I283" i="3"/>
  <c r="H425" i="4" s="1"/>
  <c r="H283" i="3"/>
  <c r="G425" i="4" s="1"/>
  <c r="G283" i="3"/>
  <c r="F425" i="4" s="1"/>
  <c r="F283" i="3"/>
  <c r="E425" i="4" s="1"/>
  <c r="E283" i="3"/>
  <c r="D425" i="4" s="1"/>
  <c r="D283" i="3"/>
  <c r="C425" i="4" s="1"/>
  <c r="C283" i="3"/>
  <c r="B425" i="4" s="1"/>
  <c r="B283" i="3"/>
  <c r="A283" i="3"/>
  <c r="A425" i="4" s="1"/>
  <c r="I282" i="3"/>
  <c r="H424" i="4" s="1"/>
  <c r="H282" i="3"/>
  <c r="G424" i="4" s="1"/>
  <c r="G282" i="3"/>
  <c r="F282" i="3"/>
  <c r="E424" i="4" s="1"/>
  <c r="E282" i="3"/>
  <c r="D424" i="4" s="1"/>
  <c r="D282" i="3"/>
  <c r="C424" i="4" s="1"/>
  <c r="C282" i="3"/>
  <c r="B424" i="4" s="1"/>
  <c r="B282" i="3"/>
  <c r="A282" i="3"/>
  <c r="A424" i="4" s="1"/>
  <c r="I281" i="3"/>
  <c r="H423" i="4" s="1"/>
  <c r="H281" i="3"/>
  <c r="G281" i="3"/>
  <c r="F423" i="4" s="1"/>
  <c r="F281" i="3"/>
  <c r="E423" i="4" s="1"/>
  <c r="E281" i="3"/>
  <c r="D423" i="4" s="1"/>
  <c r="D281" i="3"/>
  <c r="C423" i="4" s="1"/>
  <c r="C281" i="3"/>
  <c r="B423" i="4" s="1"/>
  <c r="B281" i="3"/>
  <c r="A281" i="3"/>
  <c r="A423" i="4" s="1"/>
  <c r="I280" i="3"/>
  <c r="H422" i="4" s="1"/>
  <c r="H280" i="3"/>
  <c r="G422" i="4" s="1"/>
  <c r="G280" i="3"/>
  <c r="F422" i="4" s="1"/>
  <c r="F280" i="3"/>
  <c r="E422" i="4" s="1"/>
  <c r="E280" i="3"/>
  <c r="D422" i="4" s="1"/>
  <c r="D280" i="3"/>
  <c r="C422" i="4" s="1"/>
  <c r="C280" i="3"/>
  <c r="B422" i="4" s="1"/>
  <c r="B280" i="3"/>
  <c r="A280" i="3"/>
  <c r="I279" i="3"/>
  <c r="H421" i="4" s="1"/>
  <c r="H279" i="3"/>
  <c r="G421" i="4" s="1"/>
  <c r="G279" i="3"/>
  <c r="F421" i="4" s="1"/>
  <c r="F279" i="3"/>
  <c r="E421" i="4" s="1"/>
  <c r="E279" i="3"/>
  <c r="D421" i="4" s="1"/>
  <c r="D279" i="3"/>
  <c r="C421" i="4" s="1"/>
  <c r="C279" i="3"/>
  <c r="B421" i="4" s="1"/>
  <c r="B279" i="3"/>
  <c r="A279" i="3"/>
  <c r="A421" i="4" s="1"/>
  <c r="I278" i="3"/>
  <c r="H420" i="4" s="1"/>
  <c r="H278" i="3"/>
  <c r="G420" i="4" s="1"/>
  <c r="G278" i="3"/>
  <c r="F420" i="4" s="1"/>
  <c r="F278" i="3"/>
  <c r="E420" i="4" s="1"/>
  <c r="E278" i="3"/>
  <c r="D420" i="4" s="1"/>
  <c r="D278" i="3"/>
  <c r="C420" i="4" s="1"/>
  <c r="C278" i="3"/>
  <c r="B278" i="3"/>
  <c r="A278" i="3"/>
  <c r="A420" i="4" s="1"/>
  <c r="I277" i="3"/>
  <c r="H419" i="4" s="1"/>
  <c r="H277" i="3"/>
  <c r="G419" i="4" s="1"/>
  <c r="G277" i="3"/>
  <c r="F419" i="4" s="1"/>
  <c r="F277" i="3"/>
  <c r="E419" i="4" s="1"/>
  <c r="E277" i="3"/>
  <c r="D419" i="4" s="1"/>
  <c r="D277" i="3"/>
  <c r="C277" i="3"/>
  <c r="B419" i="4" s="1"/>
  <c r="B277" i="3"/>
  <c r="A277" i="3"/>
  <c r="A419" i="4" s="1"/>
  <c r="I276" i="3"/>
  <c r="H418" i="4" s="1"/>
  <c r="H276" i="3"/>
  <c r="G418" i="4" s="1"/>
  <c r="G276" i="3"/>
  <c r="F418" i="4" s="1"/>
  <c r="F276" i="3"/>
  <c r="E418" i="4" s="1"/>
  <c r="E276" i="3"/>
  <c r="D418" i="4" s="1"/>
  <c r="D276" i="3"/>
  <c r="C418" i="4" s="1"/>
  <c r="C276" i="3"/>
  <c r="B418" i="4" s="1"/>
  <c r="B276" i="3"/>
  <c r="A276" i="3"/>
  <c r="A418" i="4" s="1"/>
  <c r="I275" i="3"/>
  <c r="H417" i="4" s="1"/>
  <c r="H275" i="3"/>
  <c r="G417" i="4" s="1"/>
  <c r="G275" i="3"/>
  <c r="F417" i="4" s="1"/>
  <c r="F275" i="3"/>
  <c r="E417" i="4" s="1"/>
  <c r="E275" i="3"/>
  <c r="D417" i="4" s="1"/>
  <c r="D275" i="3"/>
  <c r="C417" i="4" s="1"/>
  <c r="C275" i="3"/>
  <c r="B417" i="4" s="1"/>
  <c r="B275" i="3"/>
  <c r="A275" i="3"/>
  <c r="A417" i="4" s="1"/>
  <c r="I274" i="3"/>
  <c r="H416" i="4" s="1"/>
  <c r="H274" i="3"/>
  <c r="G416" i="4" s="1"/>
  <c r="G274" i="3"/>
  <c r="F274" i="3"/>
  <c r="E416" i="4" s="1"/>
  <c r="E274" i="3"/>
  <c r="D416" i="4" s="1"/>
  <c r="D274" i="3"/>
  <c r="C416" i="4" s="1"/>
  <c r="C274" i="3"/>
  <c r="B416" i="4" s="1"/>
  <c r="B274" i="3"/>
  <c r="A274" i="3"/>
  <c r="A416" i="4" s="1"/>
  <c r="I273" i="3"/>
  <c r="H415" i="4" s="1"/>
  <c r="H273" i="3"/>
  <c r="G273" i="3"/>
  <c r="F415" i="4" s="1"/>
  <c r="F273" i="3"/>
  <c r="E415" i="4" s="1"/>
  <c r="E273" i="3"/>
  <c r="D415" i="4" s="1"/>
  <c r="D273" i="3"/>
  <c r="C415" i="4" s="1"/>
  <c r="C273" i="3"/>
  <c r="B415" i="4" s="1"/>
  <c r="B273" i="3"/>
  <c r="A273" i="3"/>
  <c r="A415" i="4" s="1"/>
  <c r="I272" i="3"/>
  <c r="H414" i="4" s="1"/>
  <c r="H272" i="3"/>
  <c r="G414" i="4" s="1"/>
  <c r="G272" i="3"/>
  <c r="F414" i="4" s="1"/>
  <c r="F272" i="3"/>
  <c r="E414" i="4" s="1"/>
  <c r="E272" i="3"/>
  <c r="D414" i="4" s="1"/>
  <c r="D272" i="3"/>
  <c r="C414" i="4" s="1"/>
  <c r="C272" i="3"/>
  <c r="B414" i="4" s="1"/>
  <c r="B272" i="3"/>
  <c r="A272" i="3"/>
  <c r="I271" i="3"/>
  <c r="H413" i="4" s="1"/>
  <c r="H271" i="3"/>
  <c r="G413" i="4" s="1"/>
  <c r="G271" i="3"/>
  <c r="F413" i="4" s="1"/>
  <c r="F271" i="3"/>
  <c r="E413" i="4" s="1"/>
  <c r="E271" i="3"/>
  <c r="D413" i="4" s="1"/>
  <c r="D271" i="3"/>
  <c r="C413" i="4" s="1"/>
  <c r="C271" i="3"/>
  <c r="B413" i="4" s="1"/>
  <c r="B271" i="3"/>
  <c r="A271" i="3"/>
  <c r="A413" i="4" s="1"/>
  <c r="I270" i="3"/>
  <c r="H412" i="4" s="1"/>
  <c r="H270" i="3"/>
  <c r="G412" i="4" s="1"/>
  <c r="G270" i="3"/>
  <c r="F412" i="4" s="1"/>
  <c r="F270" i="3"/>
  <c r="E412" i="4" s="1"/>
  <c r="E270" i="3"/>
  <c r="D412" i="4" s="1"/>
  <c r="D270" i="3"/>
  <c r="C412" i="4" s="1"/>
  <c r="C270" i="3"/>
  <c r="B270" i="3"/>
  <c r="A270" i="3"/>
  <c r="A412" i="4" s="1"/>
  <c r="I269" i="3"/>
  <c r="H411" i="4" s="1"/>
  <c r="H269" i="3"/>
  <c r="G411" i="4" s="1"/>
  <c r="G269" i="3"/>
  <c r="F411" i="4" s="1"/>
  <c r="F269" i="3"/>
  <c r="E411" i="4" s="1"/>
  <c r="E269" i="3"/>
  <c r="D411" i="4" s="1"/>
  <c r="D269" i="3"/>
  <c r="C269" i="3"/>
  <c r="B411" i="4" s="1"/>
  <c r="B269" i="3"/>
  <c r="A269" i="3"/>
  <c r="A411" i="4" s="1"/>
  <c r="I268" i="3"/>
  <c r="H410" i="4" s="1"/>
  <c r="H268" i="3"/>
  <c r="G410" i="4" s="1"/>
  <c r="G268" i="3"/>
  <c r="F410" i="4" s="1"/>
  <c r="F268" i="3"/>
  <c r="E410" i="4" s="1"/>
  <c r="E268" i="3"/>
  <c r="D410" i="4" s="1"/>
  <c r="D268" i="3"/>
  <c r="C410" i="4" s="1"/>
  <c r="C268" i="3"/>
  <c r="B410" i="4" s="1"/>
  <c r="B268" i="3"/>
  <c r="A268" i="3"/>
  <c r="A410" i="4" s="1"/>
  <c r="I267" i="3"/>
  <c r="H409" i="4" s="1"/>
  <c r="H267" i="3"/>
  <c r="G409" i="4" s="1"/>
  <c r="G267" i="3"/>
  <c r="F409" i="4" s="1"/>
  <c r="F267" i="3"/>
  <c r="E409" i="4" s="1"/>
  <c r="E267" i="3"/>
  <c r="D409" i="4" s="1"/>
  <c r="D267" i="3"/>
  <c r="C409" i="4" s="1"/>
  <c r="C267" i="3"/>
  <c r="B409" i="4" s="1"/>
  <c r="B267" i="3"/>
  <c r="A267" i="3"/>
  <c r="A409" i="4" s="1"/>
  <c r="I266" i="3"/>
  <c r="H408" i="4" s="1"/>
  <c r="H266" i="3"/>
  <c r="G408" i="4" s="1"/>
  <c r="G266" i="3"/>
  <c r="F266" i="3"/>
  <c r="E408" i="4" s="1"/>
  <c r="E266" i="3"/>
  <c r="D408" i="4" s="1"/>
  <c r="D266" i="3"/>
  <c r="C408" i="4" s="1"/>
  <c r="C266" i="3"/>
  <c r="B408" i="4" s="1"/>
  <c r="B266" i="3"/>
  <c r="A266" i="3"/>
  <c r="A408" i="4" s="1"/>
  <c r="I265" i="3"/>
  <c r="H407" i="4" s="1"/>
  <c r="H265" i="3"/>
  <c r="G265" i="3"/>
  <c r="F407" i="4" s="1"/>
  <c r="F265" i="3"/>
  <c r="E407" i="4" s="1"/>
  <c r="E265" i="3"/>
  <c r="D407" i="4" s="1"/>
  <c r="D265" i="3"/>
  <c r="C407" i="4" s="1"/>
  <c r="C265" i="3"/>
  <c r="B407" i="4" s="1"/>
  <c r="B265" i="3"/>
  <c r="A265" i="3"/>
  <c r="A407" i="4" s="1"/>
  <c r="I264" i="3"/>
  <c r="H406" i="4" s="1"/>
  <c r="H264" i="3"/>
  <c r="G406" i="4" s="1"/>
  <c r="G264" i="3"/>
  <c r="F406" i="4" s="1"/>
  <c r="F264" i="3"/>
  <c r="E406" i="4" s="1"/>
  <c r="E264" i="3"/>
  <c r="D406" i="4" s="1"/>
  <c r="D264" i="3"/>
  <c r="C406" i="4" s="1"/>
  <c r="C264" i="3"/>
  <c r="B406" i="4" s="1"/>
  <c r="B264" i="3"/>
  <c r="A264" i="3"/>
  <c r="I263" i="3"/>
  <c r="H405" i="4" s="1"/>
  <c r="H263" i="3"/>
  <c r="G405" i="4" s="1"/>
  <c r="G263" i="3"/>
  <c r="F405" i="4" s="1"/>
  <c r="F263" i="3"/>
  <c r="E405" i="4" s="1"/>
  <c r="E263" i="3"/>
  <c r="D405" i="4" s="1"/>
  <c r="D263" i="3"/>
  <c r="C405" i="4" s="1"/>
  <c r="C263" i="3"/>
  <c r="B405" i="4" s="1"/>
  <c r="B263" i="3"/>
  <c r="A263" i="3"/>
  <c r="A405" i="4" s="1"/>
  <c r="I262" i="3"/>
  <c r="H404" i="4" s="1"/>
  <c r="H262" i="3"/>
  <c r="G404" i="4" s="1"/>
  <c r="G262" i="3"/>
  <c r="F404" i="4" s="1"/>
  <c r="F262" i="3"/>
  <c r="E404" i="4" s="1"/>
  <c r="E262" i="3"/>
  <c r="D404" i="4" s="1"/>
  <c r="D262" i="3"/>
  <c r="C404" i="4" s="1"/>
  <c r="C262" i="3"/>
  <c r="B262" i="3"/>
  <c r="A262" i="3"/>
  <c r="A404" i="4" s="1"/>
  <c r="I261" i="3"/>
  <c r="H403" i="4" s="1"/>
  <c r="H261" i="3"/>
  <c r="G403" i="4" s="1"/>
  <c r="G261" i="3"/>
  <c r="F403" i="4" s="1"/>
  <c r="F261" i="3"/>
  <c r="E403" i="4" s="1"/>
  <c r="E261" i="3"/>
  <c r="D403" i="4" s="1"/>
  <c r="D261" i="3"/>
  <c r="C261" i="3"/>
  <c r="B403" i="4" s="1"/>
  <c r="B261" i="3"/>
  <c r="A261" i="3"/>
  <c r="A403" i="4" s="1"/>
  <c r="I260" i="3"/>
  <c r="H402" i="4" s="1"/>
  <c r="H260" i="3"/>
  <c r="G402" i="4" s="1"/>
  <c r="G260" i="3"/>
  <c r="F402" i="4" s="1"/>
  <c r="F260" i="3"/>
  <c r="E402" i="4" s="1"/>
  <c r="E260" i="3"/>
  <c r="D402" i="4" s="1"/>
  <c r="D260" i="3"/>
  <c r="C402" i="4" s="1"/>
  <c r="C260" i="3"/>
  <c r="B402" i="4" s="1"/>
  <c r="B260" i="3"/>
  <c r="A260" i="3"/>
  <c r="A402" i="4" s="1"/>
  <c r="I259" i="3"/>
  <c r="H401" i="4" s="1"/>
  <c r="H259" i="3"/>
  <c r="G401" i="4" s="1"/>
  <c r="G259" i="3"/>
  <c r="F401" i="4" s="1"/>
  <c r="F259" i="3"/>
  <c r="E401" i="4" s="1"/>
  <c r="E259" i="3"/>
  <c r="D401" i="4" s="1"/>
  <c r="D259" i="3"/>
  <c r="C401" i="4" s="1"/>
  <c r="C259" i="3"/>
  <c r="B401" i="4" s="1"/>
  <c r="B259" i="3"/>
  <c r="A259" i="3"/>
  <c r="A401" i="4" s="1"/>
  <c r="I258" i="3"/>
  <c r="H400" i="4" s="1"/>
  <c r="H258" i="3"/>
  <c r="G400" i="4" s="1"/>
  <c r="G258" i="3"/>
  <c r="F258" i="3"/>
  <c r="E400" i="4" s="1"/>
  <c r="E258" i="3"/>
  <c r="D400" i="4" s="1"/>
  <c r="D258" i="3"/>
  <c r="C400" i="4" s="1"/>
  <c r="C258" i="3"/>
  <c r="B400" i="4" s="1"/>
  <c r="B258" i="3"/>
  <c r="A258" i="3"/>
  <c r="A400" i="4" s="1"/>
  <c r="I257" i="3"/>
  <c r="H399" i="4" s="1"/>
  <c r="H257" i="3"/>
  <c r="G257" i="3"/>
  <c r="F399" i="4" s="1"/>
  <c r="F257" i="3"/>
  <c r="E399" i="4" s="1"/>
  <c r="E257" i="3"/>
  <c r="D399" i="4" s="1"/>
  <c r="D257" i="3"/>
  <c r="C399" i="4" s="1"/>
  <c r="C257" i="3"/>
  <c r="B399" i="4" s="1"/>
  <c r="B257" i="3"/>
  <c r="A257" i="3"/>
  <c r="A399" i="4" s="1"/>
  <c r="I256" i="3"/>
  <c r="H398" i="4" s="1"/>
  <c r="H256" i="3"/>
  <c r="G398" i="4" s="1"/>
  <c r="G256" i="3"/>
  <c r="F398" i="4" s="1"/>
  <c r="F256" i="3"/>
  <c r="E398" i="4" s="1"/>
  <c r="E256" i="3"/>
  <c r="D398" i="4" s="1"/>
  <c r="D256" i="3"/>
  <c r="C398" i="4" s="1"/>
  <c r="C256" i="3"/>
  <c r="B398" i="4" s="1"/>
  <c r="B256" i="3"/>
  <c r="A256" i="3"/>
  <c r="I255" i="3"/>
  <c r="H397" i="4" s="1"/>
  <c r="H255" i="3"/>
  <c r="G397" i="4" s="1"/>
  <c r="G255" i="3"/>
  <c r="F397" i="4" s="1"/>
  <c r="F255" i="3"/>
  <c r="E397" i="4" s="1"/>
  <c r="E255" i="3"/>
  <c r="D397" i="4" s="1"/>
  <c r="D255" i="3"/>
  <c r="C397" i="4" s="1"/>
  <c r="C255" i="3"/>
  <c r="B397" i="4" s="1"/>
  <c r="B255" i="3"/>
  <c r="A255" i="3"/>
  <c r="A397" i="4" s="1"/>
  <c r="I254" i="3"/>
  <c r="H396" i="4" s="1"/>
  <c r="H254" i="3"/>
  <c r="G396" i="4" s="1"/>
  <c r="G254" i="3"/>
  <c r="F396" i="4" s="1"/>
  <c r="F254" i="3"/>
  <c r="E396" i="4" s="1"/>
  <c r="E254" i="3"/>
  <c r="D396" i="4" s="1"/>
  <c r="D254" i="3"/>
  <c r="C396" i="4" s="1"/>
  <c r="C254" i="3"/>
  <c r="B254" i="3"/>
  <c r="A254" i="3"/>
  <c r="A396" i="4" s="1"/>
  <c r="I253" i="3"/>
  <c r="H395" i="4" s="1"/>
  <c r="H253" i="3"/>
  <c r="G395" i="4" s="1"/>
  <c r="G253" i="3"/>
  <c r="F395" i="4" s="1"/>
  <c r="F253" i="3"/>
  <c r="E395" i="4" s="1"/>
  <c r="E253" i="3"/>
  <c r="D395" i="4" s="1"/>
  <c r="D253" i="3"/>
  <c r="C253" i="3"/>
  <c r="B395" i="4" s="1"/>
  <c r="B253" i="3"/>
  <c r="A253" i="3"/>
  <c r="A395" i="4" s="1"/>
  <c r="I252" i="3"/>
  <c r="H394" i="4" s="1"/>
  <c r="H252" i="3"/>
  <c r="G394" i="4" s="1"/>
  <c r="G252" i="3"/>
  <c r="F394" i="4" s="1"/>
  <c r="F252" i="3"/>
  <c r="E394" i="4" s="1"/>
  <c r="E252" i="3"/>
  <c r="D394" i="4" s="1"/>
  <c r="D252" i="3"/>
  <c r="C394" i="4" s="1"/>
  <c r="C252" i="3"/>
  <c r="B394" i="4" s="1"/>
  <c r="B252" i="3"/>
  <c r="A252" i="3"/>
  <c r="A394" i="4" s="1"/>
  <c r="I251" i="3"/>
  <c r="H393" i="4" s="1"/>
  <c r="H251" i="3"/>
  <c r="G393" i="4" s="1"/>
  <c r="G251" i="3"/>
  <c r="F393" i="4" s="1"/>
  <c r="F251" i="3"/>
  <c r="E393" i="4" s="1"/>
  <c r="E251" i="3"/>
  <c r="D393" i="4" s="1"/>
  <c r="D251" i="3"/>
  <c r="C393" i="4" s="1"/>
  <c r="C251" i="3"/>
  <c r="B393" i="4" s="1"/>
  <c r="B251" i="3"/>
  <c r="A251" i="3"/>
  <c r="A393" i="4" s="1"/>
  <c r="I250" i="3"/>
  <c r="H392" i="4" s="1"/>
  <c r="H250" i="3"/>
  <c r="G392" i="4" s="1"/>
  <c r="G250" i="3"/>
  <c r="F250" i="3"/>
  <c r="E392" i="4" s="1"/>
  <c r="E250" i="3"/>
  <c r="D392" i="4" s="1"/>
  <c r="D250" i="3"/>
  <c r="C392" i="4" s="1"/>
  <c r="C250" i="3"/>
  <c r="B392" i="4" s="1"/>
  <c r="B250" i="3"/>
  <c r="A250" i="3"/>
  <c r="A392" i="4" s="1"/>
  <c r="I249" i="3"/>
  <c r="H391" i="4" s="1"/>
  <c r="H249" i="3"/>
  <c r="G249" i="3"/>
  <c r="F391" i="4" s="1"/>
  <c r="F249" i="3"/>
  <c r="E391" i="4" s="1"/>
  <c r="E249" i="3"/>
  <c r="D391" i="4" s="1"/>
  <c r="D249" i="3"/>
  <c r="C391" i="4" s="1"/>
  <c r="C249" i="3"/>
  <c r="B391" i="4" s="1"/>
  <c r="B249" i="3"/>
  <c r="A249" i="3"/>
  <c r="A391" i="4" s="1"/>
  <c r="I248" i="3"/>
  <c r="H390" i="4" s="1"/>
  <c r="H248" i="3"/>
  <c r="G390" i="4" s="1"/>
  <c r="G248" i="3"/>
  <c r="F390" i="4" s="1"/>
  <c r="F248" i="3"/>
  <c r="E390" i="4" s="1"/>
  <c r="E248" i="3"/>
  <c r="D390" i="4" s="1"/>
  <c r="D248" i="3"/>
  <c r="C390" i="4" s="1"/>
  <c r="C248" i="3"/>
  <c r="B390" i="4" s="1"/>
  <c r="B248" i="3"/>
  <c r="A248" i="3"/>
  <c r="I247" i="3"/>
  <c r="H389" i="4" s="1"/>
  <c r="H247" i="3"/>
  <c r="G389" i="4" s="1"/>
  <c r="G247" i="3"/>
  <c r="F389" i="4" s="1"/>
  <c r="F247" i="3"/>
  <c r="E389" i="4" s="1"/>
  <c r="E247" i="3"/>
  <c r="D389" i="4" s="1"/>
  <c r="D247" i="3"/>
  <c r="C389" i="4" s="1"/>
  <c r="C247" i="3"/>
  <c r="B389" i="4" s="1"/>
  <c r="B247" i="3"/>
  <c r="A247" i="3"/>
  <c r="A389" i="4" s="1"/>
  <c r="I246" i="3"/>
  <c r="H388" i="4" s="1"/>
  <c r="H246" i="3"/>
  <c r="G388" i="4" s="1"/>
  <c r="G246" i="3"/>
  <c r="F388" i="4" s="1"/>
  <c r="F246" i="3"/>
  <c r="E388" i="4" s="1"/>
  <c r="E246" i="3"/>
  <c r="D388" i="4" s="1"/>
  <c r="D246" i="3"/>
  <c r="C388" i="4" s="1"/>
  <c r="C246" i="3"/>
  <c r="B246" i="3"/>
  <c r="A246" i="3"/>
  <c r="A388" i="4" s="1"/>
  <c r="I245" i="3"/>
  <c r="H387" i="4" s="1"/>
  <c r="H245" i="3"/>
  <c r="G387" i="4" s="1"/>
  <c r="G245" i="3"/>
  <c r="F387" i="4" s="1"/>
  <c r="F245" i="3"/>
  <c r="E387" i="4" s="1"/>
  <c r="E245" i="3"/>
  <c r="D387" i="4" s="1"/>
  <c r="D245" i="3"/>
  <c r="C245" i="3"/>
  <c r="B387" i="4" s="1"/>
  <c r="B245" i="3"/>
  <c r="A245" i="3"/>
  <c r="A387" i="4" s="1"/>
  <c r="I244" i="3"/>
  <c r="H386" i="4" s="1"/>
  <c r="H244" i="3"/>
  <c r="G386" i="4" s="1"/>
  <c r="G244" i="3"/>
  <c r="F386" i="4" s="1"/>
  <c r="F244" i="3"/>
  <c r="E386" i="4" s="1"/>
  <c r="E244" i="3"/>
  <c r="D386" i="4" s="1"/>
  <c r="D244" i="3"/>
  <c r="C386" i="4" s="1"/>
  <c r="C244" i="3"/>
  <c r="B386" i="4" s="1"/>
  <c r="B244" i="3"/>
  <c r="A244" i="3"/>
  <c r="A386" i="4" s="1"/>
  <c r="I243" i="3"/>
  <c r="H385" i="4" s="1"/>
  <c r="H243" i="3"/>
  <c r="G385" i="4" s="1"/>
  <c r="G243" i="3"/>
  <c r="F385" i="4" s="1"/>
  <c r="F243" i="3"/>
  <c r="E385" i="4" s="1"/>
  <c r="E243" i="3"/>
  <c r="D385" i="4" s="1"/>
  <c r="D243" i="3"/>
  <c r="C385" i="4" s="1"/>
  <c r="C243" i="3"/>
  <c r="B385" i="4" s="1"/>
  <c r="B243" i="3"/>
  <c r="A243" i="3"/>
  <c r="A385" i="4" s="1"/>
  <c r="I242" i="3"/>
  <c r="H384" i="4" s="1"/>
  <c r="H242" i="3"/>
  <c r="G384" i="4" s="1"/>
  <c r="G242" i="3"/>
  <c r="F242" i="3"/>
  <c r="E384" i="4" s="1"/>
  <c r="E242" i="3"/>
  <c r="D384" i="4" s="1"/>
  <c r="D242" i="3"/>
  <c r="C384" i="4" s="1"/>
  <c r="C242" i="3"/>
  <c r="B384" i="4" s="1"/>
  <c r="B242" i="3"/>
  <c r="A242" i="3"/>
  <c r="A384" i="4" s="1"/>
  <c r="I241" i="3"/>
  <c r="H383" i="4" s="1"/>
  <c r="H241" i="3"/>
  <c r="G241" i="3"/>
  <c r="F383" i="4" s="1"/>
  <c r="F241" i="3"/>
  <c r="E383" i="4" s="1"/>
  <c r="E241" i="3"/>
  <c r="D383" i="4" s="1"/>
  <c r="D241" i="3"/>
  <c r="C383" i="4" s="1"/>
  <c r="C241" i="3"/>
  <c r="B383" i="4" s="1"/>
  <c r="B241" i="3"/>
  <c r="A241" i="3"/>
  <c r="A383" i="4" s="1"/>
  <c r="I240" i="3"/>
  <c r="H382" i="4" s="1"/>
  <c r="H240" i="3"/>
  <c r="G382" i="4" s="1"/>
  <c r="G240" i="3"/>
  <c r="F382" i="4" s="1"/>
  <c r="F240" i="3"/>
  <c r="E382" i="4" s="1"/>
  <c r="E240" i="3"/>
  <c r="D382" i="4" s="1"/>
  <c r="D240" i="3"/>
  <c r="C382" i="4" s="1"/>
  <c r="C240" i="3"/>
  <c r="B382" i="4" s="1"/>
  <c r="B240" i="3"/>
  <c r="A240" i="3"/>
  <c r="I239" i="3"/>
  <c r="H381" i="4" s="1"/>
  <c r="H239" i="3"/>
  <c r="G381" i="4" s="1"/>
  <c r="G239" i="3"/>
  <c r="F381" i="4" s="1"/>
  <c r="F239" i="3"/>
  <c r="E381" i="4" s="1"/>
  <c r="E239" i="3"/>
  <c r="D381" i="4" s="1"/>
  <c r="D239" i="3"/>
  <c r="C381" i="4" s="1"/>
  <c r="C239" i="3"/>
  <c r="B381" i="4" s="1"/>
  <c r="B239" i="3"/>
  <c r="A239" i="3"/>
  <c r="A381" i="4" s="1"/>
  <c r="I238" i="3"/>
  <c r="H380" i="4" s="1"/>
  <c r="H238" i="3"/>
  <c r="G380" i="4" s="1"/>
  <c r="G238" i="3"/>
  <c r="F380" i="4" s="1"/>
  <c r="F238" i="3"/>
  <c r="E380" i="4" s="1"/>
  <c r="E238" i="3"/>
  <c r="D380" i="4" s="1"/>
  <c r="D238" i="3"/>
  <c r="C380" i="4" s="1"/>
  <c r="C238" i="3"/>
  <c r="B238" i="3"/>
  <c r="A238" i="3"/>
  <c r="A380" i="4" s="1"/>
  <c r="I237" i="3"/>
  <c r="H379" i="4" s="1"/>
  <c r="H237" i="3"/>
  <c r="G379" i="4" s="1"/>
  <c r="G237" i="3"/>
  <c r="F379" i="4" s="1"/>
  <c r="F237" i="3"/>
  <c r="E379" i="4" s="1"/>
  <c r="E237" i="3"/>
  <c r="D379" i="4" s="1"/>
  <c r="D237" i="3"/>
  <c r="C237" i="3"/>
  <c r="B379" i="4" s="1"/>
  <c r="B237" i="3"/>
  <c r="A237" i="3"/>
  <c r="A379" i="4" s="1"/>
  <c r="I236" i="3"/>
  <c r="H378" i="4" s="1"/>
  <c r="H236" i="3"/>
  <c r="G378" i="4" s="1"/>
  <c r="G236" i="3"/>
  <c r="F378" i="4" s="1"/>
  <c r="F236" i="3"/>
  <c r="E378" i="4" s="1"/>
  <c r="E236" i="3"/>
  <c r="D378" i="4" s="1"/>
  <c r="D236" i="3"/>
  <c r="C378" i="4" s="1"/>
  <c r="C236" i="3"/>
  <c r="B378" i="4" s="1"/>
  <c r="B236" i="3"/>
  <c r="A236" i="3"/>
  <c r="A378" i="4" s="1"/>
  <c r="I235" i="3"/>
  <c r="H377" i="4" s="1"/>
  <c r="H235" i="3"/>
  <c r="G377" i="4" s="1"/>
  <c r="G235" i="3"/>
  <c r="F377" i="4" s="1"/>
  <c r="F235" i="3"/>
  <c r="E377" i="4" s="1"/>
  <c r="E235" i="3"/>
  <c r="D377" i="4" s="1"/>
  <c r="D235" i="3"/>
  <c r="C377" i="4" s="1"/>
  <c r="C235" i="3"/>
  <c r="B377" i="4" s="1"/>
  <c r="B235" i="3"/>
  <c r="A235" i="3"/>
  <c r="A377" i="4" s="1"/>
  <c r="I234" i="3"/>
  <c r="H376" i="4" s="1"/>
  <c r="H234" i="3"/>
  <c r="G376" i="4" s="1"/>
  <c r="G234" i="3"/>
  <c r="F234" i="3"/>
  <c r="E376" i="4" s="1"/>
  <c r="E234" i="3"/>
  <c r="D376" i="4" s="1"/>
  <c r="D234" i="3"/>
  <c r="C376" i="4" s="1"/>
  <c r="C234" i="3"/>
  <c r="B376" i="4" s="1"/>
  <c r="B234" i="3"/>
  <c r="A234" i="3"/>
  <c r="A376" i="4" s="1"/>
  <c r="I233" i="3"/>
  <c r="H375" i="4" s="1"/>
  <c r="H233" i="3"/>
  <c r="G233" i="3"/>
  <c r="F375" i="4" s="1"/>
  <c r="F233" i="3"/>
  <c r="E375" i="4" s="1"/>
  <c r="E233" i="3"/>
  <c r="D375" i="4" s="1"/>
  <c r="D233" i="3"/>
  <c r="C375" i="4" s="1"/>
  <c r="C233" i="3"/>
  <c r="B375" i="4" s="1"/>
  <c r="B233" i="3"/>
  <c r="A233" i="3"/>
  <c r="A375" i="4" s="1"/>
  <c r="I232" i="3"/>
  <c r="H374" i="4" s="1"/>
  <c r="H232" i="3"/>
  <c r="G374" i="4" s="1"/>
  <c r="G232" i="3"/>
  <c r="F374" i="4" s="1"/>
  <c r="F232" i="3"/>
  <c r="E374" i="4" s="1"/>
  <c r="E232" i="3"/>
  <c r="D374" i="4" s="1"/>
  <c r="D232" i="3"/>
  <c r="C374" i="4" s="1"/>
  <c r="C232" i="3"/>
  <c r="B374" i="4" s="1"/>
  <c r="B232" i="3"/>
  <c r="A232" i="3"/>
  <c r="I231" i="3"/>
  <c r="H373" i="4" s="1"/>
  <c r="H231" i="3"/>
  <c r="G373" i="4" s="1"/>
  <c r="G231" i="3"/>
  <c r="F373" i="4" s="1"/>
  <c r="F231" i="3"/>
  <c r="E373" i="4" s="1"/>
  <c r="E231" i="3"/>
  <c r="D373" i="4" s="1"/>
  <c r="D231" i="3"/>
  <c r="C373" i="4" s="1"/>
  <c r="C231" i="3"/>
  <c r="B373" i="4" s="1"/>
  <c r="B231" i="3"/>
  <c r="A231" i="3"/>
  <c r="A373" i="4" s="1"/>
  <c r="I230" i="3"/>
  <c r="H372" i="4" s="1"/>
  <c r="H230" i="3"/>
  <c r="G372" i="4" s="1"/>
  <c r="G230" i="3"/>
  <c r="F372" i="4" s="1"/>
  <c r="F230" i="3"/>
  <c r="E372" i="4" s="1"/>
  <c r="E230" i="3"/>
  <c r="D372" i="4" s="1"/>
  <c r="D230" i="3"/>
  <c r="C372" i="4" s="1"/>
  <c r="C230" i="3"/>
  <c r="B230" i="3"/>
  <c r="A230" i="3"/>
  <c r="A372" i="4" s="1"/>
  <c r="I229" i="3"/>
  <c r="H371" i="4" s="1"/>
  <c r="H229" i="3"/>
  <c r="G371" i="4" s="1"/>
  <c r="G229" i="3"/>
  <c r="F371" i="4" s="1"/>
  <c r="F229" i="3"/>
  <c r="E371" i="4" s="1"/>
  <c r="E229" i="3"/>
  <c r="D371" i="4" s="1"/>
  <c r="D229" i="3"/>
  <c r="C229" i="3"/>
  <c r="B371" i="4" s="1"/>
  <c r="B229" i="3"/>
  <c r="A229" i="3"/>
  <c r="A371" i="4" s="1"/>
  <c r="I228" i="3"/>
  <c r="H370" i="4" s="1"/>
  <c r="H228" i="3"/>
  <c r="G370" i="4" s="1"/>
  <c r="G228" i="3"/>
  <c r="F370" i="4" s="1"/>
  <c r="F228" i="3"/>
  <c r="E370" i="4" s="1"/>
  <c r="E228" i="3"/>
  <c r="D370" i="4" s="1"/>
  <c r="D228" i="3"/>
  <c r="C370" i="4" s="1"/>
  <c r="C228" i="3"/>
  <c r="B370" i="4" s="1"/>
  <c r="B228" i="3"/>
  <c r="A228" i="3"/>
  <c r="A370" i="4" s="1"/>
  <c r="I227" i="3"/>
  <c r="H369" i="4" s="1"/>
  <c r="H227" i="3"/>
  <c r="G369" i="4" s="1"/>
  <c r="G227" i="3"/>
  <c r="F369" i="4" s="1"/>
  <c r="F227" i="3"/>
  <c r="E369" i="4" s="1"/>
  <c r="E227" i="3"/>
  <c r="D369" i="4" s="1"/>
  <c r="D227" i="3"/>
  <c r="C369" i="4" s="1"/>
  <c r="C227" i="3"/>
  <c r="B369" i="4" s="1"/>
  <c r="B227" i="3"/>
  <c r="A227" i="3"/>
  <c r="A369" i="4" s="1"/>
  <c r="I226" i="3"/>
  <c r="H368" i="4" s="1"/>
  <c r="H226" i="3"/>
  <c r="G368" i="4" s="1"/>
  <c r="G226" i="3"/>
  <c r="F226" i="3"/>
  <c r="E368" i="4" s="1"/>
  <c r="E226" i="3"/>
  <c r="D368" i="4" s="1"/>
  <c r="D226" i="3"/>
  <c r="C368" i="4" s="1"/>
  <c r="C226" i="3"/>
  <c r="B368" i="4" s="1"/>
  <c r="B226" i="3"/>
  <c r="A226" i="3"/>
  <c r="A368" i="4" s="1"/>
  <c r="I225" i="3"/>
  <c r="H367" i="4" s="1"/>
  <c r="H225" i="3"/>
  <c r="G225" i="3"/>
  <c r="F367" i="4" s="1"/>
  <c r="F225" i="3"/>
  <c r="E367" i="4" s="1"/>
  <c r="E225" i="3"/>
  <c r="D367" i="4" s="1"/>
  <c r="D225" i="3"/>
  <c r="C367" i="4" s="1"/>
  <c r="C225" i="3"/>
  <c r="B367" i="4" s="1"/>
  <c r="B225" i="3"/>
  <c r="A225" i="3"/>
  <c r="A367" i="4" s="1"/>
  <c r="I224" i="3"/>
  <c r="H366" i="4" s="1"/>
  <c r="H224" i="3"/>
  <c r="G366" i="4" s="1"/>
  <c r="G224" i="3"/>
  <c r="F366" i="4" s="1"/>
  <c r="F224" i="3"/>
  <c r="E366" i="4" s="1"/>
  <c r="E224" i="3"/>
  <c r="D366" i="4" s="1"/>
  <c r="D224" i="3"/>
  <c r="C366" i="4" s="1"/>
  <c r="C224" i="3"/>
  <c r="B366" i="4" s="1"/>
  <c r="B224" i="3"/>
  <c r="A224" i="3"/>
  <c r="I223" i="3"/>
  <c r="H365" i="4" s="1"/>
  <c r="H223" i="3"/>
  <c r="G365" i="4" s="1"/>
  <c r="G223" i="3"/>
  <c r="F365" i="4" s="1"/>
  <c r="F223" i="3"/>
  <c r="E365" i="4" s="1"/>
  <c r="E223" i="3"/>
  <c r="D365" i="4" s="1"/>
  <c r="D223" i="3"/>
  <c r="C365" i="4" s="1"/>
  <c r="C223" i="3"/>
  <c r="B365" i="4" s="1"/>
  <c r="B223" i="3"/>
  <c r="A223" i="3"/>
  <c r="A365" i="4" s="1"/>
  <c r="I222" i="3"/>
  <c r="H364" i="4" s="1"/>
  <c r="H222" i="3"/>
  <c r="G364" i="4" s="1"/>
  <c r="G222" i="3"/>
  <c r="F364" i="4" s="1"/>
  <c r="F222" i="3"/>
  <c r="E364" i="4" s="1"/>
  <c r="E222" i="3"/>
  <c r="D364" i="4" s="1"/>
  <c r="D222" i="3"/>
  <c r="C364" i="4" s="1"/>
  <c r="C222" i="3"/>
  <c r="B222" i="3"/>
  <c r="A222" i="3"/>
  <c r="A364" i="4" s="1"/>
  <c r="I221" i="3"/>
  <c r="H363" i="4" s="1"/>
  <c r="H221" i="3"/>
  <c r="G363" i="4" s="1"/>
  <c r="G221" i="3"/>
  <c r="F363" i="4" s="1"/>
  <c r="F221" i="3"/>
  <c r="E363" i="4" s="1"/>
  <c r="E221" i="3"/>
  <c r="D363" i="4" s="1"/>
  <c r="D221" i="3"/>
  <c r="C221" i="3"/>
  <c r="B363" i="4" s="1"/>
  <c r="B221" i="3"/>
  <c r="A221" i="3"/>
  <c r="A363" i="4" s="1"/>
  <c r="I220" i="3"/>
  <c r="H362" i="4" s="1"/>
  <c r="H220" i="3"/>
  <c r="G362" i="4" s="1"/>
  <c r="G220" i="3"/>
  <c r="F362" i="4" s="1"/>
  <c r="F220" i="3"/>
  <c r="E362" i="4" s="1"/>
  <c r="E220" i="3"/>
  <c r="D362" i="4" s="1"/>
  <c r="D220" i="3"/>
  <c r="C362" i="4" s="1"/>
  <c r="C220" i="3"/>
  <c r="B362" i="4" s="1"/>
  <c r="B220" i="3"/>
  <c r="A220" i="3"/>
  <c r="A362" i="4" s="1"/>
  <c r="I219" i="3"/>
  <c r="H361" i="4" s="1"/>
  <c r="H219" i="3"/>
  <c r="G361" i="4" s="1"/>
  <c r="G219" i="3"/>
  <c r="F361" i="4" s="1"/>
  <c r="F219" i="3"/>
  <c r="E361" i="4" s="1"/>
  <c r="E219" i="3"/>
  <c r="D361" i="4" s="1"/>
  <c r="D219" i="3"/>
  <c r="C361" i="4" s="1"/>
  <c r="C219" i="3"/>
  <c r="B361" i="4" s="1"/>
  <c r="B219" i="3"/>
  <c r="A219" i="3"/>
  <c r="A361" i="4" s="1"/>
  <c r="I218" i="3"/>
  <c r="H360" i="4" s="1"/>
  <c r="H218" i="3"/>
  <c r="G360" i="4" s="1"/>
  <c r="G218" i="3"/>
  <c r="F218" i="3"/>
  <c r="E360" i="4" s="1"/>
  <c r="E218" i="3"/>
  <c r="D360" i="4" s="1"/>
  <c r="D218" i="3"/>
  <c r="C360" i="4" s="1"/>
  <c r="C218" i="3"/>
  <c r="B360" i="4" s="1"/>
  <c r="B218" i="3"/>
  <c r="A218" i="3"/>
  <c r="A360" i="4" s="1"/>
  <c r="I217" i="3"/>
  <c r="H359" i="4" s="1"/>
  <c r="H217" i="3"/>
  <c r="G217" i="3"/>
  <c r="F359" i="4" s="1"/>
  <c r="F217" i="3"/>
  <c r="E359" i="4" s="1"/>
  <c r="E217" i="3"/>
  <c r="D359" i="4" s="1"/>
  <c r="D217" i="3"/>
  <c r="C359" i="4" s="1"/>
  <c r="C217" i="3"/>
  <c r="B359" i="4" s="1"/>
  <c r="B217" i="3"/>
  <c r="A217" i="3"/>
  <c r="A359" i="4" s="1"/>
  <c r="I216" i="3"/>
  <c r="H358" i="4" s="1"/>
  <c r="H216" i="3"/>
  <c r="G358" i="4" s="1"/>
  <c r="G216" i="3"/>
  <c r="F358" i="4" s="1"/>
  <c r="F216" i="3"/>
  <c r="E358" i="4" s="1"/>
  <c r="E216" i="3"/>
  <c r="D358" i="4" s="1"/>
  <c r="D216" i="3"/>
  <c r="C358" i="4" s="1"/>
  <c r="C216" i="3"/>
  <c r="B358" i="4" s="1"/>
  <c r="B216" i="3"/>
  <c r="A216" i="3"/>
  <c r="I215" i="3"/>
  <c r="H357" i="4" s="1"/>
  <c r="H215" i="3"/>
  <c r="G357" i="4" s="1"/>
  <c r="G215" i="3"/>
  <c r="F357" i="4" s="1"/>
  <c r="F215" i="3"/>
  <c r="E357" i="4" s="1"/>
  <c r="E215" i="3"/>
  <c r="D357" i="4" s="1"/>
  <c r="D215" i="3"/>
  <c r="C357" i="4" s="1"/>
  <c r="C215" i="3"/>
  <c r="B357" i="4" s="1"/>
  <c r="B215" i="3"/>
  <c r="A215" i="3"/>
  <c r="A357" i="4" s="1"/>
  <c r="I214" i="3"/>
  <c r="H356" i="4" s="1"/>
  <c r="H214" i="3"/>
  <c r="G356" i="4" s="1"/>
  <c r="G214" i="3"/>
  <c r="F356" i="4" s="1"/>
  <c r="F214" i="3"/>
  <c r="E356" i="4" s="1"/>
  <c r="E214" i="3"/>
  <c r="D356" i="4" s="1"/>
  <c r="D214" i="3"/>
  <c r="C356" i="4" s="1"/>
  <c r="C214" i="3"/>
  <c r="B356" i="4" s="1"/>
  <c r="B214" i="3"/>
  <c r="A214" i="3"/>
  <c r="A356" i="4" s="1"/>
  <c r="I213" i="3"/>
  <c r="H355" i="4" s="1"/>
  <c r="H213" i="3"/>
  <c r="G355" i="4" s="1"/>
  <c r="G213" i="3"/>
  <c r="F355" i="4" s="1"/>
  <c r="F213" i="3"/>
  <c r="E355" i="4" s="1"/>
  <c r="E213" i="3"/>
  <c r="D355" i="4" s="1"/>
  <c r="D213" i="3"/>
  <c r="C213" i="3"/>
  <c r="B355" i="4" s="1"/>
  <c r="B213" i="3"/>
  <c r="A213" i="3"/>
  <c r="A355" i="4" s="1"/>
  <c r="I212" i="3"/>
  <c r="H354" i="4" s="1"/>
  <c r="H212" i="3"/>
  <c r="G354" i="4" s="1"/>
  <c r="G212" i="3"/>
  <c r="F354" i="4" s="1"/>
  <c r="F212" i="3"/>
  <c r="E354" i="4" s="1"/>
  <c r="E212" i="3"/>
  <c r="D354" i="4" s="1"/>
  <c r="D212" i="3"/>
  <c r="C354" i="4" s="1"/>
  <c r="C212" i="3"/>
  <c r="B354" i="4" s="1"/>
  <c r="B212" i="3"/>
  <c r="A212" i="3"/>
  <c r="A354" i="4" s="1"/>
  <c r="I211" i="3"/>
  <c r="H353" i="4" s="1"/>
  <c r="H211" i="3"/>
  <c r="G353" i="4" s="1"/>
  <c r="G211" i="3"/>
  <c r="F353" i="4" s="1"/>
  <c r="F211" i="3"/>
  <c r="E353" i="4" s="1"/>
  <c r="E211" i="3"/>
  <c r="D353" i="4" s="1"/>
  <c r="D211" i="3"/>
  <c r="C353" i="4" s="1"/>
  <c r="C211" i="3"/>
  <c r="B353" i="4" s="1"/>
  <c r="B211" i="3"/>
  <c r="A211" i="3"/>
  <c r="A353" i="4" s="1"/>
  <c r="I210" i="3"/>
  <c r="H352" i="4" s="1"/>
  <c r="H210" i="3"/>
  <c r="G352" i="4" s="1"/>
  <c r="G210" i="3"/>
  <c r="F210" i="3"/>
  <c r="E352" i="4" s="1"/>
  <c r="E210" i="3"/>
  <c r="D352" i="4" s="1"/>
  <c r="D210" i="3"/>
  <c r="C352" i="4" s="1"/>
  <c r="C210" i="3"/>
  <c r="B352" i="4" s="1"/>
  <c r="B210" i="3"/>
  <c r="A210" i="3"/>
  <c r="A352" i="4" s="1"/>
  <c r="I209" i="3"/>
  <c r="H351" i="4" s="1"/>
  <c r="H209" i="3"/>
  <c r="G209" i="3"/>
  <c r="F351" i="4" s="1"/>
  <c r="F209" i="3"/>
  <c r="E351" i="4" s="1"/>
  <c r="E209" i="3"/>
  <c r="D351" i="4" s="1"/>
  <c r="D209" i="3"/>
  <c r="C351" i="4" s="1"/>
  <c r="C209" i="3"/>
  <c r="B351" i="4" s="1"/>
  <c r="B209" i="3"/>
  <c r="A209" i="3"/>
  <c r="A351" i="4" s="1"/>
  <c r="I208" i="3"/>
  <c r="H350" i="4" s="1"/>
  <c r="H208" i="3"/>
  <c r="G350" i="4" s="1"/>
  <c r="G208" i="3"/>
  <c r="F350" i="4" s="1"/>
  <c r="F208" i="3"/>
  <c r="E350" i="4" s="1"/>
  <c r="E208" i="3"/>
  <c r="D350" i="4" s="1"/>
  <c r="D208" i="3"/>
  <c r="C350" i="4" s="1"/>
  <c r="C208" i="3"/>
  <c r="B350" i="4" s="1"/>
  <c r="B208" i="3"/>
  <c r="A208" i="3"/>
  <c r="I207" i="3"/>
  <c r="H349" i="4" s="1"/>
  <c r="H207" i="3"/>
  <c r="G349" i="4" s="1"/>
  <c r="G207" i="3"/>
  <c r="F349" i="4" s="1"/>
  <c r="F207" i="3"/>
  <c r="E349" i="4" s="1"/>
  <c r="E207" i="3"/>
  <c r="D349" i="4" s="1"/>
  <c r="D207" i="3"/>
  <c r="C349" i="4" s="1"/>
  <c r="C207" i="3"/>
  <c r="B349" i="4" s="1"/>
  <c r="B207" i="3"/>
  <c r="A207" i="3"/>
  <c r="A349" i="4" s="1"/>
  <c r="I206" i="3"/>
  <c r="H348" i="4" s="1"/>
  <c r="H206" i="3"/>
  <c r="G348" i="4" s="1"/>
  <c r="G206" i="3"/>
  <c r="F348" i="4" s="1"/>
  <c r="F206" i="3"/>
  <c r="E348" i="4" s="1"/>
  <c r="E206" i="3"/>
  <c r="D348" i="4" s="1"/>
  <c r="D206" i="3"/>
  <c r="C348" i="4" s="1"/>
  <c r="C206" i="3"/>
  <c r="B348" i="4" s="1"/>
  <c r="B206" i="3"/>
  <c r="A206" i="3"/>
  <c r="A348" i="4" s="1"/>
  <c r="I205" i="3"/>
  <c r="H347" i="4" s="1"/>
  <c r="H205" i="3"/>
  <c r="G347" i="4" s="1"/>
  <c r="G205" i="3"/>
  <c r="F347" i="4" s="1"/>
  <c r="F205" i="3"/>
  <c r="E347" i="4" s="1"/>
  <c r="E205" i="3"/>
  <c r="D347" i="4" s="1"/>
  <c r="D205" i="3"/>
  <c r="C205" i="3"/>
  <c r="B347" i="4" s="1"/>
  <c r="B205" i="3"/>
  <c r="A205" i="3"/>
  <c r="A347" i="4" s="1"/>
  <c r="I204" i="3"/>
  <c r="H346" i="4" s="1"/>
  <c r="H204" i="3"/>
  <c r="G346" i="4" s="1"/>
  <c r="G204" i="3"/>
  <c r="F346" i="4" s="1"/>
  <c r="F204" i="3"/>
  <c r="E346" i="4" s="1"/>
  <c r="E204" i="3"/>
  <c r="D346" i="4" s="1"/>
  <c r="D204" i="3"/>
  <c r="C346" i="4" s="1"/>
  <c r="C204" i="3"/>
  <c r="B346" i="4" s="1"/>
  <c r="B204" i="3"/>
  <c r="A204" i="3"/>
  <c r="A346" i="4" s="1"/>
  <c r="I203" i="3"/>
  <c r="H345" i="4" s="1"/>
  <c r="H203" i="3"/>
  <c r="G345" i="4" s="1"/>
  <c r="G203" i="3"/>
  <c r="F345" i="4" s="1"/>
  <c r="F203" i="3"/>
  <c r="E345" i="4" s="1"/>
  <c r="E203" i="3"/>
  <c r="D345" i="4" s="1"/>
  <c r="D203" i="3"/>
  <c r="C345" i="4" s="1"/>
  <c r="C203" i="3"/>
  <c r="B345" i="4" s="1"/>
  <c r="B203" i="3"/>
  <c r="A203" i="3"/>
  <c r="A345" i="4" s="1"/>
  <c r="I202" i="3"/>
  <c r="H344" i="4" s="1"/>
  <c r="H202" i="3"/>
  <c r="G344" i="4" s="1"/>
  <c r="G202" i="3"/>
  <c r="F202" i="3"/>
  <c r="E344" i="4" s="1"/>
  <c r="E202" i="3"/>
  <c r="D344" i="4" s="1"/>
  <c r="D202" i="3"/>
  <c r="C344" i="4" s="1"/>
  <c r="C202" i="3"/>
  <c r="B344" i="4" s="1"/>
  <c r="B202" i="3"/>
  <c r="A202" i="3"/>
  <c r="A344" i="4" s="1"/>
  <c r="I201" i="3"/>
  <c r="H343" i="4" s="1"/>
  <c r="H201" i="3"/>
  <c r="G201" i="3"/>
  <c r="F343" i="4" s="1"/>
  <c r="F201" i="3"/>
  <c r="E343" i="4" s="1"/>
  <c r="E201" i="3"/>
  <c r="D343" i="4" s="1"/>
  <c r="D201" i="3"/>
  <c r="C343" i="4" s="1"/>
  <c r="C201" i="3"/>
  <c r="B343" i="4" s="1"/>
  <c r="B201" i="3"/>
  <c r="A201" i="3"/>
  <c r="A343" i="4" s="1"/>
  <c r="I200" i="3"/>
  <c r="H342" i="4" s="1"/>
  <c r="H200" i="3"/>
  <c r="G342" i="4" s="1"/>
  <c r="G200" i="3"/>
  <c r="F342" i="4" s="1"/>
  <c r="F200" i="3"/>
  <c r="E342" i="4" s="1"/>
  <c r="E200" i="3"/>
  <c r="D342" i="4" s="1"/>
  <c r="D200" i="3"/>
  <c r="C342" i="4" s="1"/>
  <c r="C200" i="3"/>
  <c r="B342" i="4" s="1"/>
  <c r="B200" i="3"/>
  <c r="A200" i="3"/>
  <c r="I199" i="3"/>
  <c r="H341" i="4" s="1"/>
  <c r="H199" i="3"/>
  <c r="G341" i="4" s="1"/>
  <c r="G199" i="3"/>
  <c r="F341" i="4" s="1"/>
  <c r="F199" i="3"/>
  <c r="E341" i="4" s="1"/>
  <c r="E199" i="3"/>
  <c r="D341" i="4" s="1"/>
  <c r="D199" i="3"/>
  <c r="C341" i="4" s="1"/>
  <c r="C199" i="3"/>
  <c r="B341" i="4" s="1"/>
  <c r="B199" i="3"/>
  <c r="A199" i="3"/>
  <c r="A341" i="4" s="1"/>
  <c r="I198" i="3"/>
  <c r="H340" i="4" s="1"/>
  <c r="H198" i="3"/>
  <c r="G340" i="4" s="1"/>
  <c r="G198" i="3"/>
  <c r="F340" i="4" s="1"/>
  <c r="F198" i="3"/>
  <c r="E340" i="4" s="1"/>
  <c r="E198" i="3"/>
  <c r="D340" i="4" s="1"/>
  <c r="D198" i="3"/>
  <c r="C340" i="4" s="1"/>
  <c r="C198" i="3"/>
  <c r="B340" i="4" s="1"/>
  <c r="B198" i="3"/>
  <c r="A198" i="3"/>
  <c r="A340" i="4" s="1"/>
  <c r="I197" i="3"/>
  <c r="H339" i="4" s="1"/>
  <c r="H197" i="3"/>
  <c r="G339" i="4" s="1"/>
  <c r="G197" i="3"/>
  <c r="F339" i="4" s="1"/>
  <c r="F197" i="3"/>
  <c r="E339" i="4" s="1"/>
  <c r="E197" i="3"/>
  <c r="D339" i="4" s="1"/>
  <c r="D197" i="3"/>
  <c r="C197" i="3"/>
  <c r="B339" i="4" s="1"/>
  <c r="B197" i="3"/>
  <c r="A197" i="3"/>
  <c r="A339" i="4" s="1"/>
  <c r="I196" i="3"/>
  <c r="H338" i="4" s="1"/>
  <c r="H196" i="3"/>
  <c r="G338" i="4" s="1"/>
  <c r="G196" i="3"/>
  <c r="F338" i="4" s="1"/>
  <c r="F196" i="3"/>
  <c r="E338" i="4" s="1"/>
  <c r="E196" i="3"/>
  <c r="D338" i="4" s="1"/>
  <c r="D196" i="3"/>
  <c r="C338" i="4" s="1"/>
  <c r="C196" i="3"/>
  <c r="B338" i="4" s="1"/>
  <c r="B196" i="3"/>
  <c r="A196" i="3"/>
  <c r="A338" i="4" s="1"/>
  <c r="I195" i="3"/>
  <c r="H337" i="4" s="1"/>
  <c r="H195" i="3"/>
  <c r="G337" i="4" s="1"/>
  <c r="G195" i="3"/>
  <c r="F337" i="4" s="1"/>
  <c r="F195" i="3"/>
  <c r="E337" i="4" s="1"/>
  <c r="E195" i="3"/>
  <c r="D337" i="4" s="1"/>
  <c r="D195" i="3"/>
  <c r="C337" i="4" s="1"/>
  <c r="C195" i="3"/>
  <c r="B337" i="4" s="1"/>
  <c r="B195" i="3"/>
  <c r="A195" i="3"/>
  <c r="A337" i="4" s="1"/>
  <c r="I194" i="3"/>
  <c r="H336" i="4" s="1"/>
  <c r="H194" i="3"/>
  <c r="G336" i="4" s="1"/>
  <c r="G194" i="3"/>
  <c r="F194" i="3"/>
  <c r="E336" i="4" s="1"/>
  <c r="E194" i="3"/>
  <c r="D336" i="4" s="1"/>
  <c r="D194" i="3"/>
  <c r="C336" i="4" s="1"/>
  <c r="C194" i="3"/>
  <c r="B336" i="4" s="1"/>
  <c r="B194" i="3"/>
  <c r="A194" i="3"/>
  <c r="A336" i="4" s="1"/>
  <c r="I193" i="3"/>
  <c r="H335" i="4" s="1"/>
  <c r="H193" i="3"/>
  <c r="G193" i="3"/>
  <c r="F335" i="4" s="1"/>
  <c r="F193" i="3"/>
  <c r="E335" i="4" s="1"/>
  <c r="E193" i="3"/>
  <c r="D335" i="4" s="1"/>
  <c r="D193" i="3"/>
  <c r="C335" i="4" s="1"/>
  <c r="C193" i="3"/>
  <c r="B335" i="4" s="1"/>
  <c r="B193" i="3"/>
  <c r="A193" i="3"/>
  <c r="A335" i="4" s="1"/>
  <c r="I192" i="3"/>
  <c r="H334" i="4" s="1"/>
  <c r="H192" i="3"/>
  <c r="G334" i="4" s="1"/>
  <c r="G192" i="3"/>
  <c r="F334" i="4" s="1"/>
  <c r="F192" i="3"/>
  <c r="E334" i="4" s="1"/>
  <c r="E192" i="3"/>
  <c r="D334" i="4" s="1"/>
  <c r="D192" i="3"/>
  <c r="C334" i="4" s="1"/>
  <c r="C192" i="3"/>
  <c r="B334" i="4" s="1"/>
  <c r="B192" i="3"/>
  <c r="A192" i="3"/>
  <c r="I191" i="3"/>
  <c r="H333" i="4" s="1"/>
  <c r="H191" i="3"/>
  <c r="G333" i="4" s="1"/>
  <c r="G191" i="3"/>
  <c r="F333" i="4" s="1"/>
  <c r="F191" i="3"/>
  <c r="E333" i="4" s="1"/>
  <c r="E191" i="3"/>
  <c r="D333" i="4" s="1"/>
  <c r="D191" i="3"/>
  <c r="C333" i="4" s="1"/>
  <c r="C191" i="3"/>
  <c r="B333" i="4" s="1"/>
  <c r="B191" i="3"/>
  <c r="A191" i="3"/>
  <c r="A333" i="4" s="1"/>
  <c r="I190" i="3"/>
  <c r="H332" i="4" s="1"/>
  <c r="H190" i="3"/>
  <c r="G332" i="4" s="1"/>
  <c r="G190" i="3"/>
  <c r="F332" i="4" s="1"/>
  <c r="F190" i="3"/>
  <c r="E332" i="4" s="1"/>
  <c r="E190" i="3"/>
  <c r="D332" i="4" s="1"/>
  <c r="D190" i="3"/>
  <c r="C332" i="4" s="1"/>
  <c r="C190" i="3"/>
  <c r="B332" i="4" s="1"/>
  <c r="B190" i="3"/>
  <c r="A190" i="3"/>
  <c r="A332" i="4" s="1"/>
  <c r="I189" i="3"/>
  <c r="H331" i="4" s="1"/>
  <c r="H189" i="3"/>
  <c r="G331" i="4" s="1"/>
  <c r="G189" i="3"/>
  <c r="F331" i="4" s="1"/>
  <c r="F189" i="3"/>
  <c r="E331" i="4" s="1"/>
  <c r="E189" i="3"/>
  <c r="D331" i="4" s="1"/>
  <c r="D189" i="3"/>
  <c r="C189" i="3"/>
  <c r="B331" i="4" s="1"/>
  <c r="B189" i="3"/>
  <c r="A189" i="3"/>
  <c r="A331" i="4" s="1"/>
  <c r="I188" i="3"/>
  <c r="H330" i="4" s="1"/>
  <c r="H188" i="3"/>
  <c r="G330" i="4" s="1"/>
  <c r="G188" i="3"/>
  <c r="F330" i="4" s="1"/>
  <c r="F188" i="3"/>
  <c r="E330" i="4" s="1"/>
  <c r="E188" i="3"/>
  <c r="D330" i="4" s="1"/>
  <c r="D188" i="3"/>
  <c r="C330" i="4" s="1"/>
  <c r="C188" i="3"/>
  <c r="B330" i="4" s="1"/>
  <c r="B188" i="3"/>
  <c r="A188" i="3"/>
  <c r="A330" i="4" s="1"/>
  <c r="I187" i="3"/>
  <c r="H329" i="4" s="1"/>
  <c r="H187" i="3"/>
  <c r="G329" i="4" s="1"/>
  <c r="G187" i="3"/>
  <c r="F329" i="4" s="1"/>
  <c r="F187" i="3"/>
  <c r="E329" i="4" s="1"/>
  <c r="E187" i="3"/>
  <c r="D329" i="4" s="1"/>
  <c r="D187" i="3"/>
  <c r="C329" i="4" s="1"/>
  <c r="C187" i="3"/>
  <c r="B329" i="4" s="1"/>
  <c r="B187" i="3"/>
  <c r="A187" i="3"/>
  <c r="A329" i="4" s="1"/>
  <c r="I186" i="3"/>
  <c r="H328" i="4" s="1"/>
  <c r="H186" i="3"/>
  <c r="G328" i="4" s="1"/>
  <c r="G186" i="3"/>
  <c r="F186" i="3"/>
  <c r="E328" i="4" s="1"/>
  <c r="E186" i="3"/>
  <c r="D328" i="4" s="1"/>
  <c r="D186" i="3"/>
  <c r="C328" i="4" s="1"/>
  <c r="C186" i="3"/>
  <c r="B328" i="4" s="1"/>
  <c r="B186" i="3"/>
  <c r="A186" i="3"/>
  <c r="A328" i="4" s="1"/>
  <c r="I185" i="3"/>
  <c r="H327" i="4" s="1"/>
  <c r="H185" i="3"/>
  <c r="G185" i="3"/>
  <c r="F327" i="4" s="1"/>
  <c r="F185" i="3"/>
  <c r="E327" i="4" s="1"/>
  <c r="E185" i="3"/>
  <c r="D327" i="4" s="1"/>
  <c r="D185" i="3"/>
  <c r="C327" i="4" s="1"/>
  <c r="C185" i="3"/>
  <c r="B327" i="4" s="1"/>
  <c r="B185" i="3"/>
  <c r="A185" i="3"/>
  <c r="A327" i="4" s="1"/>
  <c r="I184" i="3"/>
  <c r="H326" i="4" s="1"/>
  <c r="H184" i="3"/>
  <c r="G326" i="4" s="1"/>
  <c r="G184" i="3"/>
  <c r="F326" i="4" s="1"/>
  <c r="F184" i="3"/>
  <c r="E326" i="4" s="1"/>
  <c r="E184" i="3"/>
  <c r="D326" i="4" s="1"/>
  <c r="D184" i="3"/>
  <c r="C326" i="4" s="1"/>
  <c r="C184" i="3"/>
  <c r="B326" i="4" s="1"/>
  <c r="B184" i="3"/>
  <c r="A184" i="3"/>
  <c r="I183" i="3"/>
  <c r="H325" i="4" s="1"/>
  <c r="H183" i="3"/>
  <c r="G325" i="4" s="1"/>
  <c r="G183" i="3"/>
  <c r="F325" i="4" s="1"/>
  <c r="F183" i="3"/>
  <c r="E325" i="4" s="1"/>
  <c r="E183" i="3"/>
  <c r="D325" i="4" s="1"/>
  <c r="D183" i="3"/>
  <c r="C325" i="4" s="1"/>
  <c r="C183" i="3"/>
  <c r="B325" i="4" s="1"/>
  <c r="B183" i="3"/>
  <c r="A183" i="3"/>
  <c r="A325" i="4" s="1"/>
  <c r="I182" i="3"/>
  <c r="H324" i="4" s="1"/>
  <c r="H182" i="3"/>
  <c r="G324" i="4" s="1"/>
  <c r="G182" i="3"/>
  <c r="F324" i="4" s="1"/>
  <c r="F182" i="3"/>
  <c r="E324" i="4" s="1"/>
  <c r="E182" i="3"/>
  <c r="D324" i="4" s="1"/>
  <c r="D182" i="3"/>
  <c r="C324" i="4" s="1"/>
  <c r="C182" i="3"/>
  <c r="B324" i="4" s="1"/>
  <c r="B182" i="3"/>
  <c r="A182" i="3"/>
  <c r="A324" i="4" s="1"/>
  <c r="I181" i="3"/>
  <c r="H323" i="4" s="1"/>
  <c r="H181" i="3"/>
  <c r="G323" i="4" s="1"/>
  <c r="G181" i="3"/>
  <c r="F323" i="4" s="1"/>
  <c r="F181" i="3"/>
  <c r="E323" i="4" s="1"/>
  <c r="E181" i="3"/>
  <c r="D323" i="4" s="1"/>
  <c r="D181" i="3"/>
  <c r="C181" i="3"/>
  <c r="B323" i="4" s="1"/>
  <c r="B181" i="3"/>
  <c r="A181" i="3"/>
  <c r="A323" i="4" s="1"/>
  <c r="I180" i="3"/>
  <c r="H322" i="4" s="1"/>
  <c r="H180" i="3"/>
  <c r="G322" i="4" s="1"/>
  <c r="G180" i="3"/>
  <c r="F322" i="4" s="1"/>
  <c r="F180" i="3"/>
  <c r="E322" i="4" s="1"/>
  <c r="E180" i="3"/>
  <c r="D322" i="4" s="1"/>
  <c r="D180" i="3"/>
  <c r="C322" i="4" s="1"/>
  <c r="C180" i="3"/>
  <c r="B322" i="4" s="1"/>
  <c r="B180" i="3"/>
  <c r="A180" i="3"/>
  <c r="A322" i="4" s="1"/>
  <c r="I179" i="3"/>
  <c r="H321" i="4" s="1"/>
  <c r="H179" i="3"/>
  <c r="G321" i="4" s="1"/>
  <c r="G179" i="3"/>
  <c r="F321" i="4" s="1"/>
  <c r="F179" i="3"/>
  <c r="E321" i="4" s="1"/>
  <c r="E179" i="3"/>
  <c r="D321" i="4" s="1"/>
  <c r="D179" i="3"/>
  <c r="C321" i="4" s="1"/>
  <c r="C179" i="3"/>
  <c r="B321" i="4" s="1"/>
  <c r="B179" i="3"/>
  <c r="A179" i="3"/>
  <c r="A321" i="4" s="1"/>
  <c r="I178" i="3"/>
  <c r="H320" i="4" s="1"/>
  <c r="H178" i="3"/>
  <c r="G320" i="4" s="1"/>
  <c r="G178" i="3"/>
  <c r="F178" i="3"/>
  <c r="E320" i="4" s="1"/>
  <c r="E178" i="3"/>
  <c r="D320" i="4" s="1"/>
  <c r="D178" i="3"/>
  <c r="C320" i="4" s="1"/>
  <c r="C178" i="3"/>
  <c r="B320" i="4" s="1"/>
  <c r="B178" i="3"/>
  <c r="A178" i="3"/>
  <c r="A320" i="4" s="1"/>
  <c r="I177" i="3"/>
  <c r="H319" i="4" s="1"/>
  <c r="H177" i="3"/>
  <c r="G177" i="3"/>
  <c r="F319" i="4" s="1"/>
  <c r="F177" i="3"/>
  <c r="E319" i="4" s="1"/>
  <c r="E177" i="3"/>
  <c r="D319" i="4" s="1"/>
  <c r="D177" i="3"/>
  <c r="C319" i="4" s="1"/>
  <c r="C177" i="3"/>
  <c r="B319" i="4" s="1"/>
  <c r="B177" i="3"/>
  <c r="A177" i="3"/>
  <c r="A319" i="4" s="1"/>
  <c r="I176" i="3"/>
  <c r="H318" i="4" s="1"/>
  <c r="H176" i="3"/>
  <c r="G318" i="4" s="1"/>
  <c r="G176" i="3"/>
  <c r="F318" i="4" s="1"/>
  <c r="F176" i="3"/>
  <c r="E318" i="4" s="1"/>
  <c r="E176" i="3"/>
  <c r="D318" i="4" s="1"/>
  <c r="D176" i="3"/>
  <c r="C318" i="4" s="1"/>
  <c r="C176" i="3"/>
  <c r="B318" i="4" s="1"/>
  <c r="B176" i="3"/>
  <c r="A176" i="3"/>
  <c r="I175" i="3"/>
  <c r="H317" i="4" s="1"/>
  <c r="H175" i="3"/>
  <c r="G317" i="4" s="1"/>
  <c r="G175" i="3"/>
  <c r="F317" i="4" s="1"/>
  <c r="F175" i="3"/>
  <c r="E317" i="4" s="1"/>
  <c r="E175" i="3"/>
  <c r="D317" i="4" s="1"/>
  <c r="D175" i="3"/>
  <c r="C317" i="4" s="1"/>
  <c r="C175" i="3"/>
  <c r="B317" i="4" s="1"/>
  <c r="B175" i="3"/>
  <c r="A175" i="3"/>
  <c r="A317" i="4" s="1"/>
  <c r="I174" i="3"/>
  <c r="H316" i="4" s="1"/>
  <c r="H174" i="3"/>
  <c r="G316" i="4" s="1"/>
  <c r="G174" i="3"/>
  <c r="F316" i="4" s="1"/>
  <c r="F174" i="3"/>
  <c r="E316" i="4" s="1"/>
  <c r="E174" i="3"/>
  <c r="D316" i="4" s="1"/>
  <c r="D174" i="3"/>
  <c r="C316" i="4" s="1"/>
  <c r="C174" i="3"/>
  <c r="B316" i="4" s="1"/>
  <c r="B174" i="3"/>
  <c r="A174" i="3"/>
  <c r="A316" i="4" s="1"/>
  <c r="I173" i="3"/>
  <c r="H315" i="4" s="1"/>
  <c r="H173" i="3"/>
  <c r="G315" i="4" s="1"/>
  <c r="G173" i="3"/>
  <c r="F315" i="4" s="1"/>
  <c r="F173" i="3"/>
  <c r="E315" i="4" s="1"/>
  <c r="E173" i="3"/>
  <c r="D315" i="4" s="1"/>
  <c r="D173" i="3"/>
  <c r="C173" i="3"/>
  <c r="B315" i="4" s="1"/>
  <c r="B173" i="3"/>
  <c r="A173" i="3"/>
  <c r="A315" i="4" s="1"/>
  <c r="I172" i="3"/>
  <c r="H314" i="4" s="1"/>
  <c r="H172" i="3"/>
  <c r="G314" i="4" s="1"/>
  <c r="G172" i="3"/>
  <c r="F314" i="4" s="1"/>
  <c r="F172" i="3"/>
  <c r="E314" i="4" s="1"/>
  <c r="E172" i="3"/>
  <c r="D314" i="4" s="1"/>
  <c r="D172" i="3"/>
  <c r="C314" i="4" s="1"/>
  <c r="C172" i="3"/>
  <c r="B314" i="4" s="1"/>
  <c r="B172" i="3"/>
  <c r="A172" i="3"/>
  <c r="A314" i="4" s="1"/>
  <c r="I171" i="3"/>
  <c r="H313" i="4" s="1"/>
  <c r="H171" i="3"/>
  <c r="G313" i="4" s="1"/>
  <c r="G171" i="3"/>
  <c r="F313" i="4" s="1"/>
  <c r="F171" i="3"/>
  <c r="E313" i="4" s="1"/>
  <c r="E171" i="3"/>
  <c r="D313" i="4" s="1"/>
  <c r="D171" i="3"/>
  <c r="C313" i="4" s="1"/>
  <c r="C171" i="3"/>
  <c r="B313" i="4" s="1"/>
  <c r="B171" i="3"/>
  <c r="A171" i="3"/>
  <c r="A313" i="4" s="1"/>
  <c r="I170" i="3"/>
  <c r="H312" i="4" s="1"/>
  <c r="H170" i="3"/>
  <c r="G312" i="4" s="1"/>
  <c r="G170" i="3"/>
  <c r="F170" i="3"/>
  <c r="E312" i="4" s="1"/>
  <c r="E170" i="3"/>
  <c r="D312" i="4" s="1"/>
  <c r="D170" i="3"/>
  <c r="C312" i="4" s="1"/>
  <c r="C170" i="3"/>
  <c r="B312" i="4" s="1"/>
  <c r="B170" i="3"/>
  <c r="A170" i="3"/>
  <c r="A312" i="4" s="1"/>
  <c r="I169" i="3"/>
  <c r="H311" i="4" s="1"/>
  <c r="H169" i="3"/>
  <c r="G169" i="3"/>
  <c r="F311" i="4" s="1"/>
  <c r="F169" i="3"/>
  <c r="E311" i="4" s="1"/>
  <c r="E169" i="3"/>
  <c r="D311" i="4" s="1"/>
  <c r="D169" i="3"/>
  <c r="C311" i="4" s="1"/>
  <c r="C169" i="3"/>
  <c r="B311" i="4" s="1"/>
  <c r="B169" i="3"/>
  <c r="A169" i="3"/>
  <c r="A311" i="4" s="1"/>
  <c r="I168" i="3"/>
  <c r="H310" i="4" s="1"/>
  <c r="H168" i="3"/>
  <c r="G310" i="4" s="1"/>
  <c r="G168" i="3"/>
  <c r="F310" i="4" s="1"/>
  <c r="F168" i="3"/>
  <c r="E310" i="4" s="1"/>
  <c r="E168" i="3"/>
  <c r="D310" i="4" s="1"/>
  <c r="D168" i="3"/>
  <c r="C310" i="4" s="1"/>
  <c r="C168" i="3"/>
  <c r="B310" i="4" s="1"/>
  <c r="B168" i="3"/>
  <c r="A168" i="3"/>
  <c r="I167" i="3"/>
  <c r="H309" i="4" s="1"/>
  <c r="H167" i="3"/>
  <c r="G309" i="4" s="1"/>
  <c r="G167" i="3"/>
  <c r="F309" i="4" s="1"/>
  <c r="F167" i="3"/>
  <c r="E309" i="4" s="1"/>
  <c r="E167" i="3"/>
  <c r="D309" i="4" s="1"/>
  <c r="D167" i="3"/>
  <c r="C309" i="4" s="1"/>
  <c r="C167" i="3"/>
  <c r="B309" i="4" s="1"/>
  <c r="B167" i="3"/>
  <c r="A167" i="3"/>
  <c r="A309" i="4" s="1"/>
  <c r="I166" i="3"/>
  <c r="H308" i="4" s="1"/>
  <c r="H166" i="3"/>
  <c r="G308" i="4" s="1"/>
  <c r="G166" i="3"/>
  <c r="F308" i="4" s="1"/>
  <c r="F166" i="3"/>
  <c r="E308" i="4" s="1"/>
  <c r="E166" i="3"/>
  <c r="D308" i="4" s="1"/>
  <c r="D166" i="3"/>
  <c r="C308" i="4" s="1"/>
  <c r="C166" i="3"/>
  <c r="B308" i="4" s="1"/>
  <c r="B166" i="3"/>
  <c r="A166" i="3"/>
  <c r="A308" i="4" s="1"/>
  <c r="I165" i="3"/>
  <c r="H307" i="4" s="1"/>
  <c r="H165" i="3"/>
  <c r="G307" i="4" s="1"/>
  <c r="G165" i="3"/>
  <c r="F307" i="4" s="1"/>
  <c r="F165" i="3"/>
  <c r="E307" i="4" s="1"/>
  <c r="E165" i="3"/>
  <c r="D307" i="4" s="1"/>
  <c r="D165" i="3"/>
  <c r="C165" i="3"/>
  <c r="B307" i="4" s="1"/>
  <c r="B165" i="3"/>
  <c r="A165" i="3"/>
  <c r="A307" i="4" s="1"/>
  <c r="I164" i="3"/>
  <c r="H306" i="4" s="1"/>
  <c r="H164" i="3"/>
  <c r="G306" i="4" s="1"/>
  <c r="G164" i="3"/>
  <c r="F306" i="4" s="1"/>
  <c r="F164" i="3"/>
  <c r="E306" i="4" s="1"/>
  <c r="E164" i="3"/>
  <c r="D306" i="4" s="1"/>
  <c r="D164" i="3"/>
  <c r="C306" i="4" s="1"/>
  <c r="C164" i="3"/>
  <c r="B306" i="4" s="1"/>
  <c r="B164" i="3"/>
  <c r="A164" i="3"/>
  <c r="A306" i="4" s="1"/>
  <c r="I163" i="3"/>
  <c r="H305" i="4" s="1"/>
  <c r="H163" i="3"/>
  <c r="G305" i="4" s="1"/>
  <c r="G163" i="3"/>
  <c r="F305" i="4" s="1"/>
  <c r="F163" i="3"/>
  <c r="E305" i="4" s="1"/>
  <c r="E163" i="3"/>
  <c r="D305" i="4" s="1"/>
  <c r="D163" i="3"/>
  <c r="C305" i="4" s="1"/>
  <c r="C163" i="3"/>
  <c r="B305" i="4" s="1"/>
  <c r="B163" i="3"/>
  <c r="A163" i="3"/>
  <c r="A305" i="4" s="1"/>
  <c r="I162" i="3"/>
  <c r="H304" i="4" s="1"/>
  <c r="H162" i="3"/>
  <c r="G304" i="4" s="1"/>
  <c r="G162" i="3"/>
  <c r="F162" i="3"/>
  <c r="E304" i="4" s="1"/>
  <c r="E162" i="3"/>
  <c r="D304" i="4" s="1"/>
  <c r="D162" i="3"/>
  <c r="C304" i="4" s="1"/>
  <c r="C162" i="3"/>
  <c r="B304" i="4" s="1"/>
  <c r="B162" i="3"/>
  <c r="A162" i="3"/>
  <c r="A304" i="4" s="1"/>
  <c r="I161" i="3"/>
  <c r="H303" i="4" s="1"/>
  <c r="H161" i="3"/>
  <c r="G161" i="3"/>
  <c r="F303" i="4" s="1"/>
  <c r="F161" i="3"/>
  <c r="E303" i="4" s="1"/>
  <c r="E161" i="3"/>
  <c r="D303" i="4" s="1"/>
  <c r="D161" i="3"/>
  <c r="C303" i="4" s="1"/>
  <c r="C161" i="3"/>
  <c r="B303" i="4" s="1"/>
  <c r="B161" i="3"/>
  <c r="A161" i="3"/>
  <c r="A303" i="4" s="1"/>
  <c r="I160" i="3"/>
  <c r="H302" i="4" s="1"/>
  <c r="H160" i="3"/>
  <c r="G302" i="4" s="1"/>
  <c r="G160" i="3"/>
  <c r="F302" i="4" s="1"/>
  <c r="F160" i="3"/>
  <c r="E302" i="4" s="1"/>
  <c r="E160" i="3"/>
  <c r="D302" i="4" s="1"/>
  <c r="D160" i="3"/>
  <c r="C302" i="4" s="1"/>
  <c r="C160" i="3"/>
  <c r="B302" i="4" s="1"/>
  <c r="B160" i="3"/>
  <c r="A160" i="3"/>
  <c r="I159" i="3"/>
  <c r="H301" i="4" s="1"/>
  <c r="H159" i="3"/>
  <c r="G301" i="4" s="1"/>
  <c r="G159" i="3"/>
  <c r="F301" i="4" s="1"/>
  <c r="F159" i="3"/>
  <c r="E301" i="4" s="1"/>
  <c r="E159" i="3"/>
  <c r="D301" i="4" s="1"/>
  <c r="D159" i="3"/>
  <c r="C301" i="4" s="1"/>
  <c r="C159" i="3"/>
  <c r="B301" i="4" s="1"/>
  <c r="B159" i="3"/>
  <c r="A159" i="3"/>
  <c r="A301" i="4" s="1"/>
  <c r="I158" i="3"/>
  <c r="H300" i="4" s="1"/>
  <c r="H158" i="3"/>
  <c r="G300" i="4" s="1"/>
  <c r="G158" i="3"/>
  <c r="F300" i="4" s="1"/>
  <c r="F158" i="3"/>
  <c r="E300" i="4" s="1"/>
  <c r="E158" i="3"/>
  <c r="D300" i="4" s="1"/>
  <c r="D158" i="3"/>
  <c r="C300" i="4" s="1"/>
  <c r="C158" i="3"/>
  <c r="B300" i="4" s="1"/>
  <c r="B158" i="3"/>
  <c r="A158" i="3"/>
  <c r="A300" i="4" s="1"/>
  <c r="I157" i="3"/>
  <c r="H299" i="4" s="1"/>
  <c r="H157" i="3"/>
  <c r="G299" i="4" s="1"/>
  <c r="G157" i="3"/>
  <c r="F299" i="4" s="1"/>
  <c r="F157" i="3"/>
  <c r="E299" i="4" s="1"/>
  <c r="E157" i="3"/>
  <c r="D299" i="4" s="1"/>
  <c r="D157" i="3"/>
  <c r="C157" i="3"/>
  <c r="B299" i="4" s="1"/>
  <c r="B157" i="3"/>
  <c r="A157" i="3"/>
  <c r="A299" i="4" s="1"/>
  <c r="I156" i="3"/>
  <c r="H298" i="4" s="1"/>
  <c r="H156" i="3"/>
  <c r="G298" i="4" s="1"/>
  <c r="G156" i="3"/>
  <c r="F298" i="4" s="1"/>
  <c r="F156" i="3"/>
  <c r="E298" i="4" s="1"/>
  <c r="E156" i="3"/>
  <c r="D298" i="4" s="1"/>
  <c r="D156" i="3"/>
  <c r="C298" i="4" s="1"/>
  <c r="C156" i="3"/>
  <c r="B298" i="4" s="1"/>
  <c r="B156" i="3"/>
  <c r="A156" i="3"/>
  <c r="A298" i="4" s="1"/>
  <c r="I155" i="3"/>
  <c r="H297" i="4" s="1"/>
  <c r="H155" i="3"/>
  <c r="G297" i="4" s="1"/>
  <c r="G155" i="3"/>
  <c r="F297" i="4" s="1"/>
  <c r="F155" i="3"/>
  <c r="E297" i="4" s="1"/>
  <c r="E155" i="3"/>
  <c r="D297" i="4" s="1"/>
  <c r="D155" i="3"/>
  <c r="C297" i="4" s="1"/>
  <c r="C155" i="3"/>
  <c r="B297" i="4" s="1"/>
  <c r="B155" i="3"/>
  <c r="A155" i="3"/>
  <c r="A297" i="4" s="1"/>
  <c r="I154" i="3"/>
  <c r="H296" i="4" s="1"/>
  <c r="H154" i="3"/>
  <c r="G296" i="4" s="1"/>
  <c r="G154" i="3"/>
  <c r="F154" i="3"/>
  <c r="E296" i="4" s="1"/>
  <c r="E154" i="3"/>
  <c r="D296" i="4" s="1"/>
  <c r="D154" i="3"/>
  <c r="C296" i="4" s="1"/>
  <c r="C154" i="3"/>
  <c r="B296" i="4" s="1"/>
  <c r="B154" i="3"/>
  <c r="A154" i="3"/>
  <c r="A296" i="4" s="1"/>
  <c r="I153" i="3"/>
  <c r="H295" i="4" s="1"/>
  <c r="H153" i="3"/>
  <c r="G153" i="3"/>
  <c r="F295" i="4" s="1"/>
  <c r="F153" i="3"/>
  <c r="E295" i="4" s="1"/>
  <c r="E153" i="3"/>
  <c r="D295" i="4" s="1"/>
  <c r="D153" i="3"/>
  <c r="C295" i="4" s="1"/>
  <c r="C153" i="3"/>
  <c r="B295" i="4" s="1"/>
  <c r="B153" i="3"/>
  <c r="A153" i="3"/>
  <c r="A295" i="4" s="1"/>
  <c r="I152" i="3"/>
  <c r="H294" i="4" s="1"/>
  <c r="H152" i="3"/>
  <c r="G294" i="4" s="1"/>
  <c r="G152" i="3"/>
  <c r="F294" i="4" s="1"/>
  <c r="F152" i="3"/>
  <c r="E294" i="4" s="1"/>
  <c r="E152" i="3"/>
  <c r="D294" i="4" s="1"/>
  <c r="D152" i="3"/>
  <c r="C294" i="4" s="1"/>
  <c r="C152" i="3"/>
  <c r="B294" i="4" s="1"/>
  <c r="B152" i="3"/>
  <c r="A152" i="3"/>
  <c r="I151" i="3"/>
  <c r="H293" i="4" s="1"/>
  <c r="H151" i="3"/>
  <c r="G293" i="4" s="1"/>
  <c r="G151" i="3"/>
  <c r="F293" i="4" s="1"/>
  <c r="F151" i="3"/>
  <c r="E293" i="4" s="1"/>
  <c r="E151" i="3"/>
  <c r="D293" i="4" s="1"/>
  <c r="D151" i="3"/>
  <c r="C293" i="4" s="1"/>
  <c r="C151" i="3"/>
  <c r="B293" i="4" s="1"/>
  <c r="B151" i="3"/>
  <c r="A151" i="3"/>
  <c r="A293" i="4" s="1"/>
  <c r="I150" i="3"/>
  <c r="H292" i="4" s="1"/>
  <c r="H150" i="3"/>
  <c r="G292" i="4" s="1"/>
  <c r="G150" i="3"/>
  <c r="F292" i="4" s="1"/>
  <c r="F150" i="3"/>
  <c r="E292" i="4" s="1"/>
  <c r="E150" i="3"/>
  <c r="D292" i="4" s="1"/>
  <c r="D150" i="3"/>
  <c r="C292" i="4" s="1"/>
  <c r="C150" i="3"/>
  <c r="B292" i="4" s="1"/>
  <c r="B150" i="3"/>
  <c r="A150" i="3"/>
  <c r="A292" i="4" s="1"/>
  <c r="I149" i="3"/>
  <c r="H291" i="4" s="1"/>
  <c r="H149" i="3"/>
  <c r="G291" i="4" s="1"/>
  <c r="G149" i="3"/>
  <c r="F291" i="4" s="1"/>
  <c r="F149" i="3"/>
  <c r="E291" i="4" s="1"/>
  <c r="E149" i="3"/>
  <c r="D291" i="4" s="1"/>
  <c r="D149" i="3"/>
  <c r="C149" i="3"/>
  <c r="B291" i="4" s="1"/>
  <c r="B149" i="3"/>
  <c r="A149" i="3"/>
  <c r="A291" i="4" s="1"/>
  <c r="I148" i="3"/>
  <c r="H290" i="4" s="1"/>
  <c r="H148" i="3"/>
  <c r="G290" i="4" s="1"/>
  <c r="G148" i="3"/>
  <c r="F290" i="4" s="1"/>
  <c r="F148" i="3"/>
  <c r="E290" i="4" s="1"/>
  <c r="E148" i="3"/>
  <c r="D290" i="4" s="1"/>
  <c r="D148" i="3"/>
  <c r="C290" i="4" s="1"/>
  <c r="C148" i="3"/>
  <c r="B290" i="4" s="1"/>
  <c r="B148" i="3"/>
  <c r="A148" i="3"/>
  <c r="A290" i="4" s="1"/>
  <c r="I147" i="3"/>
  <c r="H289" i="4" s="1"/>
  <c r="H147" i="3"/>
  <c r="G289" i="4" s="1"/>
  <c r="G147" i="3"/>
  <c r="F289" i="4" s="1"/>
  <c r="F147" i="3"/>
  <c r="E289" i="4" s="1"/>
  <c r="E147" i="3"/>
  <c r="D289" i="4" s="1"/>
  <c r="D147" i="3"/>
  <c r="C289" i="4" s="1"/>
  <c r="C147" i="3"/>
  <c r="B289" i="4" s="1"/>
  <c r="B147" i="3"/>
  <c r="A147" i="3"/>
  <c r="A289" i="4" s="1"/>
  <c r="I146" i="3"/>
  <c r="H288" i="4" s="1"/>
  <c r="H146" i="3"/>
  <c r="G288" i="4" s="1"/>
  <c r="G146" i="3"/>
  <c r="F146" i="3"/>
  <c r="E288" i="4" s="1"/>
  <c r="E146" i="3"/>
  <c r="D288" i="4" s="1"/>
  <c r="D146" i="3"/>
  <c r="C288" i="4" s="1"/>
  <c r="C146" i="3"/>
  <c r="B288" i="4" s="1"/>
  <c r="B146" i="3"/>
  <c r="A146" i="3"/>
  <c r="A288" i="4" s="1"/>
  <c r="I145" i="3"/>
  <c r="H287" i="4" s="1"/>
  <c r="H145" i="3"/>
  <c r="G145" i="3"/>
  <c r="F287" i="4" s="1"/>
  <c r="F145" i="3"/>
  <c r="E287" i="4" s="1"/>
  <c r="E145" i="3"/>
  <c r="D287" i="4" s="1"/>
  <c r="D145" i="3"/>
  <c r="C287" i="4" s="1"/>
  <c r="C145" i="3"/>
  <c r="B287" i="4" s="1"/>
  <c r="B145" i="3"/>
  <c r="A145" i="3"/>
  <c r="A287" i="4" s="1"/>
  <c r="I144" i="3"/>
  <c r="H286" i="4" s="1"/>
  <c r="H144" i="3"/>
  <c r="G286" i="4" s="1"/>
  <c r="G144" i="3"/>
  <c r="F286" i="4" s="1"/>
  <c r="F144" i="3"/>
  <c r="E286" i="4" s="1"/>
  <c r="E144" i="3"/>
  <c r="D286" i="4" s="1"/>
  <c r="D144" i="3"/>
  <c r="C286" i="4" s="1"/>
  <c r="C144" i="3"/>
  <c r="B286" i="4" s="1"/>
  <c r="B144" i="3"/>
  <c r="A144" i="3"/>
  <c r="I143" i="3"/>
  <c r="H285" i="4" s="1"/>
  <c r="H143" i="3"/>
  <c r="G285" i="4" s="1"/>
  <c r="G143" i="3"/>
  <c r="F285" i="4" s="1"/>
  <c r="F143" i="3"/>
  <c r="E285" i="4" s="1"/>
  <c r="E143" i="3"/>
  <c r="D285" i="4" s="1"/>
  <c r="D143" i="3"/>
  <c r="C285" i="4" s="1"/>
  <c r="C143" i="3"/>
  <c r="B285" i="4" s="1"/>
  <c r="B143" i="3"/>
  <c r="A143" i="3"/>
  <c r="A285" i="4" s="1"/>
  <c r="I142" i="3"/>
  <c r="H284" i="4" s="1"/>
  <c r="H142" i="3"/>
  <c r="G284" i="4" s="1"/>
  <c r="G142" i="3"/>
  <c r="F284" i="4" s="1"/>
  <c r="F142" i="3"/>
  <c r="E284" i="4" s="1"/>
  <c r="E142" i="3"/>
  <c r="D284" i="4" s="1"/>
  <c r="D142" i="3"/>
  <c r="C284" i="4" s="1"/>
  <c r="C142" i="3"/>
  <c r="B284" i="4" s="1"/>
  <c r="B142" i="3"/>
  <c r="A142" i="3"/>
  <c r="A284" i="4" s="1"/>
  <c r="I141" i="3"/>
  <c r="H283" i="4" s="1"/>
  <c r="H141" i="3"/>
  <c r="G283" i="4" s="1"/>
  <c r="G141" i="3"/>
  <c r="F283" i="4" s="1"/>
  <c r="F141" i="3"/>
  <c r="E283" i="4" s="1"/>
  <c r="E141" i="3"/>
  <c r="D283" i="4" s="1"/>
  <c r="D141" i="3"/>
  <c r="C141" i="3"/>
  <c r="B283" i="4" s="1"/>
  <c r="B141" i="3"/>
  <c r="A141" i="3"/>
  <c r="A283" i="4" s="1"/>
  <c r="I140" i="3"/>
  <c r="H282" i="4" s="1"/>
  <c r="H140" i="3"/>
  <c r="G282" i="4" s="1"/>
  <c r="G140" i="3"/>
  <c r="F282" i="4" s="1"/>
  <c r="F140" i="3"/>
  <c r="E282" i="4" s="1"/>
  <c r="E140" i="3"/>
  <c r="D282" i="4" s="1"/>
  <c r="D140" i="3"/>
  <c r="C282" i="4" s="1"/>
  <c r="C140" i="3"/>
  <c r="B282" i="4" s="1"/>
  <c r="B140" i="3"/>
  <c r="A140" i="3"/>
  <c r="A282" i="4" s="1"/>
  <c r="I139" i="3"/>
  <c r="H281" i="4" s="1"/>
  <c r="H139" i="3"/>
  <c r="G281" i="4" s="1"/>
  <c r="G139" i="3"/>
  <c r="F281" i="4" s="1"/>
  <c r="F139" i="3"/>
  <c r="E281" i="4" s="1"/>
  <c r="E139" i="3"/>
  <c r="D281" i="4" s="1"/>
  <c r="D139" i="3"/>
  <c r="C281" i="4" s="1"/>
  <c r="C139" i="3"/>
  <c r="B281" i="4" s="1"/>
  <c r="B139" i="3"/>
  <c r="A139" i="3"/>
  <c r="A281" i="4" s="1"/>
  <c r="I138" i="3"/>
  <c r="H280" i="4" s="1"/>
  <c r="H138" i="3"/>
  <c r="G280" i="4" s="1"/>
  <c r="G138" i="3"/>
  <c r="F138" i="3"/>
  <c r="E280" i="4" s="1"/>
  <c r="E138" i="3"/>
  <c r="D280" i="4" s="1"/>
  <c r="D138" i="3"/>
  <c r="C280" i="4" s="1"/>
  <c r="C138" i="3"/>
  <c r="B280" i="4" s="1"/>
  <c r="B138" i="3"/>
  <c r="A138" i="3"/>
  <c r="A280" i="4" s="1"/>
  <c r="I137" i="3"/>
  <c r="H279" i="4" s="1"/>
  <c r="H137" i="3"/>
  <c r="G279" i="4" s="1"/>
  <c r="G137" i="3"/>
  <c r="F279" i="4" s="1"/>
  <c r="F137" i="3"/>
  <c r="E279" i="4" s="1"/>
  <c r="E137" i="3"/>
  <c r="D279" i="4" s="1"/>
  <c r="D137" i="3"/>
  <c r="C279" i="4" s="1"/>
  <c r="C137" i="3"/>
  <c r="B279" i="4" s="1"/>
  <c r="B137" i="3"/>
  <c r="A137" i="3"/>
  <c r="A279" i="4" s="1"/>
  <c r="I136" i="3"/>
  <c r="H278" i="4" s="1"/>
  <c r="H136" i="3"/>
  <c r="G278" i="4" s="1"/>
  <c r="G136" i="3"/>
  <c r="F278" i="4" s="1"/>
  <c r="F136" i="3"/>
  <c r="E278" i="4" s="1"/>
  <c r="E136" i="3"/>
  <c r="D278" i="4" s="1"/>
  <c r="D136" i="3"/>
  <c r="C278" i="4" s="1"/>
  <c r="C136" i="3"/>
  <c r="B278" i="4" s="1"/>
  <c r="B136" i="3"/>
  <c r="A136" i="3"/>
  <c r="A278" i="4" s="1"/>
  <c r="I135" i="3"/>
  <c r="H277" i="4" s="1"/>
  <c r="H135" i="3"/>
  <c r="G277" i="4" s="1"/>
  <c r="G135" i="3"/>
  <c r="F277" i="4" s="1"/>
  <c r="F135" i="3"/>
  <c r="E277" i="4" s="1"/>
  <c r="E135" i="3"/>
  <c r="D277" i="4" s="1"/>
  <c r="D135" i="3"/>
  <c r="C277" i="4" s="1"/>
  <c r="C135" i="3"/>
  <c r="B277" i="4" s="1"/>
  <c r="B135" i="3"/>
  <c r="A135" i="3"/>
  <c r="A277" i="4" s="1"/>
  <c r="I134" i="3"/>
  <c r="H276" i="4" s="1"/>
  <c r="H134" i="3"/>
  <c r="G276" i="4" s="1"/>
  <c r="G134" i="3"/>
  <c r="F276" i="4" s="1"/>
  <c r="F134" i="3"/>
  <c r="E276" i="4" s="1"/>
  <c r="E134" i="3"/>
  <c r="D276" i="4" s="1"/>
  <c r="D134" i="3"/>
  <c r="C276" i="4" s="1"/>
  <c r="C134" i="3"/>
  <c r="B276" i="4" s="1"/>
  <c r="B134" i="3"/>
  <c r="A134" i="3"/>
  <c r="A276" i="4" s="1"/>
  <c r="I133" i="3"/>
  <c r="H275" i="4" s="1"/>
  <c r="H133" i="3"/>
  <c r="G275" i="4" s="1"/>
  <c r="G133" i="3"/>
  <c r="F275" i="4" s="1"/>
  <c r="F133" i="3"/>
  <c r="E275" i="4" s="1"/>
  <c r="E133" i="3"/>
  <c r="D275" i="4" s="1"/>
  <c r="D133" i="3"/>
  <c r="C133" i="3"/>
  <c r="B275" i="4" s="1"/>
  <c r="B133" i="3"/>
  <c r="A133" i="3"/>
  <c r="A275" i="4" s="1"/>
  <c r="I132" i="3"/>
  <c r="H274" i="4" s="1"/>
  <c r="H132" i="3"/>
  <c r="G274" i="4" s="1"/>
  <c r="G132" i="3"/>
  <c r="F274" i="4" s="1"/>
  <c r="F132" i="3"/>
  <c r="E274" i="4" s="1"/>
  <c r="E132" i="3"/>
  <c r="D274" i="4" s="1"/>
  <c r="D132" i="3"/>
  <c r="C274" i="4" s="1"/>
  <c r="C132" i="3"/>
  <c r="B274" i="4" s="1"/>
  <c r="B132" i="3"/>
  <c r="A132" i="3"/>
  <c r="A274" i="4" s="1"/>
  <c r="I131" i="3"/>
  <c r="H273" i="4" s="1"/>
  <c r="H131" i="3"/>
  <c r="G273" i="4" s="1"/>
  <c r="G131" i="3"/>
  <c r="F273" i="4" s="1"/>
  <c r="F131" i="3"/>
  <c r="E273" i="4" s="1"/>
  <c r="E131" i="3"/>
  <c r="D273" i="4" s="1"/>
  <c r="D131" i="3"/>
  <c r="C273" i="4" s="1"/>
  <c r="C131" i="3"/>
  <c r="B273" i="4" s="1"/>
  <c r="B131" i="3"/>
  <c r="A131" i="3"/>
  <c r="A273" i="4" s="1"/>
  <c r="I130" i="3"/>
  <c r="H272" i="4" s="1"/>
  <c r="H130" i="3"/>
  <c r="G272" i="4" s="1"/>
  <c r="G130" i="3"/>
  <c r="F130" i="3"/>
  <c r="E272" i="4" s="1"/>
  <c r="E130" i="3"/>
  <c r="D272" i="4" s="1"/>
  <c r="D130" i="3"/>
  <c r="C272" i="4" s="1"/>
  <c r="C130" i="3"/>
  <c r="B272" i="4" s="1"/>
  <c r="B130" i="3"/>
  <c r="A130" i="3"/>
  <c r="A272" i="4" s="1"/>
  <c r="I129" i="3"/>
  <c r="H271" i="4" s="1"/>
  <c r="H129" i="3"/>
  <c r="G271" i="4" s="1"/>
  <c r="G129" i="3"/>
  <c r="F271" i="4" s="1"/>
  <c r="F129" i="3"/>
  <c r="E271" i="4" s="1"/>
  <c r="E129" i="3"/>
  <c r="D271" i="4" s="1"/>
  <c r="D129" i="3"/>
  <c r="C271" i="4" s="1"/>
  <c r="C129" i="3"/>
  <c r="B271" i="4" s="1"/>
  <c r="B129" i="3"/>
  <c r="A129" i="3"/>
  <c r="A271" i="4" s="1"/>
  <c r="I128" i="3"/>
  <c r="H270" i="4" s="1"/>
  <c r="H128" i="3"/>
  <c r="G270" i="4" s="1"/>
  <c r="G128" i="3"/>
  <c r="F270" i="4" s="1"/>
  <c r="F128" i="3"/>
  <c r="E270" i="4" s="1"/>
  <c r="E128" i="3"/>
  <c r="D270" i="4" s="1"/>
  <c r="D128" i="3"/>
  <c r="C270" i="4" s="1"/>
  <c r="C128" i="3"/>
  <c r="B270" i="4" s="1"/>
  <c r="B128" i="3"/>
  <c r="A128" i="3"/>
  <c r="A270" i="4" s="1"/>
  <c r="I127" i="3"/>
  <c r="H269" i="4" s="1"/>
  <c r="H127" i="3"/>
  <c r="G269" i="4" s="1"/>
  <c r="G127" i="3"/>
  <c r="F269" i="4" s="1"/>
  <c r="F127" i="3"/>
  <c r="E269" i="4" s="1"/>
  <c r="E127" i="3"/>
  <c r="D269" i="4" s="1"/>
  <c r="D127" i="3"/>
  <c r="C269" i="4" s="1"/>
  <c r="C127" i="3"/>
  <c r="B269" i="4" s="1"/>
  <c r="B127" i="3"/>
  <c r="A127" i="3"/>
  <c r="A269" i="4" s="1"/>
  <c r="I126" i="3"/>
  <c r="H268" i="4" s="1"/>
  <c r="H126" i="3"/>
  <c r="G268" i="4" s="1"/>
  <c r="G126" i="3"/>
  <c r="F268" i="4" s="1"/>
  <c r="F126" i="3"/>
  <c r="E268" i="4" s="1"/>
  <c r="E126" i="3"/>
  <c r="D268" i="4" s="1"/>
  <c r="D126" i="3"/>
  <c r="C268" i="4" s="1"/>
  <c r="C126" i="3"/>
  <c r="B268" i="4" s="1"/>
  <c r="B126" i="3"/>
  <c r="A126" i="3"/>
  <c r="A268" i="4" s="1"/>
  <c r="I125" i="3"/>
  <c r="H267" i="4" s="1"/>
  <c r="H125" i="3"/>
  <c r="G267" i="4" s="1"/>
  <c r="G125" i="3"/>
  <c r="F267" i="4" s="1"/>
  <c r="F125" i="3"/>
  <c r="E267" i="4" s="1"/>
  <c r="E125" i="3"/>
  <c r="D267" i="4" s="1"/>
  <c r="D125" i="3"/>
  <c r="C125" i="3"/>
  <c r="B267" i="4" s="1"/>
  <c r="B125" i="3"/>
  <c r="A125" i="3"/>
  <c r="A267" i="4" s="1"/>
  <c r="I124" i="3"/>
  <c r="H266" i="4" s="1"/>
  <c r="H124" i="3"/>
  <c r="G266" i="4" s="1"/>
  <c r="G124" i="3"/>
  <c r="F266" i="4" s="1"/>
  <c r="F124" i="3"/>
  <c r="E266" i="4" s="1"/>
  <c r="E124" i="3"/>
  <c r="D266" i="4" s="1"/>
  <c r="D124" i="3"/>
  <c r="C266" i="4" s="1"/>
  <c r="C124" i="3"/>
  <c r="B266" i="4" s="1"/>
  <c r="B124" i="3"/>
  <c r="A124" i="3"/>
  <c r="A266" i="4" s="1"/>
  <c r="I123" i="3"/>
  <c r="H265" i="4" s="1"/>
  <c r="H123" i="3"/>
  <c r="G265" i="4" s="1"/>
  <c r="G123" i="3"/>
  <c r="F265" i="4" s="1"/>
  <c r="F123" i="3"/>
  <c r="E265" i="4" s="1"/>
  <c r="E123" i="3"/>
  <c r="D265" i="4" s="1"/>
  <c r="D123" i="3"/>
  <c r="C265" i="4" s="1"/>
  <c r="C123" i="3"/>
  <c r="B265" i="4" s="1"/>
  <c r="B123" i="3"/>
  <c r="A123" i="3"/>
  <c r="A265" i="4" s="1"/>
  <c r="I122" i="3"/>
  <c r="H264" i="4" s="1"/>
  <c r="H122" i="3"/>
  <c r="G264" i="4" s="1"/>
  <c r="G122" i="3"/>
  <c r="F122" i="3"/>
  <c r="E264" i="4" s="1"/>
  <c r="E122" i="3"/>
  <c r="D264" i="4" s="1"/>
  <c r="D122" i="3"/>
  <c r="C264" i="4" s="1"/>
  <c r="C122" i="3"/>
  <c r="B264" i="4" s="1"/>
  <c r="B122" i="3"/>
  <c r="A122" i="3"/>
  <c r="A264" i="4" s="1"/>
  <c r="I121" i="3"/>
  <c r="H263" i="4" s="1"/>
  <c r="H121" i="3"/>
  <c r="G263" i="4" s="1"/>
  <c r="G121" i="3"/>
  <c r="F263" i="4" s="1"/>
  <c r="F121" i="3"/>
  <c r="E263" i="4" s="1"/>
  <c r="E121" i="3"/>
  <c r="D263" i="4" s="1"/>
  <c r="D121" i="3"/>
  <c r="C263" i="4" s="1"/>
  <c r="C121" i="3"/>
  <c r="B263" i="4" s="1"/>
  <c r="B121" i="3"/>
  <c r="A121" i="3"/>
  <c r="A263" i="4" s="1"/>
  <c r="I120" i="3"/>
  <c r="H262" i="4" s="1"/>
  <c r="H120" i="3"/>
  <c r="G262" i="4" s="1"/>
  <c r="G120" i="3"/>
  <c r="F262" i="4" s="1"/>
  <c r="F120" i="3"/>
  <c r="E262" i="4" s="1"/>
  <c r="E120" i="3"/>
  <c r="D262" i="4" s="1"/>
  <c r="D120" i="3"/>
  <c r="C262" i="4" s="1"/>
  <c r="C120" i="3"/>
  <c r="B262" i="4" s="1"/>
  <c r="B120" i="3"/>
  <c r="A120" i="3"/>
  <c r="A262" i="4" s="1"/>
  <c r="I119" i="3"/>
  <c r="H261" i="4" s="1"/>
  <c r="H119" i="3"/>
  <c r="G261" i="4" s="1"/>
  <c r="G119" i="3"/>
  <c r="F261" i="4" s="1"/>
  <c r="F119" i="3"/>
  <c r="E261" i="4" s="1"/>
  <c r="E119" i="3"/>
  <c r="D261" i="4" s="1"/>
  <c r="D119" i="3"/>
  <c r="C261" i="4" s="1"/>
  <c r="C119" i="3"/>
  <c r="B261" i="4" s="1"/>
  <c r="B119" i="3"/>
  <c r="A119" i="3"/>
  <c r="A261" i="4" s="1"/>
  <c r="I118" i="3"/>
  <c r="H260" i="4" s="1"/>
  <c r="H118" i="3"/>
  <c r="G260" i="4" s="1"/>
  <c r="G118" i="3"/>
  <c r="F260" i="4" s="1"/>
  <c r="F118" i="3"/>
  <c r="E260" i="4" s="1"/>
  <c r="E118" i="3"/>
  <c r="D260" i="4" s="1"/>
  <c r="D118" i="3"/>
  <c r="C260" i="4" s="1"/>
  <c r="C118" i="3"/>
  <c r="B260" i="4" s="1"/>
  <c r="B118" i="3"/>
  <c r="A118" i="3"/>
  <c r="A260" i="4" s="1"/>
  <c r="I117" i="3"/>
  <c r="H259" i="4" s="1"/>
  <c r="H117" i="3"/>
  <c r="G259" i="4" s="1"/>
  <c r="G117" i="3"/>
  <c r="F259" i="4" s="1"/>
  <c r="F117" i="3"/>
  <c r="E259" i="4" s="1"/>
  <c r="E117" i="3"/>
  <c r="D259" i="4" s="1"/>
  <c r="D117" i="3"/>
  <c r="C259" i="4" s="1"/>
  <c r="C117" i="3"/>
  <c r="B259" i="4" s="1"/>
  <c r="B117" i="3"/>
  <c r="A117" i="3"/>
  <c r="A259" i="4" s="1"/>
  <c r="I116" i="3"/>
  <c r="H258" i="4" s="1"/>
  <c r="H116" i="3"/>
  <c r="G258" i="4" s="1"/>
  <c r="G116" i="3"/>
  <c r="F258" i="4" s="1"/>
  <c r="F116" i="3"/>
  <c r="E258" i="4" s="1"/>
  <c r="E116" i="3"/>
  <c r="D258" i="4" s="1"/>
  <c r="D116" i="3"/>
  <c r="C258" i="4" s="1"/>
  <c r="C116" i="3"/>
  <c r="B258" i="4" s="1"/>
  <c r="B116" i="3"/>
  <c r="A116" i="3"/>
  <c r="A258" i="4" s="1"/>
  <c r="I115" i="3"/>
  <c r="H257" i="4" s="1"/>
  <c r="H115" i="3"/>
  <c r="G257" i="4" s="1"/>
  <c r="G115" i="3"/>
  <c r="F257" i="4" s="1"/>
  <c r="F115" i="3"/>
  <c r="E257" i="4" s="1"/>
  <c r="E115" i="3"/>
  <c r="D257" i="4" s="1"/>
  <c r="D115" i="3"/>
  <c r="C257" i="4" s="1"/>
  <c r="C115" i="3"/>
  <c r="B257" i="4" s="1"/>
  <c r="B115" i="3"/>
  <c r="A115" i="3"/>
  <c r="A257" i="4" s="1"/>
  <c r="I114" i="3"/>
  <c r="H256" i="4" s="1"/>
  <c r="H114" i="3"/>
  <c r="G256" i="4" s="1"/>
  <c r="G114" i="3"/>
  <c r="F256" i="4" s="1"/>
  <c r="F114" i="3"/>
  <c r="E256" i="4" s="1"/>
  <c r="E114" i="3"/>
  <c r="D256" i="4" s="1"/>
  <c r="D114" i="3"/>
  <c r="C256" i="4" s="1"/>
  <c r="C114" i="3"/>
  <c r="B256" i="4" s="1"/>
  <c r="B114" i="3"/>
  <c r="A114" i="3"/>
  <c r="A256" i="4" s="1"/>
  <c r="I113" i="3"/>
  <c r="H255" i="4" s="1"/>
  <c r="H113" i="3"/>
  <c r="G255" i="4" s="1"/>
  <c r="G113" i="3"/>
  <c r="F255" i="4" s="1"/>
  <c r="F113" i="3"/>
  <c r="E255" i="4" s="1"/>
  <c r="E113" i="3"/>
  <c r="D255" i="4" s="1"/>
  <c r="D113" i="3"/>
  <c r="C255" i="4" s="1"/>
  <c r="C113" i="3"/>
  <c r="B255" i="4" s="1"/>
  <c r="B113" i="3"/>
  <c r="A113" i="3"/>
  <c r="A255" i="4" s="1"/>
  <c r="I112" i="3"/>
  <c r="H254" i="4" s="1"/>
  <c r="H112" i="3"/>
  <c r="G254" i="4" s="1"/>
  <c r="G112" i="3"/>
  <c r="F254" i="4" s="1"/>
  <c r="F112" i="3"/>
  <c r="E254" i="4" s="1"/>
  <c r="E112" i="3"/>
  <c r="D254" i="4" s="1"/>
  <c r="D112" i="3"/>
  <c r="C254" i="4" s="1"/>
  <c r="C112" i="3"/>
  <c r="B254" i="4" s="1"/>
  <c r="B112" i="3"/>
  <c r="A112" i="3"/>
  <c r="A254" i="4" s="1"/>
  <c r="I111" i="3"/>
  <c r="H253" i="4" s="1"/>
  <c r="H111" i="3"/>
  <c r="G253" i="4" s="1"/>
  <c r="G111" i="3"/>
  <c r="F253" i="4" s="1"/>
  <c r="F111" i="3"/>
  <c r="E253" i="4" s="1"/>
  <c r="E111" i="3"/>
  <c r="D253" i="4" s="1"/>
  <c r="D111" i="3"/>
  <c r="C253" i="4" s="1"/>
  <c r="C111" i="3"/>
  <c r="B253" i="4" s="1"/>
  <c r="B111" i="3"/>
  <c r="A111" i="3"/>
  <c r="A253" i="4" s="1"/>
  <c r="I110" i="3"/>
  <c r="H252" i="4" s="1"/>
  <c r="H110" i="3"/>
  <c r="G252" i="4" s="1"/>
  <c r="G110" i="3"/>
  <c r="F252" i="4" s="1"/>
  <c r="F110" i="3"/>
  <c r="E252" i="4" s="1"/>
  <c r="E110" i="3"/>
  <c r="D252" i="4" s="1"/>
  <c r="D110" i="3"/>
  <c r="C252" i="4" s="1"/>
  <c r="C110" i="3"/>
  <c r="B252" i="4" s="1"/>
  <c r="B110" i="3"/>
  <c r="A110" i="3"/>
  <c r="A252" i="4" s="1"/>
  <c r="I109" i="3"/>
  <c r="H251" i="4" s="1"/>
  <c r="H109" i="3"/>
  <c r="G251" i="4" s="1"/>
  <c r="G109" i="3"/>
  <c r="F251" i="4" s="1"/>
  <c r="F109" i="3"/>
  <c r="E251" i="4" s="1"/>
  <c r="E109" i="3"/>
  <c r="D251" i="4" s="1"/>
  <c r="D109" i="3"/>
  <c r="C251" i="4" s="1"/>
  <c r="C109" i="3"/>
  <c r="B251" i="4" s="1"/>
  <c r="B109" i="3"/>
  <c r="A109" i="3"/>
  <c r="A251" i="4" s="1"/>
  <c r="I108" i="3"/>
  <c r="H250" i="4" s="1"/>
  <c r="H108" i="3"/>
  <c r="G250" i="4" s="1"/>
  <c r="G108" i="3"/>
  <c r="F250" i="4" s="1"/>
  <c r="F108" i="3"/>
  <c r="E250" i="4" s="1"/>
  <c r="E108" i="3"/>
  <c r="D250" i="4" s="1"/>
  <c r="D108" i="3"/>
  <c r="C250" i="4" s="1"/>
  <c r="C108" i="3"/>
  <c r="B250" i="4" s="1"/>
  <c r="B108" i="3"/>
  <c r="A108" i="3"/>
  <c r="A250" i="4" s="1"/>
  <c r="I107" i="3"/>
  <c r="H249" i="4" s="1"/>
  <c r="H107" i="3"/>
  <c r="G249" i="4" s="1"/>
  <c r="G107" i="3"/>
  <c r="F249" i="4" s="1"/>
  <c r="F107" i="3"/>
  <c r="E249" i="4" s="1"/>
  <c r="E107" i="3"/>
  <c r="D249" i="4" s="1"/>
  <c r="D107" i="3"/>
  <c r="C249" i="4" s="1"/>
  <c r="C107" i="3"/>
  <c r="B249" i="4" s="1"/>
  <c r="B107" i="3"/>
  <c r="A107" i="3"/>
  <c r="A249" i="4" s="1"/>
  <c r="I106" i="3"/>
  <c r="H248" i="4" s="1"/>
  <c r="H106" i="3"/>
  <c r="G248" i="4" s="1"/>
  <c r="G106" i="3"/>
  <c r="F248" i="4" s="1"/>
  <c r="F106" i="3"/>
  <c r="E248" i="4" s="1"/>
  <c r="E106" i="3"/>
  <c r="D248" i="4" s="1"/>
  <c r="D106" i="3"/>
  <c r="C248" i="4" s="1"/>
  <c r="C106" i="3"/>
  <c r="B248" i="4" s="1"/>
  <c r="B106" i="3"/>
  <c r="A106" i="3"/>
  <c r="A248" i="4" s="1"/>
  <c r="I105" i="3"/>
  <c r="H247" i="4" s="1"/>
  <c r="H105" i="3"/>
  <c r="G247" i="4" s="1"/>
  <c r="G105" i="3"/>
  <c r="F247" i="4" s="1"/>
  <c r="F105" i="3"/>
  <c r="E247" i="4" s="1"/>
  <c r="E105" i="3"/>
  <c r="D247" i="4" s="1"/>
  <c r="D105" i="3"/>
  <c r="C247" i="4" s="1"/>
  <c r="C105" i="3"/>
  <c r="B247" i="4" s="1"/>
  <c r="B105" i="3"/>
  <c r="A105" i="3"/>
  <c r="A247" i="4" s="1"/>
  <c r="I104" i="3"/>
  <c r="H246" i="4" s="1"/>
  <c r="H104" i="3"/>
  <c r="G246" i="4" s="1"/>
  <c r="G104" i="3"/>
  <c r="F246" i="4" s="1"/>
  <c r="F104" i="3"/>
  <c r="E246" i="4" s="1"/>
  <c r="E104" i="3"/>
  <c r="D246" i="4" s="1"/>
  <c r="D104" i="3"/>
  <c r="C246" i="4" s="1"/>
  <c r="C104" i="3"/>
  <c r="B246" i="4" s="1"/>
  <c r="B104" i="3"/>
  <c r="A104" i="3"/>
  <c r="A246" i="4" s="1"/>
  <c r="I103" i="3"/>
  <c r="H245" i="4" s="1"/>
  <c r="H103" i="3"/>
  <c r="G245" i="4" s="1"/>
  <c r="G103" i="3"/>
  <c r="F245" i="4" s="1"/>
  <c r="F103" i="3"/>
  <c r="E245" i="4" s="1"/>
  <c r="E103" i="3"/>
  <c r="D245" i="4" s="1"/>
  <c r="D103" i="3"/>
  <c r="C245" i="4" s="1"/>
  <c r="C103" i="3"/>
  <c r="B245" i="4" s="1"/>
  <c r="B103" i="3"/>
  <c r="A103" i="3"/>
  <c r="A245" i="4" s="1"/>
  <c r="I102" i="3"/>
  <c r="H244" i="4" s="1"/>
  <c r="H102" i="3"/>
  <c r="G244" i="4" s="1"/>
  <c r="G102" i="3"/>
  <c r="F244" i="4" s="1"/>
  <c r="F102" i="3"/>
  <c r="E244" i="4" s="1"/>
  <c r="E102" i="3"/>
  <c r="D244" i="4" s="1"/>
  <c r="D102" i="3"/>
  <c r="C244" i="4" s="1"/>
  <c r="C102" i="3"/>
  <c r="B244" i="4" s="1"/>
  <c r="B102" i="3"/>
  <c r="A102" i="3"/>
  <c r="A244" i="4" s="1"/>
  <c r="I101" i="3"/>
  <c r="H243" i="4" s="1"/>
  <c r="H101" i="3"/>
  <c r="G243" i="4" s="1"/>
  <c r="G101" i="3"/>
  <c r="F243" i="4" s="1"/>
  <c r="F101" i="3"/>
  <c r="E243" i="4" s="1"/>
  <c r="E101" i="3"/>
  <c r="D243" i="4" s="1"/>
  <c r="D101" i="3"/>
  <c r="C243" i="4" s="1"/>
  <c r="C101" i="3"/>
  <c r="B243" i="4" s="1"/>
  <c r="B101" i="3"/>
  <c r="A101" i="3"/>
  <c r="A243" i="4" s="1"/>
  <c r="I100" i="3"/>
  <c r="H242" i="4" s="1"/>
  <c r="H100" i="3"/>
  <c r="G242" i="4" s="1"/>
  <c r="G100" i="3"/>
  <c r="F242" i="4" s="1"/>
  <c r="F100" i="3"/>
  <c r="E242" i="4" s="1"/>
  <c r="E100" i="3"/>
  <c r="D242" i="4" s="1"/>
  <c r="D100" i="3"/>
  <c r="C242" i="4" s="1"/>
  <c r="C100" i="3"/>
  <c r="B242" i="4" s="1"/>
  <c r="B100" i="3"/>
  <c r="A100" i="3"/>
  <c r="A242" i="4" s="1"/>
  <c r="I99" i="3"/>
  <c r="H241" i="4" s="1"/>
  <c r="H99" i="3"/>
  <c r="G241" i="4" s="1"/>
  <c r="G99" i="3"/>
  <c r="F241" i="4" s="1"/>
  <c r="F99" i="3"/>
  <c r="E241" i="4" s="1"/>
  <c r="E99" i="3"/>
  <c r="D241" i="4" s="1"/>
  <c r="D99" i="3"/>
  <c r="C241" i="4" s="1"/>
  <c r="C99" i="3"/>
  <c r="B241" i="4" s="1"/>
  <c r="B99" i="3"/>
  <c r="A99" i="3"/>
  <c r="A241" i="4" s="1"/>
  <c r="I98" i="3"/>
  <c r="H240" i="4" s="1"/>
  <c r="H98" i="3"/>
  <c r="G240" i="4" s="1"/>
  <c r="G98" i="3"/>
  <c r="F240" i="4" s="1"/>
  <c r="F98" i="3"/>
  <c r="E240" i="4" s="1"/>
  <c r="E98" i="3"/>
  <c r="D240" i="4" s="1"/>
  <c r="D98" i="3"/>
  <c r="C240" i="4" s="1"/>
  <c r="C98" i="3"/>
  <c r="B240" i="4" s="1"/>
  <c r="B98" i="3"/>
  <c r="A98" i="3"/>
  <c r="A240" i="4" s="1"/>
  <c r="I97" i="3"/>
  <c r="H239" i="4" s="1"/>
  <c r="H97" i="3"/>
  <c r="G239" i="4" s="1"/>
  <c r="G97" i="3"/>
  <c r="F239" i="4" s="1"/>
  <c r="F97" i="3"/>
  <c r="E239" i="4" s="1"/>
  <c r="E97" i="3"/>
  <c r="D239" i="4" s="1"/>
  <c r="D97" i="3"/>
  <c r="C239" i="4" s="1"/>
  <c r="C97" i="3"/>
  <c r="B239" i="4" s="1"/>
  <c r="B97" i="3"/>
  <c r="A97" i="3"/>
  <c r="A239" i="4" s="1"/>
  <c r="I96" i="3"/>
  <c r="H238" i="4" s="1"/>
  <c r="H96" i="3"/>
  <c r="G238" i="4" s="1"/>
  <c r="G96" i="3"/>
  <c r="F238" i="4" s="1"/>
  <c r="F96" i="3"/>
  <c r="E238" i="4" s="1"/>
  <c r="E96" i="3"/>
  <c r="D238" i="4" s="1"/>
  <c r="D96" i="3"/>
  <c r="C238" i="4" s="1"/>
  <c r="C96" i="3"/>
  <c r="B238" i="4" s="1"/>
  <c r="B96" i="3"/>
  <c r="A96" i="3"/>
  <c r="A238" i="4" s="1"/>
  <c r="I95" i="3"/>
  <c r="H237" i="4" s="1"/>
  <c r="H95" i="3"/>
  <c r="G237" i="4" s="1"/>
  <c r="G95" i="3"/>
  <c r="F237" i="4" s="1"/>
  <c r="F95" i="3"/>
  <c r="E237" i="4" s="1"/>
  <c r="E95" i="3"/>
  <c r="D237" i="4" s="1"/>
  <c r="D95" i="3"/>
  <c r="C237" i="4" s="1"/>
  <c r="C95" i="3"/>
  <c r="B237" i="4" s="1"/>
  <c r="B95" i="3"/>
  <c r="A95" i="3"/>
  <c r="A237" i="4" s="1"/>
  <c r="I94" i="3"/>
  <c r="H236" i="4" s="1"/>
  <c r="H94" i="3"/>
  <c r="G236" i="4" s="1"/>
  <c r="G94" i="3"/>
  <c r="F236" i="4" s="1"/>
  <c r="F94" i="3"/>
  <c r="E236" i="4" s="1"/>
  <c r="E94" i="3"/>
  <c r="D236" i="4" s="1"/>
  <c r="D94" i="3"/>
  <c r="C236" i="4" s="1"/>
  <c r="C94" i="3"/>
  <c r="B236" i="4" s="1"/>
  <c r="B94" i="3"/>
  <c r="A94" i="3"/>
  <c r="A236" i="4" s="1"/>
  <c r="I93" i="3"/>
  <c r="H235" i="4" s="1"/>
  <c r="H93" i="3"/>
  <c r="G235" i="4" s="1"/>
  <c r="G93" i="3"/>
  <c r="F235" i="4" s="1"/>
  <c r="F93" i="3"/>
  <c r="E235" i="4" s="1"/>
  <c r="E93" i="3"/>
  <c r="D235" i="4" s="1"/>
  <c r="D93" i="3"/>
  <c r="C235" i="4" s="1"/>
  <c r="C93" i="3"/>
  <c r="B235" i="4" s="1"/>
  <c r="B93" i="3"/>
  <c r="A93" i="3"/>
  <c r="A235" i="4" s="1"/>
  <c r="I92" i="3"/>
  <c r="H234" i="4" s="1"/>
  <c r="H92" i="3"/>
  <c r="G234" i="4" s="1"/>
  <c r="G92" i="3"/>
  <c r="F234" i="4" s="1"/>
  <c r="F92" i="3"/>
  <c r="E234" i="4" s="1"/>
  <c r="E92" i="3"/>
  <c r="D234" i="4" s="1"/>
  <c r="D92" i="3"/>
  <c r="C234" i="4" s="1"/>
  <c r="C92" i="3"/>
  <c r="B234" i="4" s="1"/>
  <c r="B92" i="3"/>
  <c r="A92" i="3"/>
  <c r="A234" i="4" s="1"/>
  <c r="I91" i="3"/>
  <c r="H233" i="4" s="1"/>
  <c r="H91" i="3"/>
  <c r="G233" i="4" s="1"/>
  <c r="G91" i="3"/>
  <c r="F233" i="4" s="1"/>
  <c r="F91" i="3"/>
  <c r="E233" i="4" s="1"/>
  <c r="E91" i="3"/>
  <c r="D233" i="4" s="1"/>
  <c r="D91" i="3"/>
  <c r="C233" i="4" s="1"/>
  <c r="C91" i="3"/>
  <c r="B233" i="4" s="1"/>
  <c r="B91" i="3"/>
  <c r="A91" i="3"/>
  <c r="A233" i="4" s="1"/>
  <c r="I90" i="3"/>
  <c r="H232" i="4" s="1"/>
  <c r="H90" i="3"/>
  <c r="G232" i="4" s="1"/>
  <c r="G90" i="3"/>
  <c r="F232" i="4" s="1"/>
  <c r="F90" i="3"/>
  <c r="E232" i="4" s="1"/>
  <c r="E90" i="3"/>
  <c r="D232" i="4" s="1"/>
  <c r="D90" i="3"/>
  <c r="C232" i="4" s="1"/>
  <c r="C90" i="3"/>
  <c r="B232" i="4" s="1"/>
  <c r="B90" i="3"/>
  <c r="A90" i="3"/>
  <c r="A232" i="4" s="1"/>
  <c r="I89" i="3"/>
  <c r="H231" i="4" s="1"/>
  <c r="H89" i="3"/>
  <c r="G231" i="4" s="1"/>
  <c r="G89" i="3"/>
  <c r="F231" i="4" s="1"/>
  <c r="F89" i="3"/>
  <c r="E231" i="4" s="1"/>
  <c r="E89" i="3"/>
  <c r="D231" i="4" s="1"/>
  <c r="D89" i="3"/>
  <c r="C231" i="4" s="1"/>
  <c r="C89" i="3"/>
  <c r="B231" i="4" s="1"/>
  <c r="B89" i="3"/>
  <c r="A89" i="3"/>
  <c r="A231" i="4" s="1"/>
  <c r="I88" i="3"/>
  <c r="H230" i="4" s="1"/>
  <c r="H88" i="3"/>
  <c r="G230" i="4" s="1"/>
  <c r="G88" i="3"/>
  <c r="F230" i="4" s="1"/>
  <c r="F88" i="3"/>
  <c r="E230" i="4" s="1"/>
  <c r="E88" i="3"/>
  <c r="D230" i="4" s="1"/>
  <c r="D88" i="3"/>
  <c r="C230" i="4" s="1"/>
  <c r="C88" i="3"/>
  <c r="B230" i="4" s="1"/>
  <c r="B88" i="3"/>
  <c r="A88" i="3"/>
  <c r="A230" i="4" s="1"/>
  <c r="I87" i="3"/>
  <c r="H229" i="4" s="1"/>
  <c r="H87" i="3"/>
  <c r="G229" i="4" s="1"/>
  <c r="G87" i="3"/>
  <c r="F229" i="4" s="1"/>
  <c r="F87" i="3"/>
  <c r="E229" i="4" s="1"/>
  <c r="E87" i="3"/>
  <c r="D229" i="4" s="1"/>
  <c r="D87" i="3"/>
  <c r="C229" i="4" s="1"/>
  <c r="C87" i="3"/>
  <c r="B229" i="4" s="1"/>
  <c r="B87" i="3"/>
  <c r="A87" i="3"/>
  <c r="A229" i="4" s="1"/>
  <c r="I86" i="3"/>
  <c r="H228" i="4" s="1"/>
  <c r="H86" i="3"/>
  <c r="G228" i="4" s="1"/>
  <c r="G86" i="3"/>
  <c r="F228" i="4" s="1"/>
  <c r="F86" i="3"/>
  <c r="E228" i="4" s="1"/>
  <c r="E86" i="3"/>
  <c r="D228" i="4" s="1"/>
  <c r="D86" i="3"/>
  <c r="C228" i="4" s="1"/>
  <c r="C86" i="3"/>
  <c r="B228" i="4" s="1"/>
  <c r="B86" i="3"/>
  <c r="A86" i="3"/>
  <c r="A228" i="4" s="1"/>
  <c r="I85" i="3"/>
  <c r="H227" i="4" s="1"/>
  <c r="H85" i="3"/>
  <c r="G227" i="4" s="1"/>
  <c r="G85" i="3"/>
  <c r="F227" i="4" s="1"/>
  <c r="F85" i="3"/>
  <c r="E227" i="4" s="1"/>
  <c r="E85" i="3"/>
  <c r="D227" i="4" s="1"/>
  <c r="D85" i="3"/>
  <c r="C227" i="4" s="1"/>
  <c r="C85" i="3"/>
  <c r="B227" i="4" s="1"/>
  <c r="B85" i="3"/>
  <c r="A85" i="3"/>
  <c r="A227" i="4" s="1"/>
  <c r="I84" i="3"/>
  <c r="H226" i="4" s="1"/>
  <c r="H84" i="3"/>
  <c r="G226" i="4" s="1"/>
  <c r="G84" i="3"/>
  <c r="F226" i="4" s="1"/>
  <c r="F84" i="3"/>
  <c r="E226" i="4" s="1"/>
  <c r="E84" i="3"/>
  <c r="D226" i="4" s="1"/>
  <c r="D84" i="3"/>
  <c r="C226" i="4" s="1"/>
  <c r="C84" i="3"/>
  <c r="B226" i="4" s="1"/>
  <c r="B84" i="3"/>
  <c r="A84" i="3"/>
  <c r="A226" i="4" s="1"/>
  <c r="I83" i="3"/>
  <c r="H225" i="4" s="1"/>
  <c r="H83" i="3"/>
  <c r="G225" i="4" s="1"/>
  <c r="G83" i="3"/>
  <c r="F225" i="4" s="1"/>
  <c r="F83" i="3"/>
  <c r="E225" i="4" s="1"/>
  <c r="E83" i="3"/>
  <c r="D225" i="4" s="1"/>
  <c r="D83" i="3"/>
  <c r="C225" i="4" s="1"/>
  <c r="C83" i="3"/>
  <c r="B225" i="4" s="1"/>
  <c r="B83" i="3"/>
  <c r="A83" i="3"/>
  <c r="A225" i="4" s="1"/>
  <c r="I82" i="3"/>
  <c r="H224" i="4" s="1"/>
  <c r="H82" i="3"/>
  <c r="G224" i="4" s="1"/>
  <c r="G82" i="3"/>
  <c r="F224" i="4" s="1"/>
  <c r="F82" i="3"/>
  <c r="E224" i="4" s="1"/>
  <c r="E82" i="3"/>
  <c r="D224" i="4" s="1"/>
  <c r="D82" i="3"/>
  <c r="C224" i="4" s="1"/>
  <c r="C82" i="3"/>
  <c r="B224" i="4" s="1"/>
  <c r="B82" i="3"/>
  <c r="A82" i="3"/>
  <c r="A224" i="4" s="1"/>
  <c r="I81" i="3"/>
  <c r="H223" i="4" s="1"/>
  <c r="H81" i="3"/>
  <c r="G223" i="4" s="1"/>
  <c r="G81" i="3"/>
  <c r="F223" i="4" s="1"/>
  <c r="F81" i="3"/>
  <c r="E223" i="4" s="1"/>
  <c r="E81" i="3"/>
  <c r="D223" i="4" s="1"/>
  <c r="D81" i="3"/>
  <c r="C223" i="4" s="1"/>
  <c r="C81" i="3"/>
  <c r="B223" i="4" s="1"/>
  <c r="B81" i="3"/>
  <c r="A81" i="3"/>
  <c r="A223" i="4" s="1"/>
  <c r="I80" i="3"/>
  <c r="H222" i="4" s="1"/>
  <c r="H80" i="3"/>
  <c r="G222" i="4" s="1"/>
  <c r="G80" i="3"/>
  <c r="F222" i="4" s="1"/>
  <c r="F80" i="3"/>
  <c r="E222" i="4" s="1"/>
  <c r="E80" i="3"/>
  <c r="D222" i="4" s="1"/>
  <c r="D80" i="3"/>
  <c r="C222" i="4" s="1"/>
  <c r="C80" i="3"/>
  <c r="B222" i="4" s="1"/>
  <c r="B80" i="3"/>
  <c r="A80" i="3"/>
  <c r="A222" i="4" s="1"/>
  <c r="I79" i="3"/>
  <c r="H221" i="4" s="1"/>
  <c r="H79" i="3"/>
  <c r="G221" i="4" s="1"/>
  <c r="G79" i="3"/>
  <c r="F221" i="4" s="1"/>
  <c r="F79" i="3"/>
  <c r="E221" i="4" s="1"/>
  <c r="E79" i="3"/>
  <c r="D221" i="4" s="1"/>
  <c r="D79" i="3"/>
  <c r="C221" i="4" s="1"/>
  <c r="C79" i="3"/>
  <c r="B221" i="4" s="1"/>
  <c r="B79" i="3"/>
  <c r="A79" i="3"/>
  <c r="A221" i="4" s="1"/>
  <c r="I78" i="3"/>
  <c r="H220" i="4" s="1"/>
  <c r="H78" i="3"/>
  <c r="G220" i="4" s="1"/>
  <c r="G78" i="3"/>
  <c r="F220" i="4" s="1"/>
  <c r="F78" i="3"/>
  <c r="E220" i="4" s="1"/>
  <c r="E78" i="3"/>
  <c r="D220" i="4" s="1"/>
  <c r="D78" i="3"/>
  <c r="C220" i="4" s="1"/>
  <c r="C78" i="3"/>
  <c r="B220" i="4" s="1"/>
  <c r="B78" i="3"/>
  <c r="A78" i="3"/>
  <c r="A220" i="4" s="1"/>
  <c r="I77" i="3"/>
  <c r="H219" i="4" s="1"/>
  <c r="H77" i="3"/>
  <c r="G219" i="4" s="1"/>
  <c r="G77" i="3"/>
  <c r="F219" i="4" s="1"/>
  <c r="F77" i="3"/>
  <c r="E219" i="4" s="1"/>
  <c r="E77" i="3"/>
  <c r="D219" i="4" s="1"/>
  <c r="D77" i="3"/>
  <c r="C219" i="4" s="1"/>
  <c r="C77" i="3"/>
  <c r="B219" i="4" s="1"/>
  <c r="B77" i="3"/>
  <c r="A77" i="3"/>
  <c r="A219" i="4" s="1"/>
  <c r="I76" i="3"/>
  <c r="H218" i="4" s="1"/>
  <c r="H76" i="3"/>
  <c r="G218" i="4" s="1"/>
  <c r="G76" i="3"/>
  <c r="F218" i="4" s="1"/>
  <c r="F76" i="3"/>
  <c r="E218" i="4" s="1"/>
  <c r="E76" i="3"/>
  <c r="D218" i="4" s="1"/>
  <c r="D76" i="3"/>
  <c r="C218" i="4" s="1"/>
  <c r="C76" i="3"/>
  <c r="B218" i="4" s="1"/>
  <c r="B76" i="3"/>
  <c r="A76" i="3"/>
  <c r="A218" i="4" s="1"/>
  <c r="I75" i="3"/>
  <c r="H217" i="4" s="1"/>
  <c r="H75" i="3"/>
  <c r="G217" i="4" s="1"/>
  <c r="G75" i="3"/>
  <c r="F217" i="4" s="1"/>
  <c r="F75" i="3"/>
  <c r="E217" i="4" s="1"/>
  <c r="E75" i="3"/>
  <c r="D217" i="4" s="1"/>
  <c r="D75" i="3"/>
  <c r="C217" i="4" s="1"/>
  <c r="C75" i="3"/>
  <c r="B217" i="4" s="1"/>
  <c r="B75" i="3"/>
  <c r="A75" i="3"/>
  <c r="A217" i="4" s="1"/>
  <c r="I74" i="3"/>
  <c r="H216" i="4" s="1"/>
  <c r="H74" i="3"/>
  <c r="G216" i="4" s="1"/>
  <c r="G74" i="3"/>
  <c r="F216" i="4" s="1"/>
  <c r="F74" i="3"/>
  <c r="E216" i="4" s="1"/>
  <c r="E74" i="3"/>
  <c r="D216" i="4" s="1"/>
  <c r="D74" i="3"/>
  <c r="C216" i="4" s="1"/>
  <c r="C74" i="3"/>
  <c r="B216" i="4" s="1"/>
  <c r="B74" i="3"/>
  <c r="A74" i="3"/>
  <c r="A216" i="4" s="1"/>
  <c r="I73" i="3"/>
  <c r="H215" i="4" s="1"/>
  <c r="H73" i="3"/>
  <c r="G215" i="4" s="1"/>
  <c r="G73" i="3"/>
  <c r="F215" i="4" s="1"/>
  <c r="F73" i="3"/>
  <c r="E215" i="4" s="1"/>
  <c r="E73" i="3"/>
  <c r="D215" i="4" s="1"/>
  <c r="D73" i="3"/>
  <c r="C215" i="4" s="1"/>
  <c r="C73" i="3"/>
  <c r="B215" i="4" s="1"/>
  <c r="B73" i="3"/>
  <c r="A73" i="3"/>
  <c r="A215" i="4" s="1"/>
  <c r="I72" i="3"/>
  <c r="H214" i="4" s="1"/>
  <c r="H72" i="3"/>
  <c r="G214" i="4" s="1"/>
  <c r="G72" i="3"/>
  <c r="F214" i="4" s="1"/>
  <c r="F72" i="3"/>
  <c r="E214" i="4" s="1"/>
  <c r="E72" i="3"/>
  <c r="D214" i="4" s="1"/>
  <c r="D72" i="3"/>
  <c r="C214" i="4" s="1"/>
  <c r="C72" i="3"/>
  <c r="B214" i="4" s="1"/>
  <c r="B72" i="3"/>
  <c r="A72" i="3"/>
  <c r="A214" i="4" s="1"/>
  <c r="I71" i="3"/>
  <c r="H213" i="4" s="1"/>
  <c r="H71" i="3"/>
  <c r="G213" i="4" s="1"/>
  <c r="G71" i="3"/>
  <c r="F213" i="4" s="1"/>
  <c r="F71" i="3"/>
  <c r="E213" i="4" s="1"/>
  <c r="E71" i="3"/>
  <c r="D213" i="4" s="1"/>
  <c r="D71" i="3"/>
  <c r="C213" i="4" s="1"/>
  <c r="C71" i="3"/>
  <c r="B213" i="4" s="1"/>
  <c r="B71" i="3"/>
  <c r="A71" i="3"/>
  <c r="A213" i="4" s="1"/>
  <c r="I70" i="3"/>
  <c r="H212" i="4" s="1"/>
  <c r="H70" i="3"/>
  <c r="G212" i="4" s="1"/>
  <c r="G70" i="3"/>
  <c r="F212" i="4" s="1"/>
  <c r="F70" i="3"/>
  <c r="E212" i="4" s="1"/>
  <c r="E70" i="3"/>
  <c r="D212" i="4" s="1"/>
  <c r="D70" i="3"/>
  <c r="C212" i="4" s="1"/>
  <c r="C70" i="3"/>
  <c r="B212" i="4" s="1"/>
  <c r="B70" i="3"/>
  <c r="A70" i="3"/>
  <c r="A212" i="4" s="1"/>
  <c r="I69" i="3"/>
  <c r="H211" i="4" s="1"/>
  <c r="H69" i="3"/>
  <c r="G211" i="4" s="1"/>
  <c r="G69" i="3"/>
  <c r="F211" i="4" s="1"/>
  <c r="F69" i="3"/>
  <c r="E211" i="4" s="1"/>
  <c r="E69" i="3"/>
  <c r="D211" i="4" s="1"/>
  <c r="D69" i="3"/>
  <c r="C211" i="4" s="1"/>
  <c r="C69" i="3"/>
  <c r="B211" i="4" s="1"/>
  <c r="B69" i="3"/>
  <c r="A69" i="3"/>
  <c r="A211" i="4" s="1"/>
  <c r="I68" i="3"/>
  <c r="H210" i="4" s="1"/>
  <c r="H68" i="3"/>
  <c r="G210" i="4" s="1"/>
  <c r="G68" i="3"/>
  <c r="F210" i="4" s="1"/>
  <c r="F68" i="3"/>
  <c r="E210" i="4" s="1"/>
  <c r="E68" i="3"/>
  <c r="D210" i="4" s="1"/>
  <c r="D68" i="3"/>
  <c r="C210" i="4" s="1"/>
  <c r="C68" i="3"/>
  <c r="B210" i="4" s="1"/>
  <c r="B68" i="3"/>
  <c r="A68" i="3"/>
  <c r="A210" i="4" s="1"/>
  <c r="I67" i="3"/>
  <c r="H209" i="4" s="1"/>
  <c r="H67" i="3"/>
  <c r="G209" i="4" s="1"/>
  <c r="G67" i="3"/>
  <c r="F209" i="4" s="1"/>
  <c r="F67" i="3"/>
  <c r="E209" i="4" s="1"/>
  <c r="E67" i="3"/>
  <c r="D209" i="4" s="1"/>
  <c r="D67" i="3"/>
  <c r="C209" i="4" s="1"/>
  <c r="C67" i="3"/>
  <c r="B209" i="4" s="1"/>
  <c r="B67" i="3"/>
  <c r="A67" i="3"/>
  <c r="A209" i="4" s="1"/>
  <c r="I66" i="3"/>
  <c r="H208" i="4" s="1"/>
  <c r="H66" i="3"/>
  <c r="G208" i="4" s="1"/>
  <c r="G66" i="3"/>
  <c r="F208" i="4" s="1"/>
  <c r="F66" i="3"/>
  <c r="E208" i="4" s="1"/>
  <c r="E66" i="3"/>
  <c r="D208" i="4" s="1"/>
  <c r="D66" i="3"/>
  <c r="C208" i="4" s="1"/>
  <c r="C66" i="3"/>
  <c r="B208" i="4" s="1"/>
  <c r="B66" i="3"/>
  <c r="A66" i="3"/>
  <c r="A208" i="4" s="1"/>
  <c r="I65" i="3"/>
  <c r="H207" i="4" s="1"/>
  <c r="H65" i="3"/>
  <c r="G207" i="4" s="1"/>
  <c r="G65" i="3"/>
  <c r="F207" i="4" s="1"/>
  <c r="F65" i="3"/>
  <c r="E207" i="4" s="1"/>
  <c r="E65" i="3"/>
  <c r="D207" i="4" s="1"/>
  <c r="D65" i="3"/>
  <c r="C207" i="4" s="1"/>
  <c r="C65" i="3"/>
  <c r="B207" i="4" s="1"/>
  <c r="B65" i="3"/>
  <c r="A65" i="3"/>
  <c r="A207" i="4" s="1"/>
  <c r="I64" i="3"/>
  <c r="H206" i="4" s="1"/>
  <c r="H64" i="3"/>
  <c r="G206" i="4" s="1"/>
  <c r="G64" i="3"/>
  <c r="F206" i="4" s="1"/>
  <c r="F64" i="3"/>
  <c r="E206" i="4" s="1"/>
  <c r="E64" i="3"/>
  <c r="D206" i="4" s="1"/>
  <c r="D64" i="3"/>
  <c r="C206" i="4" s="1"/>
  <c r="C64" i="3"/>
  <c r="B206" i="4" s="1"/>
  <c r="B64" i="3"/>
  <c r="A64" i="3"/>
  <c r="A206" i="4" s="1"/>
  <c r="I63" i="3"/>
  <c r="H205" i="4" s="1"/>
  <c r="H63" i="3"/>
  <c r="G205" i="4" s="1"/>
  <c r="G63" i="3"/>
  <c r="F205" i="4" s="1"/>
  <c r="F63" i="3"/>
  <c r="E205" i="4" s="1"/>
  <c r="E63" i="3"/>
  <c r="D205" i="4" s="1"/>
  <c r="D63" i="3"/>
  <c r="C205" i="4" s="1"/>
  <c r="C63" i="3"/>
  <c r="B205" i="4" s="1"/>
  <c r="B63" i="3"/>
  <c r="A63" i="3"/>
  <c r="A205" i="4" s="1"/>
  <c r="I62" i="3"/>
  <c r="H204" i="4" s="1"/>
  <c r="H62" i="3"/>
  <c r="G204" i="4" s="1"/>
  <c r="G62" i="3"/>
  <c r="F204" i="4" s="1"/>
  <c r="F62" i="3"/>
  <c r="E204" i="4" s="1"/>
  <c r="E62" i="3"/>
  <c r="D204" i="4" s="1"/>
  <c r="D62" i="3"/>
  <c r="C204" i="4" s="1"/>
  <c r="C62" i="3"/>
  <c r="B204" i="4" s="1"/>
  <c r="B62" i="3"/>
  <c r="A62" i="3"/>
  <c r="A204" i="4" s="1"/>
  <c r="I61" i="3"/>
  <c r="H203" i="4" s="1"/>
  <c r="H61" i="3"/>
  <c r="G203" i="4" s="1"/>
  <c r="G61" i="3"/>
  <c r="F203" i="4" s="1"/>
  <c r="F61" i="3"/>
  <c r="E203" i="4" s="1"/>
  <c r="E61" i="3"/>
  <c r="D203" i="4" s="1"/>
  <c r="D61" i="3"/>
  <c r="C203" i="4" s="1"/>
  <c r="C61" i="3"/>
  <c r="B203" i="4" s="1"/>
  <c r="B61" i="3"/>
  <c r="A61" i="3"/>
  <c r="A203" i="4" s="1"/>
  <c r="I60" i="3"/>
  <c r="H202" i="4" s="1"/>
  <c r="H60" i="3"/>
  <c r="G202" i="4" s="1"/>
  <c r="G60" i="3"/>
  <c r="F202" i="4" s="1"/>
  <c r="F60" i="3"/>
  <c r="E202" i="4" s="1"/>
  <c r="E60" i="3"/>
  <c r="D202" i="4" s="1"/>
  <c r="D60" i="3"/>
  <c r="C202" i="4" s="1"/>
  <c r="C60" i="3"/>
  <c r="B202" i="4" s="1"/>
  <c r="B60" i="3"/>
  <c r="A60" i="3"/>
  <c r="A202" i="4" s="1"/>
  <c r="I59" i="3"/>
  <c r="H201" i="4" s="1"/>
  <c r="H59" i="3"/>
  <c r="G201" i="4" s="1"/>
  <c r="G59" i="3"/>
  <c r="F201" i="4" s="1"/>
  <c r="F59" i="3"/>
  <c r="E201" i="4" s="1"/>
  <c r="E59" i="3"/>
  <c r="D201" i="4" s="1"/>
  <c r="D59" i="3"/>
  <c r="C201" i="4" s="1"/>
  <c r="C59" i="3"/>
  <c r="B201" i="4" s="1"/>
  <c r="B59" i="3"/>
  <c r="A59" i="3"/>
  <c r="A201" i="4" s="1"/>
  <c r="I58" i="3"/>
  <c r="H200" i="4" s="1"/>
  <c r="H58" i="3"/>
  <c r="G200" i="4" s="1"/>
  <c r="G58" i="3"/>
  <c r="F200" i="4" s="1"/>
  <c r="F58" i="3"/>
  <c r="E200" i="4" s="1"/>
  <c r="E58" i="3"/>
  <c r="D200" i="4" s="1"/>
  <c r="D58" i="3"/>
  <c r="C200" i="4" s="1"/>
  <c r="C58" i="3"/>
  <c r="B200" i="4" s="1"/>
  <c r="B58" i="3"/>
  <c r="A58" i="3"/>
  <c r="A200" i="4" s="1"/>
  <c r="I57" i="3"/>
  <c r="H199" i="4" s="1"/>
  <c r="H57" i="3"/>
  <c r="G199" i="4" s="1"/>
  <c r="G57" i="3"/>
  <c r="F199" i="4" s="1"/>
  <c r="F57" i="3"/>
  <c r="E199" i="4" s="1"/>
  <c r="E57" i="3"/>
  <c r="D199" i="4" s="1"/>
  <c r="D57" i="3"/>
  <c r="C199" i="4" s="1"/>
  <c r="C57" i="3"/>
  <c r="B199" i="4" s="1"/>
  <c r="B57" i="3"/>
  <c r="A57" i="3"/>
  <c r="A199" i="4" s="1"/>
  <c r="I56" i="3"/>
  <c r="H198" i="4" s="1"/>
  <c r="H56" i="3"/>
  <c r="G198" i="4" s="1"/>
  <c r="G56" i="3"/>
  <c r="F198" i="4" s="1"/>
  <c r="F56" i="3"/>
  <c r="E198" i="4" s="1"/>
  <c r="E56" i="3"/>
  <c r="D198" i="4" s="1"/>
  <c r="D56" i="3"/>
  <c r="C198" i="4" s="1"/>
  <c r="C56" i="3"/>
  <c r="B198" i="4" s="1"/>
  <c r="B56" i="3"/>
  <c r="A56" i="3"/>
  <c r="A198" i="4" s="1"/>
  <c r="I55" i="3"/>
  <c r="H197" i="4" s="1"/>
  <c r="H55" i="3"/>
  <c r="G197" i="4" s="1"/>
  <c r="G55" i="3"/>
  <c r="F197" i="4" s="1"/>
  <c r="F55" i="3"/>
  <c r="E197" i="4" s="1"/>
  <c r="E55" i="3"/>
  <c r="D197" i="4" s="1"/>
  <c r="D55" i="3"/>
  <c r="C197" i="4" s="1"/>
  <c r="C55" i="3"/>
  <c r="B197" i="4" s="1"/>
  <c r="B55" i="3"/>
  <c r="A55" i="3"/>
  <c r="A197" i="4" s="1"/>
  <c r="I54" i="3"/>
  <c r="H196" i="4" s="1"/>
  <c r="H54" i="3"/>
  <c r="G196" i="4" s="1"/>
  <c r="G54" i="3"/>
  <c r="F196" i="4" s="1"/>
  <c r="F54" i="3"/>
  <c r="E196" i="4" s="1"/>
  <c r="E54" i="3"/>
  <c r="D196" i="4" s="1"/>
  <c r="D54" i="3"/>
  <c r="C196" i="4" s="1"/>
  <c r="C54" i="3"/>
  <c r="B196" i="4" s="1"/>
  <c r="B54" i="3"/>
  <c r="A54" i="3"/>
  <c r="A196" i="4" s="1"/>
  <c r="I53" i="3"/>
  <c r="H195" i="4" s="1"/>
  <c r="H53" i="3"/>
  <c r="G195" i="4" s="1"/>
  <c r="G53" i="3"/>
  <c r="F195" i="4" s="1"/>
  <c r="F53" i="3"/>
  <c r="E195" i="4" s="1"/>
  <c r="E53" i="3"/>
  <c r="D195" i="4" s="1"/>
  <c r="D53" i="3"/>
  <c r="C195" i="4" s="1"/>
  <c r="C53" i="3"/>
  <c r="B195" i="4" s="1"/>
  <c r="B53" i="3"/>
  <c r="A53" i="3"/>
  <c r="A195" i="4" s="1"/>
  <c r="I52" i="3"/>
  <c r="H194" i="4" s="1"/>
  <c r="H52" i="3"/>
  <c r="G194" i="4" s="1"/>
  <c r="G52" i="3"/>
  <c r="F194" i="4" s="1"/>
  <c r="F52" i="3"/>
  <c r="E194" i="4" s="1"/>
  <c r="E52" i="3"/>
  <c r="D194" i="4" s="1"/>
  <c r="D52" i="3"/>
  <c r="C194" i="4" s="1"/>
  <c r="C52" i="3"/>
  <c r="B194" i="4" s="1"/>
  <c r="B52" i="3"/>
  <c r="A52" i="3"/>
  <c r="A194" i="4" s="1"/>
  <c r="I51" i="3"/>
  <c r="H193" i="4" s="1"/>
  <c r="H51" i="3"/>
  <c r="G193" i="4" s="1"/>
  <c r="G51" i="3"/>
  <c r="F193" i="4" s="1"/>
  <c r="F51" i="3"/>
  <c r="E193" i="4" s="1"/>
  <c r="E51" i="3"/>
  <c r="D193" i="4" s="1"/>
  <c r="D51" i="3"/>
  <c r="C193" i="4" s="1"/>
  <c r="C51" i="3"/>
  <c r="B193" i="4" s="1"/>
  <c r="B51" i="3"/>
  <c r="A51" i="3"/>
  <c r="A193" i="4" s="1"/>
  <c r="I50" i="3"/>
  <c r="H192" i="4" s="1"/>
  <c r="H50" i="3"/>
  <c r="G192" i="4" s="1"/>
  <c r="G50" i="3"/>
  <c r="F192" i="4" s="1"/>
  <c r="F50" i="3"/>
  <c r="E192" i="4" s="1"/>
  <c r="E50" i="3"/>
  <c r="D192" i="4" s="1"/>
  <c r="D50" i="3"/>
  <c r="C192" i="4" s="1"/>
  <c r="C50" i="3"/>
  <c r="B192" i="4" s="1"/>
  <c r="B50" i="3"/>
  <c r="A50" i="3"/>
  <c r="A192" i="4" s="1"/>
  <c r="I49" i="3"/>
  <c r="H191" i="4" s="1"/>
  <c r="H49" i="3"/>
  <c r="G191" i="4" s="1"/>
  <c r="G49" i="3"/>
  <c r="F191" i="4" s="1"/>
  <c r="F49" i="3"/>
  <c r="E191" i="4" s="1"/>
  <c r="E49" i="3"/>
  <c r="D191" i="4" s="1"/>
  <c r="D49" i="3"/>
  <c r="C191" i="4" s="1"/>
  <c r="C49" i="3"/>
  <c r="B191" i="4" s="1"/>
  <c r="B49" i="3"/>
  <c r="A49" i="3"/>
  <c r="A191" i="4" s="1"/>
  <c r="I48" i="3"/>
  <c r="H190" i="4" s="1"/>
  <c r="H48" i="3"/>
  <c r="G190" i="4" s="1"/>
  <c r="G48" i="3"/>
  <c r="F190" i="4" s="1"/>
  <c r="F48" i="3"/>
  <c r="E190" i="4" s="1"/>
  <c r="E48" i="3"/>
  <c r="D190" i="4" s="1"/>
  <c r="D48" i="3"/>
  <c r="C190" i="4" s="1"/>
  <c r="C48" i="3"/>
  <c r="B190" i="4" s="1"/>
  <c r="B48" i="3"/>
  <c r="A48" i="3"/>
  <c r="A190" i="4" s="1"/>
  <c r="I47" i="3"/>
  <c r="H189" i="4" s="1"/>
  <c r="H47" i="3"/>
  <c r="G189" i="4" s="1"/>
  <c r="G47" i="3"/>
  <c r="F189" i="4" s="1"/>
  <c r="F47" i="3"/>
  <c r="E189" i="4" s="1"/>
  <c r="E47" i="3"/>
  <c r="D189" i="4" s="1"/>
  <c r="D47" i="3"/>
  <c r="C189" i="4" s="1"/>
  <c r="C47" i="3"/>
  <c r="B189" i="4" s="1"/>
  <c r="B47" i="3"/>
  <c r="A47" i="3"/>
  <c r="A189" i="4" s="1"/>
  <c r="I46" i="3"/>
  <c r="H188" i="4" s="1"/>
  <c r="H46" i="3"/>
  <c r="G188" i="4" s="1"/>
  <c r="G46" i="3"/>
  <c r="F188" i="4" s="1"/>
  <c r="F46" i="3"/>
  <c r="E188" i="4" s="1"/>
  <c r="E46" i="3"/>
  <c r="D188" i="4" s="1"/>
  <c r="D46" i="3"/>
  <c r="C188" i="4" s="1"/>
  <c r="C46" i="3"/>
  <c r="B188" i="4" s="1"/>
  <c r="B46" i="3"/>
  <c r="A46" i="3"/>
  <c r="A188" i="4" s="1"/>
  <c r="I45" i="3"/>
  <c r="H187" i="4" s="1"/>
  <c r="H45" i="3"/>
  <c r="G187" i="4" s="1"/>
  <c r="G45" i="3"/>
  <c r="F187" i="4" s="1"/>
  <c r="F45" i="3"/>
  <c r="E187" i="4" s="1"/>
  <c r="E45" i="3"/>
  <c r="D187" i="4" s="1"/>
  <c r="D45" i="3"/>
  <c r="C187" i="4" s="1"/>
  <c r="C45" i="3"/>
  <c r="B187" i="4" s="1"/>
  <c r="B45" i="3"/>
  <c r="A45" i="3"/>
  <c r="A187" i="4" s="1"/>
  <c r="I44" i="3"/>
  <c r="H186" i="4" s="1"/>
  <c r="H44" i="3"/>
  <c r="G186" i="4" s="1"/>
  <c r="G44" i="3"/>
  <c r="F186" i="4" s="1"/>
  <c r="F44" i="3"/>
  <c r="E186" i="4" s="1"/>
  <c r="E44" i="3"/>
  <c r="D186" i="4" s="1"/>
  <c r="D44" i="3"/>
  <c r="C186" i="4" s="1"/>
  <c r="C44" i="3"/>
  <c r="B186" i="4" s="1"/>
  <c r="B44" i="3"/>
  <c r="A44" i="3"/>
  <c r="A186" i="4" s="1"/>
  <c r="I43" i="3"/>
  <c r="H185" i="4" s="1"/>
  <c r="H43" i="3"/>
  <c r="G185" i="4" s="1"/>
  <c r="G43" i="3"/>
  <c r="F185" i="4" s="1"/>
  <c r="F43" i="3"/>
  <c r="E185" i="4" s="1"/>
  <c r="E43" i="3"/>
  <c r="D185" i="4" s="1"/>
  <c r="D43" i="3"/>
  <c r="C185" i="4" s="1"/>
  <c r="C43" i="3"/>
  <c r="B185" i="4" s="1"/>
  <c r="B43" i="3"/>
  <c r="A43" i="3"/>
  <c r="A185" i="4" s="1"/>
  <c r="I42" i="3"/>
  <c r="H184" i="4" s="1"/>
  <c r="H42" i="3"/>
  <c r="G184" i="4" s="1"/>
  <c r="G42" i="3"/>
  <c r="F184" i="4" s="1"/>
  <c r="F42" i="3"/>
  <c r="E184" i="4" s="1"/>
  <c r="E42" i="3"/>
  <c r="D184" i="4" s="1"/>
  <c r="D42" i="3"/>
  <c r="C184" i="4" s="1"/>
  <c r="C42" i="3"/>
  <c r="B184" i="4" s="1"/>
  <c r="B42" i="3"/>
  <c r="A42" i="3"/>
  <c r="A184" i="4" s="1"/>
  <c r="I41" i="3"/>
  <c r="H183" i="4" s="1"/>
  <c r="H41" i="3"/>
  <c r="G183" i="4" s="1"/>
  <c r="G41" i="3"/>
  <c r="F183" i="4" s="1"/>
  <c r="F41" i="3"/>
  <c r="E183" i="4" s="1"/>
  <c r="E41" i="3"/>
  <c r="D183" i="4" s="1"/>
  <c r="D41" i="3"/>
  <c r="C183" i="4" s="1"/>
  <c r="C41" i="3"/>
  <c r="B183" i="4" s="1"/>
  <c r="B41" i="3"/>
  <c r="A41" i="3"/>
  <c r="A183" i="4" s="1"/>
  <c r="I40" i="3"/>
  <c r="H182" i="4" s="1"/>
  <c r="H40" i="3"/>
  <c r="G182" i="4" s="1"/>
  <c r="G40" i="3"/>
  <c r="F182" i="4" s="1"/>
  <c r="F40" i="3"/>
  <c r="E182" i="4" s="1"/>
  <c r="E40" i="3"/>
  <c r="D182" i="4" s="1"/>
  <c r="D40" i="3"/>
  <c r="C182" i="4" s="1"/>
  <c r="C40" i="3"/>
  <c r="B182" i="4" s="1"/>
  <c r="B40" i="3"/>
  <c r="A40" i="3"/>
  <c r="A182" i="4" s="1"/>
  <c r="I39" i="3"/>
  <c r="H181" i="4" s="1"/>
  <c r="H39" i="3"/>
  <c r="G181" i="4" s="1"/>
  <c r="G39" i="3"/>
  <c r="F181" i="4" s="1"/>
  <c r="F39" i="3"/>
  <c r="E181" i="4" s="1"/>
  <c r="E39" i="3"/>
  <c r="D181" i="4" s="1"/>
  <c r="D39" i="3"/>
  <c r="C181" i="4" s="1"/>
  <c r="C39" i="3"/>
  <c r="B181" i="4" s="1"/>
  <c r="B39" i="3"/>
  <c r="A39" i="3"/>
  <c r="A181" i="4" s="1"/>
  <c r="I38" i="3"/>
  <c r="H180" i="4" s="1"/>
  <c r="H38" i="3"/>
  <c r="G180" i="4" s="1"/>
  <c r="G38" i="3"/>
  <c r="F180" i="4" s="1"/>
  <c r="F38" i="3"/>
  <c r="E180" i="4" s="1"/>
  <c r="E38" i="3"/>
  <c r="D180" i="4" s="1"/>
  <c r="D38" i="3"/>
  <c r="C180" i="4" s="1"/>
  <c r="C38" i="3"/>
  <c r="B180" i="4" s="1"/>
  <c r="B38" i="3"/>
  <c r="A38" i="3"/>
  <c r="A180" i="4" s="1"/>
  <c r="I37" i="3"/>
  <c r="H179" i="4" s="1"/>
  <c r="H37" i="3"/>
  <c r="G179" i="4" s="1"/>
  <c r="G37" i="3"/>
  <c r="F179" i="4" s="1"/>
  <c r="F37" i="3"/>
  <c r="E179" i="4" s="1"/>
  <c r="E37" i="3"/>
  <c r="D179" i="4" s="1"/>
  <c r="D37" i="3"/>
  <c r="C179" i="4" s="1"/>
  <c r="C37" i="3"/>
  <c r="B179" i="4" s="1"/>
  <c r="B37" i="3"/>
  <c r="A37" i="3"/>
  <c r="A179" i="4" s="1"/>
  <c r="I36" i="3"/>
  <c r="H178" i="4" s="1"/>
  <c r="H36" i="3"/>
  <c r="G178" i="4" s="1"/>
  <c r="G36" i="3"/>
  <c r="F178" i="4" s="1"/>
  <c r="F36" i="3"/>
  <c r="E178" i="4" s="1"/>
  <c r="E36" i="3"/>
  <c r="D178" i="4" s="1"/>
  <c r="D36" i="3"/>
  <c r="C178" i="4" s="1"/>
  <c r="C36" i="3"/>
  <c r="B178" i="4" s="1"/>
  <c r="B36" i="3"/>
  <c r="A36" i="3"/>
  <c r="A178" i="4" s="1"/>
  <c r="I35" i="3"/>
  <c r="H177" i="4" s="1"/>
  <c r="H35" i="3"/>
  <c r="G177" i="4" s="1"/>
  <c r="G35" i="3"/>
  <c r="F177" i="4" s="1"/>
  <c r="F35" i="3"/>
  <c r="E177" i="4" s="1"/>
  <c r="E35" i="3"/>
  <c r="D177" i="4" s="1"/>
  <c r="D35" i="3"/>
  <c r="C177" i="4" s="1"/>
  <c r="C35" i="3"/>
  <c r="B177" i="4" s="1"/>
  <c r="B35" i="3"/>
  <c r="A35" i="3"/>
  <c r="A177" i="4" s="1"/>
  <c r="I34" i="3"/>
  <c r="H176" i="4" s="1"/>
  <c r="H34" i="3"/>
  <c r="G176" i="4" s="1"/>
  <c r="G34" i="3"/>
  <c r="F176" i="4" s="1"/>
  <c r="F34" i="3"/>
  <c r="E176" i="4" s="1"/>
  <c r="E34" i="3"/>
  <c r="D176" i="4" s="1"/>
  <c r="D34" i="3"/>
  <c r="C176" i="4" s="1"/>
  <c r="C34" i="3"/>
  <c r="B176" i="4" s="1"/>
  <c r="B34" i="3"/>
  <c r="A34" i="3"/>
  <c r="A176" i="4" s="1"/>
  <c r="I33" i="3"/>
  <c r="H175" i="4" s="1"/>
  <c r="H33" i="3"/>
  <c r="G175" i="4" s="1"/>
  <c r="G33" i="3"/>
  <c r="F175" i="4" s="1"/>
  <c r="F33" i="3"/>
  <c r="E175" i="4" s="1"/>
  <c r="E33" i="3"/>
  <c r="D175" i="4" s="1"/>
  <c r="D33" i="3"/>
  <c r="C175" i="4" s="1"/>
  <c r="C33" i="3"/>
  <c r="B175" i="4" s="1"/>
  <c r="B33" i="3"/>
  <c r="A33" i="3"/>
  <c r="A175" i="4" s="1"/>
  <c r="I32" i="3"/>
  <c r="H174" i="4" s="1"/>
  <c r="H32" i="3"/>
  <c r="G174" i="4" s="1"/>
  <c r="G32" i="3"/>
  <c r="F174" i="4" s="1"/>
  <c r="F32" i="3"/>
  <c r="E174" i="4" s="1"/>
  <c r="E32" i="3"/>
  <c r="D174" i="4" s="1"/>
  <c r="D32" i="3"/>
  <c r="C174" i="4" s="1"/>
  <c r="C32" i="3"/>
  <c r="B174" i="4" s="1"/>
  <c r="B32" i="3"/>
  <c r="A32" i="3"/>
  <c r="A174" i="4" s="1"/>
  <c r="I31" i="3"/>
  <c r="H173" i="4" s="1"/>
  <c r="H31" i="3"/>
  <c r="G173" i="4" s="1"/>
  <c r="G31" i="3"/>
  <c r="F173" i="4" s="1"/>
  <c r="F31" i="3"/>
  <c r="E173" i="4" s="1"/>
  <c r="E31" i="3"/>
  <c r="D173" i="4" s="1"/>
  <c r="D31" i="3"/>
  <c r="C173" i="4" s="1"/>
  <c r="C31" i="3"/>
  <c r="B173" i="4" s="1"/>
  <c r="B31" i="3"/>
  <c r="A31" i="3"/>
  <c r="A173" i="4" s="1"/>
  <c r="I30" i="3"/>
  <c r="H172" i="4" s="1"/>
  <c r="H30" i="3"/>
  <c r="G172" i="4" s="1"/>
  <c r="G30" i="3"/>
  <c r="F172" i="4" s="1"/>
  <c r="F30" i="3"/>
  <c r="E172" i="4" s="1"/>
  <c r="E30" i="3"/>
  <c r="D172" i="4" s="1"/>
  <c r="D30" i="3"/>
  <c r="C172" i="4" s="1"/>
  <c r="C30" i="3"/>
  <c r="B172" i="4" s="1"/>
  <c r="B30" i="3"/>
  <c r="A30" i="3"/>
  <c r="A172" i="4" s="1"/>
  <c r="I29" i="3"/>
  <c r="H171" i="4" s="1"/>
  <c r="H29" i="3"/>
  <c r="G171" i="4" s="1"/>
  <c r="G29" i="3"/>
  <c r="F171" i="4" s="1"/>
  <c r="F29" i="3"/>
  <c r="E171" i="4" s="1"/>
  <c r="E29" i="3"/>
  <c r="D171" i="4" s="1"/>
  <c r="D29" i="3"/>
  <c r="C171" i="4" s="1"/>
  <c r="C29" i="3"/>
  <c r="B171" i="4" s="1"/>
  <c r="B29" i="3"/>
  <c r="A29" i="3"/>
  <c r="A171" i="4" s="1"/>
  <c r="I28" i="3"/>
  <c r="H170" i="4" s="1"/>
  <c r="H28" i="3"/>
  <c r="G170" i="4" s="1"/>
  <c r="G28" i="3"/>
  <c r="F170" i="4" s="1"/>
  <c r="F28" i="3"/>
  <c r="E170" i="4" s="1"/>
  <c r="E28" i="3"/>
  <c r="D170" i="4" s="1"/>
  <c r="D28" i="3"/>
  <c r="C170" i="4" s="1"/>
  <c r="C28" i="3"/>
  <c r="B170" i="4" s="1"/>
  <c r="B28" i="3"/>
  <c r="A28" i="3"/>
  <c r="A170" i="4" s="1"/>
  <c r="I27" i="3"/>
  <c r="H169" i="4" s="1"/>
  <c r="H27" i="3"/>
  <c r="G169" i="4" s="1"/>
  <c r="G27" i="3"/>
  <c r="F169" i="4" s="1"/>
  <c r="F27" i="3"/>
  <c r="E169" i="4" s="1"/>
  <c r="E27" i="3"/>
  <c r="D169" i="4" s="1"/>
  <c r="D27" i="3"/>
  <c r="C169" i="4" s="1"/>
  <c r="C27" i="3"/>
  <c r="B169" i="4" s="1"/>
  <c r="B27" i="3"/>
  <c r="A27" i="3"/>
  <c r="A169" i="4" s="1"/>
  <c r="I26" i="3"/>
  <c r="H168" i="4" s="1"/>
  <c r="H26" i="3"/>
  <c r="G168" i="4" s="1"/>
  <c r="G26" i="3"/>
  <c r="F168" i="4" s="1"/>
  <c r="F26" i="3"/>
  <c r="E168" i="4" s="1"/>
  <c r="E26" i="3"/>
  <c r="D168" i="4" s="1"/>
  <c r="D26" i="3"/>
  <c r="C168" i="4" s="1"/>
  <c r="C26" i="3"/>
  <c r="B168" i="4" s="1"/>
  <c r="B26" i="3"/>
  <c r="A26" i="3"/>
  <c r="A168" i="4" s="1"/>
  <c r="I25" i="3"/>
  <c r="H167" i="4" s="1"/>
  <c r="H25" i="3"/>
  <c r="G167" i="4" s="1"/>
  <c r="G25" i="3"/>
  <c r="F167" i="4" s="1"/>
  <c r="F25" i="3"/>
  <c r="E167" i="4" s="1"/>
  <c r="E25" i="3"/>
  <c r="D167" i="4" s="1"/>
  <c r="D25" i="3"/>
  <c r="C167" i="4" s="1"/>
  <c r="C25" i="3"/>
  <c r="B167" i="4" s="1"/>
  <c r="B25" i="3"/>
  <c r="A25" i="3"/>
  <c r="A167" i="4" s="1"/>
  <c r="I24" i="3"/>
  <c r="H166" i="4" s="1"/>
  <c r="H24" i="3"/>
  <c r="G166" i="4" s="1"/>
  <c r="G24" i="3"/>
  <c r="F166" i="4" s="1"/>
  <c r="F24" i="3"/>
  <c r="E166" i="4" s="1"/>
  <c r="E24" i="3"/>
  <c r="D166" i="4" s="1"/>
  <c r="D24" i="3"/>
  <c r="C166" i="4" s="1"/>
  <c r="C24" i="3"/>
  <c r="B166" i="4" s="1"/>
  <c r="B24" i="3"/>
  <c r="A24" i="3"/>
  <c r="A166" i="4" s="1"/>
  <c r="I23" i="3"/>
  <c r="H165" i="4" s="1"/>
  <c r="H23" i="3"/>
  <c r="G165" i="4" s="1"/>
  <c r="G23" i="3"/>
  <c r="F165" i="4" s="1"/>
  <c r="F23" i="3"/>
  <c r="E165" i="4" s="1"/>
  <c r="E23" i="3"/>
  <c r="D165" i="4" s="1"/>
  <c r="D23" i="3"/>
  <c r="C165" i="4" s="1"/>
  <c r="C23" i="3"/>
  <c r="B165" i="4" s="1"/>
  <c r="B23" i="3"/>
  <c r="A23" i="3"/>
  <c r="A165" i="4" s="1"/>
  <c r="I22" i="3"/>
  <c r="H164" i="4" s="1"/>
  <c r="H22" i="3"/>
  <c r="G164" i="4" s="1"/>
  <c r="G22" i="3"/>
  <c r="F164" i="4" s="1"/>
  <c r="F22" i="3"/>
  <c r="E164" i="4" s="1"/>
  <c r="E22" i="3"/>
  <c r="D164" i="4" s="1"/>
  <c r="D22" i="3"/>
  <c r="C164" i="4" s="1"/>
  <c r="C22" i="3"/>
  <c r="B164" i="4" s="1"/>
  <c r="B22" i="3"/>
  <c r="A22" i="3"/>
  <c r="A164" i="4" s="1"/>
  <c r="I21" i="3"/>
  <c r="H163" i="4" s="1"/>
  <c r="H21" i="3"/>
  <c r="G163" i="4" s="1"/>
  <c r="G21" i="3"/>
  <c r="F163" i="4" s="1"/>
  <c r="F21" i="3"/>
  <c r="E163" i="4" s="1"/>
  <c r="E21" i="3"/>
  <c r="D163" i="4" s="1"/>
  <c r="D21" i="3"/>
  <c r="C163" i="4" s="1"/>
  <c r="C21" i="3"/>
  <c r="B163" i="4" s="1"/>
  <c r="B21" i="3"/>
  <c r="A21" i="3"/>
  <c r="A163" i="4" s="1"/>
  <c r="I20" i="3"/>
  <c r="H162" i="4" s="1"/>
  <c r="H20" i="3"/>
  <c r="G162" i="4" s="1"/>
  <c r="G20" i="3"/>
  <c r="F162" i="4" s="1"/>
  <c r="F20" i="3"/>
  <c r="E162" i="4" s="1"/>
  <c r="E20" i="3"/>
  <c r="D162" i="4" s="1"/>
  <c r="D20" i="3"/>
  <c r="C162" i="4" s="1"/>
  <c r="C20" i="3"/>
  <c r="B162" i="4" s="1"/>
  <c r="B20" i="3"/>
  <c r="A20" i="3"/>
  <c r="A162" i="4" s="1"/>
  <c r="I19" i="3"/>
  <c r="H161" i="4" s="1"/>
  <c r="H19" i="3"/>
  <c r="G161" i="4" s="1"/>
  <c r="G19" i="3"/>
  <c r="F161" i="4" s="1"/>
  <c r="F19" i="3"/>
  <c r="E161" i="4" s="1"/>
  <c r="E19" i="3"/>
  <c r="D161" i="4" s="1"/>
  <c r="D19" i="3"/>
  <c r="C161" i="4" s="1"/>
  <c r="C19" i="3"/>
  <c r="B161" i="4" s="1"/>
  <c r="B19" i="3"/>
  <c r="A19" i="3"/>
  <c r="A161" i="4" s="1"/>
  <c r="I18" i="3"/>
  <c r="H160" i="4" s="1"/>
  <c r="H18" i="3"/>
  <c r="G160" i="4" s="1"/>
  <c r="G18" i="3"/>
  <c r="F160" i="4" s="1"/>
  <c r="F18" i="3"/>
  <c r="E160" i="4" s="1"/>
  <c r="E18" i="3"/>
  <c r="D160" i="4" s="1"/>
  <c r="D18" i="3"/>
  <c r="C160" i="4" s="1"/>
  <c r="C18" i="3"/>
  <c r="B160" i="4" s="1"/>
  <c r="B18" i="3"/>
  <c r="A18" i="3"/>
  <c r="A160" i="4" s="1"/>
  <c r="I17" i="3"/>
  <c r="H159" i="4" s="1"/>
  <c r="H17" i="3"/>
  <c r="G159" i="4" s="1"/>
  <c r="G17" i="3"/>
  <c r="F159" i="4" s="1"/>
  <c r="F17" i="3"/>
  <c r="E159" i="4" s="1"/>
  <c r="E17" i="3"/>
  <c r="D159" i="4" s="1"/>
  <c r="D17" i="3"/>
  <c r="C159" i="4" s="1"/>
  <c r="C17" i="3"/>
  <c r="B159" i="4" s="1"/>
  <c r="B17" i="3"/>
  <c r="A17" i="3"/>
  <c r="A159" i="4" s="1"/>
  <c r="I16" i="3"/>
  <c r="H158" i="4" s="1"/>
  <c r="H16" i="3"/>
  <c r="G158" i="4" s="1"/>
  <c r="G16" i="3"/>
  <c r="F158" i="4" s="1"/>
  <c r="F16" i="3"/>
  <c r="E158" i="4" s="1"/>
  <c r="E16" i="3"/>
  <c r="D158" i="4" s="1"/>
  <c r="D16" i="3"/>
  <c r="C158" i="4" s="1"/>
  <c r="C16" i="3"/>
  <c r="B158" i="4" s="1"/>
  <c r="B16" i="3"/>
  <c r="A16" i="3"/>
  <c r="A158" i="4" s="1"/>
  <c r="I15" i="3"/>
  <c r="H157" i="4" s="1"/>
  <c r="H15" i="3"/>
  <c r="G157" i="4" s="1"/>
  <c r="G15" i="3"/>
  <c r="F157" i="4" s="1"/>
  <c r="F15" i="3"/>
  <c r="E157" i="4" s="1"/>
  <c r="E15" i="3"/>
  <c r="D157" i="4" s="1"/>
  <c r="D15" i="3"/>
  <c r="C157" i="4" s="1"/>
  <c r="C15" i="3"/>
  <c r="B157" i="4" s="1"/>
  <c r="B15" i="3"/>
  <c r="A15" i="3"/>
  <c r="A157" i="4" s="1"/>
  <c r="I14" i="3"/>
  <c r="H156" i="4" s="1"/>
  <c r="H14" i="3"/>
  <c r="G156" i="4" s="1"/>
  <c r="G14" i="3"/>
  <c r="F156" i="4" s="1"/>
  <c r="F14" i="3"/>
  <c r="E156" i="4" s="1"/>
  <c r="E14" i="3"/>
  <c r="D156" i="4" s="1"/>
  <c r="D14" i="3"/>
  <c r="C156" i="4" s="1"/>
  <c r="C14" i="3"/>
  <c r="B156" i="4" s="1"/>
  <c r="B14" i="3"/>
  <c r="A14" i="3"/>
  <c r="A156" i="4" s="1"/>
  <c r="I13" i="3"/>
  <c r="H155" i="4" s="1"/>
  <c r="H13" i="3"/>
  <c r="G155" i="4" s="1"/>
  <c r="G13" i="3"/>
  <c r="F155" i="4" s="1"/>
  <c r="F13" i="3"/>
  <c r="E155" i="4" s="1"/>
  <c r="E13" i="3"/>
  <c r="D155" i="4" s="1"/>
  <c r="D13" i="3"/>
  <c r="C155" i="4" s="1"/>
  <c r="C13" i="3"/>
  <c r="B155" i="4" s="1"/>
  <c r="B13" i="3"/>
  <c r="A13" i="3"/>
  <c r="A155" i="4" s="1"/>
  <c r="I12" i="3"/>
  <c r="H154" i="4" s="1"/>
  <c r="H12" i="3"/>
  <c r="G154" i="4" s="1"/>
  <c r="G12" i="3"/>
  <c r="F154" i="4" s="1"/>
  <c r="F12" i="3"/>
  <c r="E154" i="4" s="1"/>
  <c r="E12" i="3"/>
  <c r="D154" i="4" s="1"/>
  <c r="D12" i="3"/>
  <c r="C154" i="4" s="1"/>
  <c r="C12" i="3"/>
  <c r="B154" i="4" s="1"/>
  <c r="B12" i="3"/>
  <c r="A12" i="3"/>
  <c r="A154" i="4" s="1"/>
  <c r="I11" i="3"/>
  <c r="H153" i="4" s="1"/>
  <c r="H11" i="3"/>
  <c r="G153" i="4" s="1"/>
  <c r="G11" i="3"/>
  <c r="F153" i="4" s="1"/>
  <c r="F11" i="3"/>
  <c r="E153" i="4" s="1"/>
  <c r="E11" i="3"/>
  <c r="D153" i="4" s="1"/>
  <c r="D11" i="3"/>
  <c r="C153" i="4" s="1"/>
  <c r="C11" i="3"/>
  <c r="B153" i="4" s="1"/>
  <c r="B11" i="3"/>
  <c r="A11" i="3"/>
  <c r="A153" i="4" s="1"/>
  <c r="I10" i="3"/>
  <c r="H152" i="4" s="1"/>
  <c r="H10" i="3"/>
  <c r="G152" i="4" s="1"/>
  <c r="G10" i="3"/>
  <c r="F152" i="4" s="1"/>
  <c r="F10" i="3"/>
  <c r="E152" i="4" s="1"/>
  <c r="E10" i="3"/>
  <c r="D152" i="4" s="1"/>
  <c r="D10" i="3"/>
  <c r="C152" i="4" s="1"/>
  <c r="C10" i="3"/>
  <c r="B152" i="4" s="1"/>
  <c r="B10" i="3"/>
  <c r="A10" i="3"/>
  <c r="A152" i="4" s="1"/>
  <c r="I9" i="3"/>
  <c r="H151" i="4" s="1"/>
  <c r="H9" i="3"/>
  <c r="G151" i="4" s="1"/>
  <c r="G9" i="3"/>
  <c r="F151" i="4" s="1"/>
  <c r="F9" i="3"/>
  <c r="E151" i="4" s="1"/>
  <c r="E9" i="3"/>
  <c r="D151" i="4" s="1"/>
  <c r="D9" i="3"/>
  <c r="C151" i="4" s="1"/>
  <c r="C9" i="3"/>
  <c r="B151" i="4" s="1"/>
  <c r="B9" i="3"/>
  <c r="A9" i="3"/>
  <c r="A151" i="4" s="1"/>
  <c r="I8" i="3"/>
  <c r="H150" i="4" s="1"/>
  <c r="H8" i="3"/>
  <c r="G150" i="4" s="1"/>
  <c r="G8" i="3"/>
  <c r="F150" i="4" s="1"/>
  <c r="F8" i="3"/>
  <c r="E150" i="4" s="1"/>
  <c r="E8" i="3"/>
  <c r="D150" i="4" s="1"/>
  <c r="D8" i="3"/>
  <c r="C150" i="4" s="1"/>
  <c r="C8" i="3"/>
  <c r="B150" i="4" s="1"/>
  <c r="B8" i="3"/>
  <c r="A8" i="3"/>
  <c r="A150" i="4" s="1"/>
  <c r="I7" i="3"/>
  <c r="H149" i="4" s="1"/>
  <c r="H7" i="3"/>
  <c r="G149" i="4" s="1"/>
  <c r="G7" i="3"/>
  <c r="F149" i="4" s="1"/>
  <c r="F7" i="3"/>
  <c r="E149" i="4" s="1"/>
  <c r="E7" i="3"/>
  <c r="D149" i="4" s="1"/>
  <c r="D7" i="3"/>
  <c r="C149" i="4" s="1"/>
  <c r="C7" i="3"/>
  <c r="B149" i="4" s="1"/>
  <c r="B7" i="3"/>
  <c r="A7" i="3"/>
  <c r="A149" i="4" s="1"/>
  <c r="I6" i="3"/>
  <c r="H148" i="4" s="1"/>
  <c r="H6" i="3"/>
  <c r="G148" i="4" s="1"/>
  <c r="G6" i="3"/>
  <c r="F148" i="4" s="1"/>
  <c r="F6" i="3"/>
  <c r="E148" i="4" s="1"/>
  <c r="E6" i="3"/>
  <c r="D148" i="4" s="1"/>
  <c r="D6" i="3"/>
  <c r="C148" i="4" s="1"/>
  <c r="C6" i="3"/>
  <c r="B148" i="4" s="1"/>
  <c r="B6" i="3"/>
  <c r="A6" i="3"/>
  <c r="A148" i="4" s="1"/>
  <c r="I5" i="3"/>
  <c r="H147" i="4" s="1"/>
  <c r="H5" i="3"/>
  <c r="G147" i="4" s="1"/>
  <c r="G5" i="3"/>
  <c r="F147" i="4" s="1"/>
  <c r="F5" i="3"/>
  <c r="E147" i="4" s="1"/>
  <c r="E5" i="3"/>
  <c r="D147" i="4" s="1"/>
  <c r="D5" i="3"/>
  <c r="C147" i="4" s="1"/>
  <c r="C5" i="3"/>
  <c r="B147" i="4" s="1"/>
  <c r="B5" i="3"/>
  <c r="A5" i="3"/>
  <c r="A147" i="4" s="1"/>
  <c r="I4" i="3"/>
  <c r="H146" i="4" s="1"/>
  <c r="H4" i="3"/>
  <c r="G146" i="4" s="1"/>
  <c r="G4" i="3"/>
  <c r="F146" i="4" s="1"/>
  <c r="F4" i="3"/>
  <c r="E146" i="4" s="1"/>
  <c r="E4" i="3"/>
  <c r="D146" i="4" s="1"/>
  <c r="D4" i="3"/>
  <c r="C146" i="4" s="1"/>
  <c r="C4" i="3"/>
  <c r="B146" i="4" s="1"/>
  <c r="B4" i="3"/>
  <c r="A4" i="3"/>
  <c r="A146" i="4" s="1"/>
  <c r="I3" i="3"/>
  <c r="H145" i="4" s="1"/>
  <c r="H3" i="3"/>
  <c r="G145" i="4" s="1"/>
  <c r="G3" i="3"/>
  <c r="F145" i="4" s="1"/>
  <c r="F3" i="3"/>
  <c r="E145" i="4" s="1"/>
  <c r="E3" i="3"/>
  <c r="D145" i="4" s="1"/>
  <c r="D3" i="3"/>
  <c r="C145" i="4" s="1"/>
  <c r="C3" i="3"/>
  <c r="B145" i="4" s="1"/>
  <c r="B3" i="3"/>
  <c r="A3" i="3"/>
  <c r="A145" i="4" s="1"/>
  <c r="I2" i="3"/>
  <c r="H144" i="4" s="1"/>
  <c r="H2" i="3"/>
  <c r="G144" i="4" s="1"/>
  <c r="G2" i="3"/>
  <c r="F144" i="4" s="1"/>
  <c r="F2" i="3"/>
  <c r="E144" i="4" s="1"/>
  <c r="E2" i="3"/>
  <c r="D144" i="4" s="1"/>
  <c r="D2" i="3"/>
  <c r="C144" i="4" s="1"/>
  <c r="C2" i="3"/>
  <c r="B144" i="4" s="1"/>
  <c r="B2" i="3"/>
  <c r="A2" i="3"/>
  <c r="A144" i="4" s="1"/>
  <c r="I1" i="3"/>
  <c r="H143" i="4" s="1"/>
  <c r="H1" i="3"/>
  <c r="G143" i="4" s="1"/>
  <c r="G1" i="3"/>
  <c r="F143" i="4" s="1"/>
  <c r="F1" i="3"/>
  <c r="E143" i="4" s="1"/>
  <c r="E1" i="3"/>
  <c r="D143" i="4" s="1"/>
  <c r="D1" i="3"/>
  <c r="C143" i="4" s="1"/>
  <c r="C1" i="3"/>
  <c r="B143" i="4" s="1"/>
  <c r="B1" i="3"/>
  <c r="A1" i="3"/>
  <c r="A143" i="4" s="1"/>
  <c r="H137" i="2"/>
  <c r="G141" i="4" s="1"/>
  <c r="G137" i="2"/>
  <c r="F141" i="4" s="1"/>
  <c r="F137" i="2"/>
  <c r="E141" i="4" s="1"/>
  <c r="E137" i="2"/>
  <c r="D141" i="4" s="1"/>
  <c r="D137" i="2"/>
  <c r="C141" i="4" s="1"/>
  <c r="C137" i="2"/>
  <c r="B141" i="4" s="1"/>
  <c r="B137" i="2"/>
  <c r="A137" i="2"/>
  <c r="A141" i="4" s="1"/>
  <c r="H136" i="2"/>
  <c r="G140" i="4" s="1"/>
  <c r="G136" i="2"/>
  <c r="F140" i="4" s="1"/>
  <c r="F136" i="2"/>
  <c r="E140" i="4" s="1"/>
  <c r="E136" i="2"/>
  <c r="D140" i="4" s="1"/>
  <c r="D136" i="2"/>
  <c r="C140" i="4" s="1"/>
  <c r="C136" i="2"/>
  <c r="B140" i="4" s="1"/>
  <c r="B136" i="2"/>
  <c r="A136" i="2"/>
  <c r="A140" i="4" s="1"/>
  <c r="H135" i="2"/>
  <c r="G139" i="4" s="1"/>
  <c r="G135" i="2"/>
  <c r="F139" i="4" s="1"/>
  <c r="F135" i="2"/>
  <c r="E139" i="4" s="1"/>
  <c r="E135" i="2"/>
  <c r="D139" i="4" s="1"/>
  <c r="D135" i="2"/>
  <c r="C139" i="4" s="1"/>
  <c r="C135" i="2"/>
  <c r="B139" i="4" s="1"/>
  <c r="B135" i="2"/>
  <c r="A135" i="2"/>
  <c r="A139" i="4" s="1"/>
  <c r="H134" i="2"/>
  <c r="G138" i="4" s="1"/>
  <c r="G134" i="2"/>
  <c r="F138" i="4" s="1"/>
  <c r="F134" i="2"/>
  <c r="E138" i="4" s="1"/>
  <c r="E134" i="2"/>
  <c r="D138" i="4" s="1"/>
  <c r="D134" i="2"/>
  <c r="C138" i="4" s="1"/>
  <c r="C134" i="2"/>
  <c r="B138" i="4" s="1"/>
  <c r="B134" i="2"/>
  <c r="A134" i="2"/>
  <c r="A138" i="4" s="1"/>
  <c r="H133" i="2"/>
  <c r="G137" i="4" s="1"/>
  <c r="G133" i="2"/>
  <c r="F137" i="4" s="1"/>
  <c r="F133" i="2"/>
  <c r="E137" i="4" s="1"/>
  <c r="E133" i="2"/>
  <c r="D137" i="4" s="1"/>
  <c r="D133" i="2"/>
  <c r="C137" i="4" s="1"/>
  <c r="C133" i="2"/>
  <c r="B137" i="4" s="1"/>
  <c r="B133" i="2"/>
  <c r="A133" i="2"/>
  <c r="A137" i="4" s="1"/>
  <c r="H132" i="2"/>
  <c r="G136" i="4" s="1"/>
  <c r="G132" i="2"/>
  <c r="F136" i="4" s="1"/>
  <c r="F132" i="2"/>
  <c r="E136" i="4" s="1"/>
  <c r="E132" i="2"/>
  <c r="D136" i="4" s="1"/>
  <c r="D132" i="2"/>
  <c r="C136" i="4" s="1"/>
  <c r="C132" i="2"/>
  <c r="B136" i="4" s="1"/>
  <c r="B132" i="2"/>
  <c r="A132" i="2"/>
  <c r="A136" i="4" s="1"/>
  <c r="H131" i="2"/>
  <c r="G135" i="4" s="1"/>
  <c r="G131" i="2"/>
  <c r="F135" i="4" s="1"/>
  <c r="F131" i="2"/>
  <c r="E135" i="4" s="1"/>
  <c r="E131" i="2"/>
  <c r="D135" i="4" s="1"/>
  <c r="D131" i="2"/>
  <c r="C135" i="4" s="1"/>
  <c r="C131" i="2"/>
  <c r="B135" i="4" s="1"/>
  <c r="B131" i="2"/>
  <c r="A131" i="2"/>
  <c r="A135" i="4" s="1"/>
  <c r="H130" i="2"/>
  <c r="G134" i="4" s="1"/>
  <c r="G130" i="2"/>
  <c r="F134" i="4" s="1"/>
  <c r="F130" i="2"/>
  <c r="E134" i="4" s="1"/>
  <c r="E130" i="2"/>
  <c r="D134" i="4" s="1"/>
  <c r="D130" i="2"/>
  <c r="C134" i="4" s="1"/>
  <c r="C130" i="2"/>
  <c r="B134" i="4" s="1"/>
  <c r="B130" i="2"/>
  <c r="A130" i="2"/>
  <c r="A134" i="4" s="1"/>
  <c r="H129" i="2"/>
  <c r="G133" i="4" s="1"/>
  <c r="G129" i="2"/>
  <c r="F133" i="4" s="1"/>
  <c r="F129" i="2"/>
  <c r="E133" i="4" s="1"/>
  <c r="E129" i="2"/>
  <c r="D133" i="4" s="1"/>
  <c r="D129" i="2"/>
  <c r="C133" i="4" s="1"/>
  <c r="C129" i="2"/>
  <c r="B133" i="4" s="1"/>
  <c r="B129" i="2"/>
  <c r="A129" i="2"/>
  <c r="A133" i="4" s="1"/>
  <c r="H128" i="2"/>
  <c r="G132" i="4" s="1"/>
  <c r="G128" i="2"/>
  <c r="F132" i="4" s="1"/>
  <c r="F128" i="2"/>
  <c r="E132" i="4" s="1"/>
  <c r="E128" i="2"/>
  <c r="D132" i="4" s="1"/>
  <c r="D128" i="2"/>
  <c r="C132" i="4" s="1"/>
  <c r="C128" i="2"/>
  <c r="B132" i="4" s="1"/>
  <c r="B128" i="2"/>
  <c r="A128" i="2"/>
  <c r="A132" i="4" s="1"/>
  <c r="H127" i="2"/>
  <c r="G131" i="4" s="1"/>
  <c r="G127" i="2"/>
  <c r="F131" i="4" s="1"/>
  <c r="F127" i="2"/>
  <c r="E131" i="4" s="1"/>
  <c r="E127" i="2"/>
  <c r="D131" i="4" s="1"/>
  <c r="D127" i="2"/>
  <c r="C131" i="4" s="1"/>
  <c r="C127" i="2"/>
  <c r="B131" i="4" s="1"/>
  <c r="B127" i="2"/>
  <c r="A127" i="2"/>
  <c r="A131" i="4" s="1"/>
  <c r="H126" i="2"/>
  <c r="G130" i="4" s="1"/>
  <c r="G126" i="2"/>
  <c r="F130" i="4" s="1"/>
  <c r="F126" i="2"/>
  <c r="E130" i="4" s="1"/>
  <c r="E126" i="2"/>
  <c r="D130" i="4" s="1"/>
  <c r="D126" i="2"/>
  <c r="C130" i="4" s="1"/>
  <c r="C126" i="2"/>
  <c r="B130" i="4" s="1"/>
  <c r="B126" i="2"/>
  <c r="A126" i="2"/>
  <c r="A130" i="4" s="1"/>
  <c r="H125" i="2"/>
  <c r="G129" i="4" s="1"/>
  <c r="G125" i="2"/>
  <c r="F129" i="4" s="1"/>
  <c r="F125" i="2"/>
  <c r="E129" i="4" s="1"/>
  <c r="E125" i="2"/>
  <c r="D129" i="4" s="1"/>
  <c r="D125" i="2"/>
  <c r="C129" i="4" s="1"/>
  <c r="C125" i="2"/>
  <c r="B129" i="4" s="1"/>
  <c r="B125" i="2"/>
  <c r="A125" i="2"/>
  <c r="A129" i="4" s="1"/>
  <c r="H124" i="2"/>
  <c r="G128" i="4" s="1"/>
  <c r="G124" i="2"/>
  <c r="F128" i="4" s="1"/>
  <c r="F124" i="2"/>
  <c r="E128" i="4" s="1"/>
  <c r="E124" i="2"/>
  <c r="D128" i="4" s="1"/>
  <c r="D124" i="2"/>
  <c r="C128" i="4" s="1"/>
  <c r="C124" i="2"/>
  <c r="B128" i="4" s="1"/>
  <c r="B124" i="2"/>
  <c r="A124" i="2"/>
  <c r="A128" i="4" s="1"/>
  <c r="H123" i="2"/>
  <c r="G127" i="4" s="1"/>
  <c r="G123" i="2"/>
  <c r="F127" i="4" s="1"/>
  <c r="F123" i="2"/>
  <c r="E127" i="4" s="1"/>
  <c r="E123" i="2"/>
  <c r="D127" i="4" s="1"/>
  <c r="D123" i="2"/>
  <c r="C127" i="4" s="1"/>
  <c r="C123" i="2"/>
  <c r="B127" i="4" s="1"/>
  <c r="B123" i="2"/>
  <c r="A123" i="2"/>
  <c r="A127" i="4" s="1"/>
  <c r="H122" i="2"/>
  <c r="G126" i="4" s="1"/>
  <c r="G122" i="2"/>
  <c r="F126" i="4" s="1"/>
  <c r="F122" i="2"/>
  <c r="E126" i="4" s="1"/>
  <c r="E122" i="2"/>
  <c r="D126" i="4" s="1"/>
  <c r="D122" i="2"/>
  <c r="C126" i="4" s="1"/>
  <c r="C122" i="2"/>
  <c r="B126" i="4" s="1"/>
  <c r="B122" i="2"/>
  <c r="A122" i="2"/>
  <c r="A126" i="4" s="1"/>
  <c r="H121" i="2"/>
  <c r="G125" i="4" s="1"/>
  <c r="G121" i="2"/>
  <c r="F125" i="4" s="1"/>
  <c r="F121" i="2"/>
  <c r="E125" i="4" s="1"/>
  <c r="E121" i="2"/>
  <c r="D125" i="4" s="1"/>
  <c r="D121" i="2"/>
  <c r="C125" i="4" s="1"/>
  <c r="C121" i="2"/>
  <c r="B125" i="4" s="1"/>
  <c r="B121" i="2"/>
  <c r="A121" i="2"/>
  <c r="A125" i="4" s="1"/>
  <c r="H120" i="2"/>
  <c r="G124" i="4" s="1"/>
  <c r="G120" i="2"/>
  <c r="F124" i="4" s="1"/>
  <c r="F120" i="2"/>
  <c r="E124" i="4" s="1"/>
  <c r="E120" i="2"/>
  <c r="D124" i="4" s="1"/>
  <c r="D120" i="2"/>
  <c r="C124" i="4" s="1"/>
  <c r="C120" i="2"/>
  <c r="B124" i="4" s="1"/>
  <c r="B120" i="2"/>
  <c r="A120" i="2"/>
  <c r="A124" i="4" s="1"/>
  <c r="H119" i="2"/>
  <c r="G123" i="4" s="1"/>
  <c r="G119" i="2"/>
  <c r="F123" i="4" s="1"/>
  <c r="F119" i="2"/>
  <c r="E123" i="4" s="1"/>
  <c r="E119" i="2"/>
  <c r="D123" i="4" s="1"/>
  <c r="D119" i="2"/>
  <c r="C123" i="4" s="1"/>
  <c r="C119" i="2"/>
  <c r="B123" i="4" s="1"/>
  <c r="B119" i="2"/>
  <c r="A119" i="2"/>
  <c r="A123" i="4" s="1"/>
  <c r="H118" i="2"/>
  <c r="G122" i="4" s="1"/>
  <c r="G118" i="2"/>
  <c r="F122" i="4" s="1"/>
  <c r="F118" i="2"/>
  <c r="E122" i="4" s="1"/>
  <c r="E118" i="2"/>
  <c r="D122" i="4" s="1"/>
  <c r="D118" i="2"/>
  <c r="C122" i="4" s="1"/>
  <c r="C118" i="2"/>
  <c r="B122" i="4" s="1"/>
  <c r="B118" i="2"/>
  <c r="A118" i="2"/>
  <c r="A122" i="4" s="1"/>
  <c r="H117" i="2"/>
  <c r="G121" i="4" s="1"/>
  <c r="G117" i="2"/>
  <c r="F121" i="4" s="1"/>
  <c r="F117" i="2"/>
  <c r="E121" i="4" s="1"/>
  <c r="E117" i="2"/>
  <c r="D121" i="4" s="1"/>
  <c r="D117" i="2"/>
  <c r="C121" i="4" s="1"/>
  <c r="C117" i="2"/>
  <c r="B121" i="4" s="1"/>
  <c r="B117" i="2"/>
  <c r="A117" i="2"/>
  <c r="A121" i="4" s="1"/>
  <c r="H116" i="2"/>
  <c r="G120" i="4" s="1"/>
  <c r="G116" i="2"/>
  <c r="F120" i="4" s="1"/>
  <c r="F116" i="2"/>
  <c r="E120" i="4" s="1"/>
  <c r="E116" i="2"/>
  <c r="D120" i="4" s="1"/>
  <c r="D116" i="2"/>
  <c r="C120" i="4" s="1"/>
  <c r="C116" i="2"/>
  <c r="B120" i="4" s="1"/>
  <c r="B116" i="2"/>
  <c r="A116" i="2"/>
  <c r="A120" i="4" s="1"/>
  <c r="H115" i="2"/>
  <c r="G119" i="4" s="1"/>
  <c r="G115" i="2"/>
  <c r="F119" i="4" s="1"/>
  <c r="F115" i="2"/>
  <c r="E119" i="4" s="1"/>
  <c r="E115" i="2"/>
  <c r="D119" i="4" s="1"/>
  <c r="D115" i="2"/>
  <c r="C119" i="4" s="1"/>
  <c r="C115" i="2"/>
  <c r="B119" i="4" s="1"/>
  <c r="B115" i="2"/>
  <c r="A115" i="2"/>
  <c r="A119" i="4" s="1"/>
  <c r="H114" i="2"/>
  <c r="G118" i="4" s="1"/>
  <c r="G114" i="2"/>
  <c r="F118" i="4" s="1"/>
  <c r="F114" i="2"/>
  <c r="E118" i="4" s="1"/>
  <c r="E114" i="2"/>
  <c r="D118" i="4" s="1"/>
  <c r="D114" i="2"/>
  <c r="C118" i="4" s="1"/>
  <c r="C114" i="2"/>
  <c r="B118" i="4" s="1"/>
  <c r="B114" i="2"/>
  <c r="A114" i="2"/>
  <c r="A118" i="4" s="1"/>
  <c r="H113" i="2"/>
  <c r="G117" i="4" s="1"/>
  <c r="G113" i="2"/>
  <c r="F117" i="4" s="1"/>
  <c r="F113" i="2"/>
  <c r="E117" i="4" s="1"/>
  <c r="E113" i="2"/>
  <c r="D117" i="4" s="1"/>
  <c r="D113" i="2"/>
  <c r="C117" i="4" s="1"/>
  <c r="C113" i="2"/>
  <c r="B117" i="4" s="1"/>
  <c r="B113" i="2"/>
  <c r="A113" i="2"/>
  <c r="A117" i="4" s="1"/>
  <c r="H112" i="2"/>
  <c r="G116" i="4" s="1"/>
  <c r="G112" i="2"/>
  <c r="F116" i="4" s="1"/>
  <c r="F112" i="2"/>
  <c r="E116" i="4" s="1"/>
  <c r="E112" i="2"/>
  <c r="D116" i="4" s="1"/>
  <c r="D112" i="2"/>
  <c r="C116" i="4" s="1"/>
  <c r="C112" i="2"/>
  <c r="B116" i="4" s="1"/>
  <c r="B112" i="2"/>
  <c r="A112" i="2"/>
  <c r="A116" i="4" s="1"/>
  <c r="H111" i="2"/>
  <c r="G115" i="4" s="1"/>
  <c r="G111" i="2"/>
  <c r="F115" i="4" s="1"/>
  <c r="F111" i="2"/>
  <c r="E115" i="4" s="1"/>
  <c r="E111" i="2"/>
  <c r="D115" i="4" s="1"/>
  <c r="D111" i="2"/>
  <c r="C115" i="4" s="1"/>
  <c r="C111" i="2"/>
  <c r="B115" i="4" s="1"/>
  <c r="B111" i="2"/>
  <c r="A111" i="2"/>
  <c r="A115" i="4" s="1"/>
  <c r="H110" i="2"/>
  <c r="G114" i="4" s="1"/>
  <c r="G110" i="2"/>
  <c r="F114" i="4" s="1"/>
  <c r="F110" i="2"/>
  <c r="E114" i="4" s="1"/>
  <c r="E110" i="2"/>
  <c r="D114" i="4" s="1"/>
  <c r="D110" i="2"/>
  <c r="C114" i="4" s="1"/>
  <c r="C110" i="2"/>
  <c r="B114" i="4" s="1"/>
  <c r="B110" i="2"/>
  <c r="A110" i="2"/>
  <c r="A114" i="4" s="1"/>
  <c r="H109" i="2"/>
  <c r="G113" i="4" s="1"/>
  <c r="G109" i="2"/>
  <c r="F113" i="4" s="1"/>
  <c r="F109" i="2"/>
  <c r="E113" i="4" s="1"/>
  <c r="E109" i="2"/>
  <c r="D113" i="4" s="1"/>
  <c r="D109" i="2"/>
  <c r="C113" i="4" s="1"/>
  <c r="C109" i="2"/>
  <c r="B113" i="4" s="1"/>
  <c r="B109" i="2"/>
  <c r="A109" i="2"/>
  <c r="A113" i="4" s="1"/>
  <c r="H108" i="2"/>
  <c r="G112" i="4" s="1"/>
  <c r="G108" i="2"/>
  <c r="F112" i="4" s="1"/>
  <c r="F108" i="2"/>
  <c r="E112" i="4" s="1"/>
  <c r="E108" i="2"/>
  <c r="D112" i="4" s="1"/>
  <c r="D108" i="2"/>
  <c r="C112" i="4" s="1"/>
  <c r="C108" i="2"/>
  <c r="B112" i="4" s="1"/>
  <c r="B108" i="2"/>
  <c r="A108" i="2"/>
  <c r="A112" i="4" s="1"/>
  <c r="H107" i="2"/>
  <c r="G111" i="4" s="1"/>
  <c r="G107" i="2"/>
  <c r="F111" i="4" s="1"/>
  <c r="F107" i="2"/>
  <c r="E111" i="4" s="1"/>
  <c r="E107" i="2"/>
  <c r="D111" i="4" s="1"/>
  <c r="D107" i="2"/>
  <c r="C111" i="4" s="1"/>
  <c r="C107" i="2"/>
  <c r="B111" i="4" s="1"/>
  <c r="B107" i="2"/>
  <c r="A107" i="2"/>
  <c r="A111" i="4" s="1"/>
  <c r="H106" i="2"/>
  <c r="G110" i="4" s="1"/>
  <c r="G106" i="2"/>
  <c r="F110" i="4" s="1"/>
  <c r="F106" i="2"/>
  <c r="E110" i="4" s="1"/>
  <c r="E106" i="2"/>
  <c r="D110" i="4" s="1"/>
  <c r="D106" i="2"/>
  <c r="C110" i="4" s="1"/>
  <c r="C106" i="2"/>
  <c r="B110" i="4" s="1"/>
  <c r="B106" i="2"/>
  <c r="A106" i="2"/>
  <c r="A110" i="4" s="1"/>
  <c r="H105" i="2"/>
  <c r="G109" i="4" s="1"/>
  <c r="G105" i="2"/>
  <c r="F109" i="4" s="1"/>
  <c r="F105" i="2"/>
  <c r="E109" i="4" s="1"/>
  <c r="E105" i="2"/>
  <c r="D109" i="4" s="1"/>
  <c r="D105" i="2"/>
  <c r="C109" i="4" s="1"/>
  <c r="C105" i="2"/>
  <c r="B109" i="4" s="1"/>
  <c r="B105" i="2"/>
  <c r="A105" i="2"/>
  <c r="A109" i="4" s="1"/>
  <c r="H104" i="2"/>
  <c r="G108" i="4" s="1"/>
  <c r="G104" i="2"/>
  <c r="F108" i="4" s="1"/>
  <c r="F104" i="2"/>
  <c r="E108" i="4" s="1"/>
  <c r="E104" i="2"/>
  <c r="D108" i="4" s="1"/>
  <c r="D104" i="2"/>
  <c r="C108" i="4" s="1"/>
  <c r="C104" i="2"/>
  <c r="B108" i="4" s="1"/>
  <c r="B104" i="2"/>
  <c r="A104" i="2"/>
  <c r="A108" i="4" s="1"/>
  <c r="H103" i="2"/>
  <c r="G107" i="4" s="1"/>
  <c r="G103" i="2"/>
  <c r="F107" i="4" s="1"/>
  <c r="F103" i="2"/>
  <c r="E107" i="4" s="1"/>
  <c r="E103" i="2"/>
  <c r="D107" i="4" s="1"/>
  <c r="D103" i="2"/>
  <c r="C107" i="4" s="1"/>
  <c r="C103" i="2"/>
  <c r="B107" i="4" s="1"/>
  <c r="B103" i="2"/>
  <c r="A103" i="2"/>
  <c r="A107" i="4" s="1"/>
  <c r="H102" i="2"/>
  <c r="G106" i="4" s="1"/>
  <c r="G102" i="2"/>
  <c r="F106" i="4" s="1"/>
  <c r="F102" i="2"/>
  <c r="E106" i="4" s="1"/>
  <c r="E102" i="2"/>
  <c r="D106" i="4" s="1"/>
  <c r="D102" i="2"/>
  <c r="C106" i="4" s="1"/>
  <c r="C102" i="2"/>
  <c r="B106" i="4" s="1"/>
  <c r="B102" i="2"/>
  <c r="A102" i="2"/>
  <c r="A106" i="4" s="1"/>
  <c r="H101" i="2"/>
  <c r="G105" i="4" s="1"/>
  <c r="G101" i="2"/>
  <c r="F105" i="4" s="1"/>
  <c r="F101" i="2"/>
  <c r="E105" i="4" s="1"/>
  <c r="E101" i="2"/>
  <c r="D105" i="4" s="1"/>
  <c r="D101" i="2"/>
  <c r="C105" i="4" s="1"/>
  <c r="C101" i="2"/>
  <c r="B105" i="4" s="1"/>
  <c r="B101" i="2"/>
  <c r="A101" i="2"/>
  <c r="A105" i="4" s="1"/>
  <c r="H100" i="2"/>
  <c r="G104" i="4" s="1"/>
  <c r="G100" i="2"/>
  <c r="F104" i="4" s="1"/>
  <c r="F100" i="2"/>
  <c r="E104" i="4" s="1"/>
  <c r="E100" i="2"/>
  <c r="D104" i="4" s="1"/>
  <c r="D100" i="2"/>
  <c r="C104" i="4" s="1"/>
  <c r="C100" i="2"/>
  <c r="B104" i="4" s="1"/>
  <c r="B100" i="2"/>
  <c r="A100" i="2"/>
  <c r="A104" i="4" s="1"/>
  <c r="H99" i="2"/>
  <c r="G103" i="4" s="1"/>
  <c r="G99" i="2"/>
  <c r="F103" i="4" s="1"/>
  <c r="F99" i="2"/>
  <c r="E103" i="4" s="1"/>
  <c r="E99" i="2"/>
  <c r="D103" i="4" s="1"/>
  <c r="D99" i="2"/>
  <c r="C103" i="4" s="1"/>
  <c r="C99" i="2"/>
  <c r="B103" i="4" s="1"/>
  <c r="B99" i="2"/>
  <c r="A99" i="2"/>
  <c r="A103" i="4" s="1"/>
  <c r="H98" i="2"/>
  <c r="G102" i="4" s="1"/>
  <c r="G98" i="2"/>
  <c r="F102" i="4" s="1"/>
  <c r="F98" i="2"/>
  <c r="E102" i="4" s="1"/>
  <c r="E98" i="2"/>
  <c r="D102" i="4" s="1"/>
  <c r="D98" i="2"/>
  <c r="C102" i="4" s="1"/>
  <c r="C98" i="2"/>
  <c r="B102" i="4" s="1"/>
  <c r="B98" i="2"/>
  <c r="A98" i="2"/>
  <c r="A102" i="4" s="1"/>
  <c r="H97" i="2"/>
  <c r="G101" i="4" s="1"/>
  <c r="G97" i="2"/>
  <c r="F101" i="4" s="1"/>
  <c r="F97" i="2"/>
  <c r="E101" i="4" s="1"/>
  <c r="E97" i="2"/>
  <c r="D101" i="4" s="1"/>
  <c r="D97" i="2"/>
  <c r="C101" i="4" s="1"/>
  <c r="C97" i="2"/>
  <c r="B101" i="4" s="1"/>
  <c r="B97" i="2"/>
  <c r="A97" i="2"/>
  <c r="A101" i="4" s="1"/>
  <c r="H96" i="2"/>
  <c r="G100" i="4" s="1"/>
  <c r="G96" i="2"/>
  <c r="F100" i="4" s="1"/>
  <c r="F96" i="2"/>
  <c r="E100" i="4" s="1"/>
  <c r="E96" i="2"/>
  <c r="D100" i="4" s="1"/>
  <c r="D96" i="2"/>
  <c r="C100" i="4" s="1"/>
  <c r="C96" i="2"/>
  <c r="B100" i="4" s="1"/>
  <c r="B96" i="2"/>
  <c r="A96" i="2"/>
  <c r="A100" i="4" s="1"/>
  <c r="H95" i="2"/>
  <c r="G99" i="4" s="1"/>
  <c r="G95" i="2"/>
  <c r="F99" i="4" s="1"/>
  <c r="F95" i="2"/>
  <c r="E99" i="4" s="1"/>
  <c r="E95" i="2"/>
  <c r="D95" i="2"/>
  <c r="C99" i="4" s="1"/>
  <c r="C95" i="2"/>
  <c r="B99" i="4" s="1"/>
  <c r="B95" i="2"/>
  <c r="A95" i="2"/>
  <c r="A99" i="4" s="1"/>
  <c r="H94" i="2"/>
  <c r="G98" i="4" s="1"/>
  <c r="G94" i="2"/>
  <c r="F98" i="4" s="1"/>
  <c r="F94" i="2"/>
  <c r="E98" i="4" s="1"/>
  <c r="E94" i="2"/>
  <c r="D98" i="4" s="1"/>
  <c r="D94" i="2"/>
  <c r="C98" i="4" s="1"/>
  <c r="C94" i="2"/>
  <c r="B98" i="4" s="1"/>
  <c r="B94" i="2"/>
  <c r="A94" i="2"/>
  <c r="A98" i="4" s="1"/>
  <c r="H93" i="2"/>
  <c r="G97" i="4" s="1"/>
  <c r="G93" i="2"/>
  <c r="F97" i="4" s="1"/>
  <c r="F93" i="2"/>
  <c r="E97" i="4" s="1"/>
  <c r="E93" i="2"/>
  <c r="D97" i="4" s="1"/>
  <c r="D93" i="2"/>
  <c r="C97" i="4" s="1"/>
  <c r="C93" i="2"/>
  <c r="B97" i="4" s="1"/>
  <c r="B93" i="2"/>
  <c r="A93" i="2"/>
  <c r="A97" i="4" s="1"/>
  <c r="H92" i="2"/>
  <c r="G96" i="4" s="1"/>
  <c r="G92" i="2"/>
  <c r="F96" i="4" s="1"/>
  <c r="F92" i="2"/>
  <c r="E96" i="4" s="1"/>
  <c r="E92" i="2"/>
  <c r="D96" i="4" s="1"/>
  <c r="D92" i="2"/>
  <c r="C96" i="4" s="1"/>
  <c r="C92" i="2"/>
  <c r="B96" i="4" s="1"/>
  <c r="B92" i="2"/>
  <c r="A92" i="2"/>
  <c r="A96" i="4" s="1"/>
  <c r="H91" i="2"/>
  <c r="G95" i="4" s="1"/>
  <c r="G91" i="2"/>
  <c r="F95" i="4" s="1"/>
  <c r="F91" i="2"/>
  <c r="E95" i="4" s="1"/>
  <c r="E91" i="2"/>
  <c r="D95" i="4" s="1"/>
  <c r="D91" i="2"/>
  <c r="C95" i="4" s="1"/>
  <c r="C91" i="2"/>
  <c r="B95" i="4" s="1"/>
  <c r="B91" i="2"/>
  <c r="A91" i="2"/>
  <c r="A95" i="4" s="1"/>
  <c r="H90" i="2"/>
  <c r="G94" i="4" s="1"/>
  <c r="G90" i="2"/>
  <c r="F94" i="4" s="1"/>
  <c r="F90" i="2"/>
  <c r="E94" i="4" s="1"/>
  <c r="E90" i="2"/>
  <c r="D94" i="4" s="1"/>
  <c r="D90" i="2"/>
  <c r="C94" i="4" s="1"/>
  <c r="C90" i="2"/>
  <c r="B94" i="4" s="1"/>
  <c r="B90" i="2"/>
  <c r="A90" i="2"/>
  <c r="A94" i="4" s="1"/>
  <c r="H89" i="2"/>
  <c r="G93" i="4" s="1"/>
  <c r="G89" i="2"/>
  <c r="F93" i="4" s="1"/>
  <c r="F89" i="2"/>
  <c r="E93" i="4" s="1"/>
  <c r="E89" i="2"/>
  <c r="D93" i="4" s="1"/>
  <c r="D89" i="2"/>
  <c r="C93" i="4" s="1"/>
  <c r="C89" i="2"/>
  <c r="B93" i="4" s="1"/>
  <c r="B89" i="2"/>
  <c r="A89" i="2"/>
  <c r="A93" i="4" s="1"/>
  <c r="H88" i="2"/>
  <c r="G92" i="4" s="1"/>
  <c r="G88" i="2"/>
  <c r="F92" i="4" s="1"/>
  <c r="F88" i="2"/>
  <c r="E92" i="4" s="1"/>
  <c r="E88" i="2"/>
  <c r="D92" i="4" s="1"/>
  <c r="D88" i="2"/>
  <c r="C92" i="4" s="1"/>
  <c r="C88" i="2"/>
  <c r="B92" i="4" s="1"/>
  <c r="B88" i="2"/>
  <c r="A88" i="2"/>
  <c r="A92" i="4" s="1"/>
  <c r="H87" i="2"/>
  <c r="G91" i="4" s="1"/>
  <c r="G87" i="2"/>
  <c r="F91" i="4" s="1"/>
  <c r="F87" i="2"/>
  <c r="E91" i="4" s="1"/>
  <c r="E87" i="2"/>
  <c r="D91" i="4" s="1"/>
  <c r="D87" i="2"/>
  <c r="C91" i="4" s="1"/>
  <c r="C87" i="2"/>
  <c r="B91" i="4" s="1"/>
  <c r="B87" i="2"/>
  <c r="A87" i="2"/>
  <c r="A91" i="4" s="1"/>
  <c r="H86" i="2"/>
  <c r="G90" i="4" s="1"/>
  <c r="G86" i="2"/>
  <c r="F90" i="4" s="1"/>
  <c r="F86" i="2"/>
  <c r="E90" i="4" s="1"/>
  <c r="E86" i="2"/>
  <c r="D90" i="4" s="1"/>
  <c r="D86" i="2"/>
  <c r="C90" i="4" s="1"/>
  <c r="C86" i="2"/>
  <c r="B90" i="4" s="1"/>
  <c r="B86" i="2"/>
  <c r="A86" i="2"/>
  <c r="A90" i="4" s="1"/>
  <c r="H85" i="2"/>
  <c r="G89" i="4" s="1"/>
  <c r="G85" i="2"/>
  <c r="F89" i="4" s="1"/>
  <c r="F85" i="2"/>
  <c r="E89" i="4" s="1"/>
  <c r="E85" i="2"/>
  <c r="D89" i="4" s="1"/>
  <c r="D85" i="2"/>
  <c r="C89" i="4" s="1"/>
  <c r="C85" i="2"/>
  <c r="B89" i="4" s="1"/>
  <c r="B85" i="2"/>
  <c r="A85" i="2"/>
  <c r="A89" i="4" s="1"/>
  <c r="H84" i="2"/>
  <c r="G88" i="4" s="1"/>
  <c r="G84" i="2"/>
  <c r="F88" i="4" s="1"/>
  <c r="F84" i="2"/>
  <c r="E88" i="4" s="1"/>
  <c r="E84" i="2"/>
  <c r="D88" i="4" s="1"/>
  <c r="D84" i="2"/>
  <c r="C88" i="4" s="1"/>
  <c r="C84" i="2"/>
  <c r="B88" i="4" s="1"/>
  <c r="B84" i="2"/>
  <c r="A84" i="2"/>
  <c r="A88" i="4" s="1"/>
  <c r="H83" i="2"/>
  <c r="G87" i="4" s="1"/>
  <c r="G83" i="2"/>
  <c r="F87" i="4" s="1"/>
  <c r="F83" i="2"/>
  <c r="E87" i="4" s="1"/>
  <c r="E83" i="2"/>
  <c r="D87" i="4" s="1"/>
  <c r="D83" i="2"/>
  <c r="C87" i="4" s="1"/>
  <c r="C83" i="2"/>
  <c r="B87" i="4" s="1"/>
  <c r="B83" i="2"/>
  <c r="A83" i="2"/>
  <c r="A87" i="4" s="1"/>
  <c r="H82" i="2"/>
  <c r="G86" i="4" s="1"/>
  <c r="G82" i="2"/>
  <c r="F86" i="4" s="1"/>
  <c r="F82" i="2"/>
  <c r="E86" i="4" s="1"/>
  <c r="E82" i="2"/>
  <c r="D86" i="4" s="1"/>
  <c r="D82" i="2"/>
  <c r="C86" i="4" s="1"/>
  <c r="C82" i="2"/>
  <c r="B86" i="4" s="1"/>
  <c r="B82" i="2"/>
  <c r="A82" i="2"/>
  <c r="A86" i="4" s="1"/>
  <c r="H81" i="2"/>
  <c r="G85" i="4" s="1"/>
  <c r="G81" i="2"/>
  <c r="F85" i="4" s="1"/>
  <c r="F81" i="2"/>
  <c r="E85" i="4" s="1"/>
  <c r="E81" i="2"/>
  <c r="D85" i="4" s="1"/>
  <c r="D81" i="2"/>
  <c r="C85" i="4" s="1"/>
  <c r="C81" i="2"/>
  <c r="B85" i="4" s="1"/>
  <c r="B81" i="2"/>
  <c r="A81" i="2"/>
  <c r="A85" i="4" s="1"/>
  <c r="H80" i="2"/>
  <c r="G84" i="4" s="1"/>
  <c r="G80" i="2"/>
  <c r="F84" i="4" s="1"/>
  <c r="F80" i="2"/>
  <c r="E84" i="4" s="1"/>
  <c r="E80" i="2"/>
  <c r="D84" i="4" s="1"/>
  <c r="D80" i="2"/>
  <c r="C84" i="4" s="1"/>
  <c r="C80" i="2"/>
  <c r="B84" i="4" s="1"/>
  <c r="B80" i="2"/>
  <c r="A80" i="2"/>
  <c r="A84" i="4" s="1"/>
  <c r="H79" i="2"/>
  <c r="G83" i="4" s="1"/>
  <c r="G79" i="2"/>
  <c r="F83" i="4" s="1"/>
  <c r="F79" i="2"/>
  <c r="E83" i="4" s="1"/>
  <c r="E79" i="2"/>
  <c r="D83" i="4" s="1"/>
  <c r="D79" i="2"/>
  <c r="C83" i="4" s="1"/>
  <c r="C79" i="2"/>
  <c r="B83" i="4" s="1"/>
  <c r="B79" i="2"/>
  <c r="A79" i="2"/>
  <c r="A83" i="4" s="1"/>
  <c r="H78" i="2"/>
  <c r="G82" i="4" s="1"/>
  <c r="G78" i="2"/>
  <c r="F82" i="4" s="1"/>
  <c r="F78" i="2"/>
  <c r="E82" i="4" s="1"/>
  <c r="E78" i="2"/>
  <c r="D82" i="4" s="1"/>
  <c r="D78" i="2"/>
  <c r="C82" i="4" s="1"/>
  <c r="C78" i="2"/>
  <c r="B82" i="4" s="1"/>
  <c r="B78" i="2"/>
  <c r="A78" i="2"/>
  <c r="A82" i="4" s="1"/>
  <c r="H77" i="2"/>
  <c r="G81" i="4" s="1"/>
  <c r="G77" i="2"/>
  <c r="F81" i="4" s="1"/>
  <c r="F77" i="2"/>
  <c r="E77" i="2"/>
  <c r="D81" i="4" s="1"/>
  <c r="D77" i="2"/>
  <c r="C81" i="4" s="1"/>
  <c r="C77" i="2"/>
  <c r="B81" i="4" s="1"/>
  <c r="B77" i="2"/>
  <c r="A77" i="2"/>
  <c r="A81" i="4" s="1"/>
  <c r="H76" i="2"/>
  <c r="G80" i="4" s="1"/>
  <c r="G76" i="2"/>
  <c r="F80" i="4" s="1"/>
  <c r="F76" i="2"/>
  <c r="E80" i="4" s="1"/>
  <c r="E76" i="2"/>
  <c r="D80" i="4" s="1"/>
  <c r="D76" i="2"/>
  <c r="C80" i="4" s="1"/>
  <c r="C76" i="2"/>
  <c r="B80" i="4" s="1"/>
  <c r="B76" i="2"/>
  <c r="A76" i="2"/>
  <c r="A80" i="4" s="1"/>
  <c r="H75" i="2"/>
  <c r="G79" i="4" s="1"/>
  <c r="G75" i="2"/>
  <c r="F79" i="4" s="1"/>
  <c r="F75" i="2"/>
  <c r="E79" i="4" s="1"/>
  <c r="E75" i="2"/>
  <c r="D79" i="4" s="1"/>
  <c r="D75" i="2"/>
  <c r="C79" i="4" s="1"/>
  <c r="C75" i="2"/>
  <c r="B79" i="4" s="1"/>
  <c r="B75" i="2"/>
  <c r="A75" i="2"/>
  <c r="A79" i="4" s="1"/>
  <c r="H74" i="2"/>
  <c r="G78" i="4" s="1"/>
  <c r="G74" i="2"/>
  <c r="F78" i="4" s="1"/>
  <c r="F74" i="2"/>
  <c r="E78" i="4" s="1"/>
  <c r="E74" i="2"/>
  <c r="D78" i="4" s="1"/>
  <c r="D74" i="2"/>
  <c r="C78" i="4" s="1"/>
  <c r="C74" i="2"/>
  <c r="B78" i="4" s="1"/>
  <c r="B74" i="2"/>
  <c r="A74" i="2"/>
  <c r="A78" i="4" s="1"/>
  <c r="H73" i="2"/>
  <c r="G77" i="4" s="1"/>
  <c r="G73" i="2"/>
  <c r="F77" i="4" s="1"/>
  <c r="F73" i="2"/>
  <c r="E77" i="4" s="1"/>
  <c r="E73" i="2"/>
  <c r="D77" i="4" s="1"/>
  <c r="D73" i="2"/>
  <c r="C77" i="4" s="1"/>
  <c r="C73" i="2"/>
  <c r="B77" i="4" s="1"/>
  <c r="B73" i="2"/>
  <c r="A73" i="2"/>
  <c r="A77" i="4" s="1"/>
  <c r="H72" i="2"/>
  <c r="G76" i="4" s="1"/>
  <c r="G72" i="2"/>
  <c r="F76" i="4" s="1"/>
  <c r="F72" i="2"/>
  <c r="E76" i="4" s="1"/>
  <c r="E72" i="2"/>
  <c r="D76" i="4" s="1"/>
  <c r="D72" i="2"/>
  <c r="C76" i="4" s="1"/>
  <c r="C72" i="2"/>
  <c r="B76" i="4" s="1"/>
  <c r="B72" i="2"/>
  <c r="A72" i="2"/>
  <c r="A76" i="4" s="1"/>
  <c r="H71" i="2"/>
  <c r="G75" i="4" s="1"/>
  <c r="G71" i="2"/>
  <c r="F75" i="4" s="1"/>
  <c r="F71" i="2"/>
  <c r="E75" i="4" s="1"/>
  <c r="E71" i="2"/>
  <c r="D75" i="4" s="1"/>
  <c r="D71" i="2"/>
  <c r="C75" i="4" s="1"/>
  <c r="C71" i="2"/>
  <c r="B75" i="4" s="1"/>
  <c r="B71" i="2"/>
  <c r="A71" i="2"/>
  <c r="A75" i="4" s="1"/>
  <c r="H70" i="2"/>
  <c r="G74" i="4" s="1"/>
  <c r="G70" i="2"/>
  <c r="F74" i="4" s="1"/>
  <c r="F70" i="2"/>
  <c r="E74" i="4" s="1"/>
  <c r="E70" i="2"/>
  <c r="D74" i="4" s="1"/>
  <c r="D70" i="2"/>
  <c r="C74" i="4" s="1"/>
  <c r="C70" i="2"/>
  <c r="B74" i="4" s="1"/>
  <c r="B70" i="2"/>
  <c r="A70" i="2"/>
  <c r="A74" i="4" s="1"/>
  <c r="H69" i="2"/>
  <c r="G73" i="4" s="1"/>
  <c r="G69" i="2"/>
  <c r="F73" i="4" s="1"/>
  <c r="F69" i="2"/>
  <c r="E73" i="4" s="1"/>
  <c r="E69" i="2"/>
  <c r="D73" i="4" s="1"/>
  <c r="D69" i="2"/>
  <c r="C73" i="4" s="1"/>
  <c r="C69" i="2"/>
  <c r="B73" i="4" s="1"/>
  <c r="B69" i="2"/>
  <c r="A69" i="2"/>
  <c r="A73" i="4" s="1"/>
  <c r="H68" i="2"/>
  <c r="G72" i="4" s="1"/>
  <c r="G68" i="2"/>
  <c r="F72" i="4" s="1"/>
  <c r="F68" i="2"/>
  <c r="E72" i="4" s="1"/>
  <c r="E68" i="2"/>
  <c r="D72" i="4" s="1"/>
  <c r="D68" i="2"/>
  <c r="C72" i="4" s="1"/>
  <c r="C68" i="2"/>
  <c r="B72" i="4" s="1"/>
  <c r="B68" i="2"/>
  <c r="A68" i="2"/>
  <c r="H67" i="2"/>
  <c r="G71" i="4" s="1"/>
  <c r="G67" i="2"/>
  <c r="F71" i="4" s="1"/>
  <c r="F67" i="2"/>
  <c r="E71" i="4" s="1"/>
  <c r="E67" i="2"/>
  <c r="D71" i="4" s="1"/>
  <c r="D67" i="2"/>
  <c r="C71" i="4" s="1"/>
  <c r="C67" i="2"/>
  <c r="B71" i="4" s="1"/>
  <c r="B67" i="2"/>
  <c r="A67" i="2"/>
  <c r="A71" i="4" s="1"/>
  <c r="H66" i="2"/>
  <c r="G70" i="4" s="1"/>
  <c r="G66" i="2"/>
  <c r="F70" i="4" s="1"/>
  <c r="F66" i="2"/>
  <c r="E70" i="4" s="1"/>
  <c r="E66" i="2"/>
  <c r="D70" i="4" s="1"/>
  <c r="D66" i="2"/>
  <c r="C70" i="4" s="1"/>
  <c r="C66" i="2"/>
  <c r="B70" i="4" s="1"/>
  <c r="B66" i="2"/>
  <c r="A66" i="2"/>
  <c r="A70" i="4" s="1"/>
  <c r="H65" i="2"/>
  <c r="G69" i="4" s="1"/>
  <c r="G65" i="2"/>
  <c r="F69" i="4" s="1"/>
  <c r="F65" i="2"/>
  <c r="E69" i="4" s="1"/>
  <c r="E65" i="2"/>
  <c r="D69" i="4" s="1"/>
  <c r="D65" i="2"/>
  <c r="C69" i="4" s="1"/>
  <c r="C65" i="2"/>
  <c r="B69" i="4" s="1"/>
  <c r="B65" i="2"/>
  <c r="A65" i="2"/>
  <c r="A69" i="4" s="1"/>
  <c r="H64" i="2"/>
  <c r="G68" i="4" s="1"/>
  <c r="G64" i="2"/>
  <c r="F68" i="4" s="1"/>
  <c r="F64" i="2"/>
  <c r="E68" i="4" s="1"/>
  <c r="E64" i="2"/>
  <c r="D68" i="4" s="1"/>
  <c r="D64" i="2"/>
  <c r="C68" i="4" s="1"/>
  <c r="C64" i="2"/>
  <c r="B68" i="4" s="1"/>
  <c r="B64" i="2"/>
  <c r="A64" i="2"/>
  <c r="A68" i="4" s="1"/>
  <c r="H63" i="2"/>
  <c r="G67" i="4" s="1"/>
  <c r="G63" i="2"/>
  <c r="F67" i="4" s="1"/>
  <c r="F63" i="2"/>
  <c r="E67" i="4" s="1"/>
  <c r="E63" i="2"/>
  <c r="D67" i="4" s="1"/>
  <c r="D63" i="2"/>
  <c r="C67" i="4" s="1"/>
  <c r="C63" i="2"/>
  <c r="B67" i="4" s="1"/>
  <c r="B63" i="2"/>
  <c r="A63" i="2"/>
  <c r="A67" i="4" s="1"/>
  <c r="H62" i="2"/>
  <c r="G66" i="4" s="1"/>
  <c r="G62" i="2"/>
  <c r="F66" i="4" s="1"/>
  <c r="F62" i="2"/>
  <c r="E66" i="4" s="1"/>
  <c r="E62" i="2"/>
  <c r="D66" i="4" s="1"/>
  <c r="D62" i="2"/>
  <c r="C66" i="4" s="1"/>
  <c r="C62" i="2"/>
  <c r="B66" i="4" s="1"/>
  <c r="B62" i="2"/>
  <c r="A62" i="2"/>
  <c r="A66" i="4" s="1"/>
  <c r="H61" i="2"/>
  <c r="G65" i="4" s="1"/>
  <c r="G61" i="2"/>
  <c r="F65" i="4" s="1"/>
  <c r="F61" i="2"/>
  <c r="E65" i="4" s="1"/>
  <c r="E61" i="2"/>
  <c r="D65" i="4" s="1"/>
  <c r="D61" i="2"/>
  <c r="C65" i="4" s="1"/>
  <c r="C61" i="2"/>
  <c r="B65" i="4" s="1"/>
  <c r="B61" i="2"/>
  <c r="A61" i="2"/>
  <c r="A65" i="4" s="1"/>
  <c r="H60" i="2"/>
  <c r="G64" i="4" s="1"/>
  <c r="G60" i="2"/>
  <c r="F64" i="4" s="1"/>
  <c r="F60" i="2"/>
  <c r="E64" i="4" s="1"/>
  <c r="E60" i="2"/>
  <c r="D64" i="4" s="1"/>
  <c r="D60" i="2"/>
  <c r="C64" i="4" s="1"/>
  <c r="C60" i="2"/>
  <c r="B64" i="4" s="1"/>
  <c r="B60" i="2"/>
  <c r="A60" i="2"/>
  <c r="A64" i="4" s="1"/>
  <c r="H59" i="2"/>
  <c r="G63" i="4" s="1"/>
  <c r="G59" i="2"/>
  <c r="F63" i="4" s="1"/>
  <c r="F59" i="2"/>
  <c r="E63" i="4" s="1"/>
  <c r="E59" i="2"/>
  <c r="D63" i="4" s="1"/>
  <c r="D59" i="2"/>
  <c r="C63" i="4" s="1"/>
  <c r="C59" i="2"/>
  <c r="B63" i="4" s="1"/>
  <c r="B59" i="2"/>
  <c r="A59" i="2"/>
  <c r="A63" i="4" s="1"/>
  <c r="H58" i="2"/>
  <c r="G62" i="4" s="1"/>
  <c r="G58" i="2"/>
  <c r="F62" i="4" s="1"/>
  <c r="F58" i="2"/>
  <c r="E62" i="4" s="1"/>
  <c r="E58" i="2"/>
  <c r="D62" i="4" s="1"/>
  <c r="D58" i="2"/>
  <c r="C62" i="4" s="1"/>
  <c r="C58" i="2"/>
  <c r="B62" i="4" s="1"/>
  <c r="B58" i="2"/>
  <c r="A58" i="2"/>
  <c r="A62" i="4" s="1"/>
  <c r="H57" i="2"/>
  <c r="G61" i="4" s="1"/>
  <c r="G57" i="2"/>
  <c r="F61" i="4" s="1"/>
  <c r="F57" i="2"/>
  <c r="E61" i="4" s="1"/>
  <c r="E57" i="2"/>
  <c r="D61" i="4" s="1"/>
  <c r="D57" i="2"/>
  <c r="C61" i="4" s="1"/>
  <c r="C57" i="2"/>
  <c r="B61" i="4" s="1"/>
  <c r="B57" i="2"/>
  <c r="A57" i="2"/>
  <c r="A61" i="4" s="1"/>
  <c r="H56" i="2"/>
  <c r="G60" i="4" s="1"/>
  <c r="G56" i="2"/>
  <c r="F60" i="4" s="1"/>
  <c r="F56" i="2"/>
  <c r="E60" i="4" s="1"/>
  <c r="E56" i="2"/>
  <c r="D60" i="4" s="1"/>
  <c r="D56" i="2"/>
  <c r="C60" i="4" s="1"/>
  <c r="C56" i="2"/>
  <c r="B60" i="4" s="1"/>
  <c r="B56" i="2"/>
  <c r="A56" i="2"/>
  <c r="A60" i="4" s="1"/>
  <c r="H55" i="2"/>
  <c r="G59" i="4" s="1"/>
  <c r="G55" i="2"/>
  <c r="F59" i="4" s="1"/>
  <c r="F55" i="2"/>
  <c r="E59" i="4" s="1"/>
  <c r="E55" i="2"/>
  <c r="D59" i="4" s="1"/>
  <c r="D55" i="2"/>
  <c r="C59" i="4" s="1"/>
  <c r="C55" i="2"/>
  <c r="B59" i="4" s="1"/>
  <c r="B55" i="2"/>
  <c r="A55" i="2"/>
  <c r="A59" i="4" s="1"/>
  <c r="H54" i="2"/>
  <c r="G58" i="4" s="1"/>
  <c r="G54" i="2"/>
  <c r="F58" i="4" s="1"/>
  <c r="F54" i="2"/>
  <c r="E58" i="4" s="1"/>
  <c r="E54" i="2"/>
  <c r="D58" i="4" s="1"/>
  <c r="D54" i="2"/>
  <c r="C58" i="4" s="1"/>
  <c r="C54" i="2"/>
  <c r="B58" i="4" s="1"/>
  <c r="B54" i="2"/>
  <c r="A54" i="2"/>
  <c r="A58" i="4" s="1"/>
  <c r="H53" i="2"/>
  <c r="G57" i="4" s="1"/>
  <c r="G53" i="2"/>
  <c r="F57" i="4" s="1"/>
  <c r="F53" i="2"/>
  <c r="E57" i="4" s="1"/>
  <c r="E53" i="2"/>
  <c r="D57" i="4" s="1"/>
  <c r="D53" i="2"/>
  <c r="C57" i="4" s="1"/>
  <c r="C53" i="2"/>
  <c r="B57" i="4" s="1"/>
  <c r="B53" i="2"/>
  <c r="A53" i="2"/>
  <c r="A57" i="4" s="1"/>
  <c r="H52" i="2"/>
  <c r="G56" i="4" s="1"/>
  <c r="G52" i="2"/>
  <c r="F56" i="4" s="1"/>
  <c r="F52" i="2"/>
  <c r="E56" i="4" s="1"/>
  <c r="E52" i="2"/>
  <c r="D56" i="4" s="1"/>
  <c r="D52" i="2"/>
  <c r="C56" i="4" s="1"/>
  <c r="C52" i="2"/>
  <c r="B56" i="4" s="1"/>
  <c r="B52" i="2"/>
  <c r="A52" i="2"/>
  <c r="A56" i="4" s="1"/>
  <c r="H51" i="2"/>
  <c r="G55" i="4" s="1"/>
  <c r="G51" i="2"/>
  <c r="F55" i="4" s="1"/>
  <c r="F51" i="2"/>
  <c r="E55" i="4" s="1"/>
  <c r="E51" i="2"/>
  <c r="D55" i="4" s="1"/>
  <c r="D51" i="2"/>
  <c r="C55" i="4" s="1"/>
  <c r="C51" i="2"/>
  <c r="B55" i="4" s="1"/>
  <c r="B51" i="2"/>
  <c r="A51" i="2"/>
  <c r="A55" i="4" s="1"/>
  <c r="H50" i="2"/>
  <c r="G54" i="4" s="1"/>
  <c r="G50" i="2"/>
  <c r="F54" i="4" s="1"/>
  <c r="F50" i="2"/>
  <c r="E54" i="4" s="1"/>
  <c r="E50" i="2"/>
  <c r="D54" i="4" s="1"/>
  <c r="D50" i="2"/>
  <c r="C54" i="4" s="1"/>
  <c r="C50" i="2"/>
  <c r="B54" i="4" s="1"/>
  <c r="B50" i="2"/>
  <c r="A50" i="2"/>
  <c r="A54" i="4" s="1"/>
  <c r="H49" i="2"/>
  <c r="G53" i="4" s="1"/>
  <c r="G49" i="2"/>
  <c r="F49" i="2"/>
  <c r="E53" i="4" s="1"/>
  <c r="E49" i="2"/>
  <c r="D53" i="4" s="1"/>
  <c r="D49" i="2"/>
  <c r="C53" i="4" s="1"/>
  <c r="C49" i="2"/>
  <c r="B53" i="4" s="1"/>
  <c r="B49" i="2"/>
  <c r="A49" i="2"/>
  <c r="A53" i="4" s="1"/>
  <c r="H48" i="2"/>
  <c r="G52" i="4" s="1"/>
  <c r="G48" i="2"/>
  <c r="F52" i="4" s="1"/>
  <c r="F48" i="2"/>
  <c r="E52" i="4" s="1"/>
  <c r="E48" i="2"/>
  <c r="D52" i="4" s="1"/>
  <c r="D48" i="2"/>
  <c r="C52" i="4" s="1"/>
  <c r="C48" i="2"/>
  <c r="B52" i="4" s="1"/>
  <c r="B48" i="2"/>
  <c r="A48" i="2"/>
  <c r="A52" i="4" s="1"/>
  <c r="H47" i="2"/>
  <c r="G51" i="4" s="1"/>
  <c r="G47" i="2"/>
  <c r="F51" i="4" s="1"/>
  <c r="F47" i="2"/>
  <c r="E51" i="4" s="1"/>
  <c r="E47" i="2"/>
  <c r="D51" i="4" s="1"/>
  <c r="D47" i="2"/>
  <c r="C51" i="4" s="1"/>
  <c r="C47" i="2"/>
  <c r="B51" i="4" s="1"/>
  <c r="B47" i="2"/>
  <c r="A47" i="2"/>
  <c r="A51" i="4" s="1"/>
  <c r="H46" i="2"/>
  <c r="G50" i="4" s="1"/>
  <c r="G46" i="2"/>
  <c r="F50" i="4" s="1"/>
  <c r="F46" i="2"/>
  <c r="E50" i="4" s="1"/>
  <c r="E46" i="2"/>
  <c r="D50" i="4" s="1"/>
  <c r="D46" i="2"/>
  <c r="C50" i="4" s="1"/>
  <c r="C46" i="2"/>
  <c r="B50" i="4" s="1"/>
  <c r="B46" i="2"/>
  <c r="A46" i="2"/>
  <c r="A50" i="4" s="1"/>
  <c r="H45" i="2"/>
  <c r="G49" i="4" s="1"/>
  <c r="G45" i="2"/>
  <c r="F49" i="4" s="1"/>
  <c r="F45" i="2"/>
  <c r="E49" i="4" s="1"/>
  <c r="E45" i="2"/>
  <c r="D49" i="4" s="1"/>
  <c r="D45" i="2"/>
  <c r="C49" i="4" s="1"/>
  <c r="C45" i="2"/>
  <c r="B49" i="4" s="1"/>
  <c r="B45" i="2"/>
  <c r="A45" i="2"/>
  <c r="A49" i="4" s="1"/>
  <c r="H44" i="2"/>
  <c r="G48" i="4" s="1"/>
  <c r="G44" i="2"/>
  <c r="F48" i="4" s="1"/>
  <c r="F44" i="2"/>
  <c r="E48" i="4" s="1"/>
  <c r="E44" i="2"/>
  <c r="D48" i="4" s="1"/>
  <c r="D44" i="2"/>
  <c r="C48" i="4" s="1"/>
  <c r="C44" i="2"/>
  <c r="B48" i="4" s="1"/>
  <c r="B44" i="2"/>
  <c r="A44" i="2"/>
  <c r="A48" i="4" s="1"/>
  <c r="H43" i="2"/>
  <c r="G47" i="4" s="1"/>
  <c r="G43" i="2"/>
  <c r="F47" i="4" s="1"/>
  <c r="F43" i="2"/>
  <c r="E47" i="4" s="1"/>
  <c r="E43" i="2"/>
  <c r="D47" i="4" s="1"/>
  <c r="D43" i="2"/>
  <c r="C47" i="4" s="1"/>
  <c r="C43" i="2"/>
  <c r="B47" i="4" s="1"/>
  <c r="B43" i="2"/>
  <c r="A43" i="2"/>
  <c r="A47" i="4" s="1"/>
  <c r="H42" i="2"/>
  <c r="G46" i="4" s="1"/>
  <c r="G42" i="2"/>
  <c r="F46" i="4" s="1"/>
  <c r="F42" i="2"/>
  <c r="E46" i="4" s="1"/>
  <c r="E42" i="2"/>
  <c r="D46" i="4" s="1"/>
  <c r="D42" i="2"/>
  <c r="C46" i="4" s="1"/>
  <c r="C42" i="2"/>
  <c r="B46" i="4" s="1"/>
  <c r="B42" i="2"/>
  <c r="A42" i="2"/>
  <c r="A46" i="4" s="1"/>
  <c r="H41" i="2"/>
  <c r="G45" i="4" s="1"/>
  <c r="G41" i="2"/>
  <c r="F45" i="4" s="1"/>
  <c r="F41" i="2"/>
  <c r="E45" i="4" s="1"/>
  <c r="E41" i="2"/>
  <c r="D45" i="4" s="1"/>
  <c r="D41" i="2"/>
  <c r="C45" i="4" s="1"/>
  <c r="C41" i="2"/>
  <c r="B45" i="4" s="1"/>
  <c r="B41" i="2"/>
  <c r="A41" i="2"/>
  <c r="A45" i="4" s="1"/>
  <c r="H40" i="2"/>
  <c r="G44" i="4" s="1"/>
  <c r="G40" i="2"/>
  <c r="F44" i="4" s="1"/>
  <c r="F40" i="2"/>
  <c r="E40" i="2"/>
  <c r="D44" i="4" s="1"/>
  <c r="D40" i="2"/>
  <c r="C44" i="4" s="1"/>
  <c r="C40" i="2"/>
  <c r="B44" i="4" s="1"/>
  <c r="B40" i="2"/>
  <c r="A40" i="2"/>
  <c r="A44" i="4" s="1"/>
  <c r="H39" i="2"/>
  <c r="G43" i="4" s="1"/>
  <c r="G39" i="2"/>
  <c r="F43" i="4" s="1"/>
  <c r="F39" i="2"/>
  <c r="E43" i="4" s="1"/>
  <c r="E39" i="2"/>
  <c r="D43" i="4" s="1"/>
  <c r="D39" i="2"/>
  <c r="C43" i="4" s="1"/>
  <c r="C39" i="2"/>
  <c r="B43" i="4" s="1"/>
  <c r="B39" i="2"/>
  <c r="A39" i="2"/>
  <c r="A43" i="4" s="1"/>
  <c r="H38" i="2"/>
  <c r="G42" i="4" s="1"/>
  <c r="G38" i="2"/>
  <c r="F42" i="4" s="1"/>
  <c r="F38" i="2"/>
  <c r="E42" i="4" s="1"/>
  <c r="E38" i="2"/>
  <c r="D42" i="4" s="1"/>
  <c r="D38" i="2"/>
  <c r="C42" i="4" s="1"/>
  <c r="C38" i="2"/>
  <c r="B42" i="4" s="1"/>
  <c r="B38" i="2"/>
  <c r="A38" i="2"/>
  <c r="A42" i="4" s="1"/>
  <c r="H37" i="2"/>
  <c r="G41" i="4" s="1"/>
  <c r="G37" i="2"/>
  <c r="F41" i="4" s="1"/>
  <c r="F37" i="2"/>
  <c r="E41" i="4" s="1"/>
  <c r="E37" i="2"/>
  <c r="D41" i="4" s="1"/>
  <c r="D37" i="2"/>
  <c r="C41" i="4" s="1"/>
  <c r="C37" i="2"/>
  <c r="B41" i="4" s="1"/>
  <c r="B37" i="2"/>
  <c r="A37" i="2"/>
  <c r="A41" i="4" s="1"/>
  <c r="H36" i="2"/>
  <c r="G40" i="4" s="1"/>
  <c r="G36" i="2"/>
  <c r="F40" i="4" s="1"/>
  <c r="F36" i="2"/>
  <c r="E40" i="4" s="1"/>
  <c r="E36" i="2"/>
  <c r="D40" i="4" s="1"/>
  <c r="D36" i="2"/>
  <c r="C40" i="4" s="1"/>
  <c r="C36" i="2"/>
  <c r="B40" i="4" s="1"/>
  <c r="B36" i="2"/>
  <c r="A36" i="2"/>
  <c r="A40" i="4" s="1"/>
  <c r="H35" i="2"/>
  <c r="G39" i="4" s="1"/>
  <c r="G35" i="2"/>
  <c r="F39" i="4" s="1"/>
  <c r="F35" i="2"/>
  <c r="E35" i="2"/>
  <c r="D39" i="4" s="1"/>
  <c r="D35" i="2"/>
  <c r="C39" i="4" s="1"/>
  <c r="C35" i="2"/>
  <c r="B39" i="4" s="1"/>
  <c r="B35" i="2"/>
  <c r="A35" i="2"/>
  <c r="A39" i="4" s="1"/>
  <c r="H34" i="2"/>
  <c r="G38" i="4" s="1"/>
  <c r="G34" i="2"/>
  <c r="F38" i="4" s="1"/>
  <c r="F34" i="2"/>
  <c r="E38" i="4" s="1"/>
  <c r="E34" i="2"/>
  <c r="D38" i="4" s="1"/>
  <c r="D34" i="2"/>
  <c r="C38" i="4" s="1"/>
  <c r="C34" i="2"/>
  <c r="B38" i="4" s="1"/>
  <c r="B34" i="2"/>
  <c r="A34" i="2"/>
  <c r="A38" i="4" s="1"/>
  <c r="H33" i="2"/>
  <c r="G37" i="4" s="1"/>
  <c r="G33" i="2"/>
  <c r="F37" i="4" s="1"/>
  <c r="F33" i="2"/>
  <c r="E37" i="4" s="1"/>
  <c r="E33" i="2"/>
  <c r="D37" i="4" s="1"/>
  <c r="D33" i="2"/>
  <c r="C37" i="4" s="1"/>
  <c r="C33" i="2"/>
  <c r="B37" i="4" s="1"/>
  <c r="B33" i="2"/>
  <c r="A33" i="2"/>
  <c r="A37" i="4" s="1"/>
  <c r="H32" i="2"/>
  <c r="G36" i="4" s="1"/>
  <c r="G32" i="2"/>
  <c r="F36" i="4" s="1"/>
  <c r="F32" i="2"/>
  <c r="E36" i="4" s="1"/>
  <c r="E32" i="2"/>
  <c r="D36" i="4" s="1"/>
  <c r="D32" i="2"/>
  <c r="C36" i="4" s="1"/>
  <c r="C32" i="2"/>
  <c r="B36" i="4" s="1"/>
  <c r="B32" i="2"/>
  <c r="A32" i="2"/>
  <c r="A36" i="4" s="1"/>
  <c r="H31" i="2"/>
  <c r="G35" i="4" s="1"/>
  <c r="G31" i="2"/>
  <c r="F35" i="4" s="1"/>
  <c r="F31" i="2"/>
  <c r="E35" i="4" s="1"/>
  <c r="E31" i="2"/>
  <c r="D35" i="4" s="1"/>
  <c r="D31" i="2"/>
  <c r="C35" i="4" s="1"/>
  <c r="C31" i="2"/>
  <c r="B35" i="4" s="1"/>
  <c r="B31" i="2"/>
  <c r="A31" i="2"/>
  <c r="H30" i="2"/>
  <c r="G34" i="4" s="1"/>
  <c r="G30" i="2"/>
  <c r="F34" i="4" s="1"/>
  <c r="F30" i="2"/>
  <c r="E34" i="4" s="1"/>
  <c r="E30" i="2"/>
  <c r="D34" i="4" s="1"/>
  <c r="D30" i="2"/>
  <c r="C34" i="4" s="1"/>
  <c r="C30" i="2"/>
  <c r="B34" i="4" s="1"/>
  <c r="B30" i="2"/>
  <c r="A30" i="2"/>
  <c r="A34" i="4" s="1"/>
  <c r="H29" i="2"/>
  <c r="G33" i="4" s="1"/>
  <c r="G29" i="2"/>
  <c r="F33" i="4" s="1"/>
  <c r="F29" i="2"/>
  <c r="E33" i="4" s="1"/>
  <c r="E29" i="2"/>
  <c r="D33" i="4" s="1"/>
  <c r="D29" i="2"/>
  <c r="C33" i="4" s="1"/>
  <c r="C29" i="2"/>
  <c r="B33" i="4" s="1"/>
  <c r="B29" i="2"/>
  <c r="A29" i="2"/>
  <c r="A33" i="4" s="1"/>
  <c r="H28" i="2"/>
  <c r="G32" i="4" s="1"/>
  <c r="G28" i="2"/>
  <c r="F32" i="4" s="1"/>
  <c r="F28" i="2"/>
  <c r="E32" i="4" s="1"/>
  <c r="E28" i="2"/>
  <c r="D32" i="4" s="1"/>
  <c r="D28" i="2"/>
  <c r="C32" i="4" s="1"/>
  <c r="C28" i="2"/>
  <c r="B32" i="4" s="1"/>
  <c r="B28" i="2"/>
  <c r="A28" i="2"/>
  <c r="A32" i="4" s="1"/>
  <c r="H27" i="2"/>
  <c r="G31" i="4" s="1"/>
  <c r="G27" i="2"/>
  <c r="F31" i="4" s="1"/>
  <c r="F27" i="2"/>
  <c r="E31" i="4" s="1"/>
  <c r="E27" i="2"/>
  <c r="D31" i="4" s="1"/>
  <c r="D27" i="2"/>
  <c r="C31" i="4" s="1"/>
  <c r="C27" i="2"/>
  <c r="B31" i="4" s="1"/>
  <c r="B27" i="2"/>
  <c r="A27" i="2"/>
  <c r="A31" i="4" s="1"/>
  <c r="H26" i="2"/>
  <c r="G30" i="4" s="1"/>
  <c r="G26" i="2"/>
  <c r="F30" i="4" s="1"/>
  <c r="F26" i="2"/>
  <c r="E30" i="4" s="1"/>
  <c r="E26" i="2"/>
  <c r="D30" i="4" s="1"/>
  <c r="D26" i="2"/>
  <c r="C30" i="4" s="1"/>
  <c r="C26" i="2"/>
  <c r="B30" i="4" s="1"/>
  <c r="B26" i="2"/>
  <c r="A26" i="2"/>
  <c r="A30" i="4" s="1"/>
  <c r="H25" i="2"/>
  <c r="G29" i="4" s="1"/>
  <c r="G25" i="2"/>
  <c r="F29" i="4" s="1"/>
  <c r="F25" i="2"/>
  <c r="E29" i="4" s="1"/>
  <c r="E25" i="2"/>
  <c r="D29" i="4" s="1"/>
  <c r="D25" i="2"/>
  <c r="C29" i="4" s="1"/>
  <c r="C25" i="2"/>
  <c r="B29" i="4" s="1"/>
  <c r="B25" i="2"/>
  <c r="A25" i="2"/>
  <c r="A29" i="4" s="1"/>
  <c r="H24" i="2"/>
  <c r="G28" i="4" s="1"/>
  <c r="G24" i="2"/>
  <c r="F28" i="4" s="1"/>
  <c r="F24" i="2"/>
  <c r="E28" i="4" s="1"/>
  <c r="E24" i="2"/>
  <c r="D28" i="4" s="1"/>
  <c r="D24" i="2"/>
  <c r="C28" i="4" s="1"/>
  <c r="C24" i="2"/>
  <c r="B28" i="4" s="1"/>
  <c r="B24" i="2"/>
  <c r="A24" i="2"/>
  <c r="A28" i="4" s="1"/>
  <c r="H23" i="2"/>
  <c r="G27" i="4" s="1"/>
  <c r="G23" i="2"/>
  <c r="F27" i="4" s="1"/>
  <c r="F23" i="2"/>
  <c r="E27" i="4" s="1"/>
  <c r="E23" i="2"/>
  <c r="D27" i="4" s="1"/>
  <c r="D23" i="2"/>
  <c r="C27" i="4" s="1"/>
  <c r="C23" i="2"/>
  <c r="B27" i="4" s="1"/>
  <c r="B23" i="2"/>
  <c r="A23" i="2"/>
  <c r="A27" i="4" s="1"/>
  <c r="H22" i="2"/>
  <c r="G26" i="4" s="1"/>
  <c r="G22" i="2"/>
  <c r="F26" i="4" s="1"/>
  <c r="F22" i="2"/>
  <c r="E26" i="4" s="1"/>
  <c r="E22" i="2"/>
  <c r="D26" i="4" s="1"/>
  <c r="D22" i="2"/>
  <c r="C26" i="4" s="1"/>
  <c r="C22" i="2"/>
  <c r="B26" i="4" s="1"/>
  <c r="B22" i="2"/>
  <c r="A22" i="2"/>
  <c r="A26" i="4" s="1"/>
  <c r="H21" i="2"/>
  <c r="G25" i="4" s="1"/>
  <c r="G21" i="2"/>
  <c r="F25" i="4" s="1"/>
  <c r="F21" i="2"/>
  <c r="E25" i="4" s="1"/>
  <c r="E21" i="2"/>
  <c r="D25" i="4" s="1"/>
  <c r="D21" i="2"/>
  <c r="C25" i="4" s="1"/>
  <c r="C21" i="2"/>
  <c r="B25" i="4" s="1"/>
  <c r="A21" i="2"/>
  <c r="A25" i="4" s="1"/>
  <c r="H20" i="2"/>
  <c r="G24" i="4" s="1"/>
  <c r="G20" i="2"/>
  <c r="F24" i="4" s="1"/>
  <c r="F20" i="2"/>
  <c r="E24" i="4" s="1"/>
  <c r="E20" i="2"/>
  <c r="D24" i="4" s="1"/>
  <c r="D20" i="2"/>
  <c r="C24" i="4" s="1"/>
  <c r="C20" i="2"/>
  <c r="B24" i="4" s="1"/>
  <c r="B20" i="2"/>
  <c r="A20" i="2"/>
  <c r="A24" i="4" s="1"/>
  <c r="H19" i="2"/>
  <c r="G23" i="4" s="1"/>
  <c r="G19" i="2"/>
  <c r="F23" i="4" s="1"/>
  <c r="F19" i="2"/>
  <c r="E23" i="4" s="1"/>
  <c r="E19" i="2"/>
  <c r="D23" i="4" s="1"/>
  <c r="D19" i="2"/>
  <c r="C23" i="4" s="1"/>
  <c r="C19" i="2"/>
  <c r="B23" i="4" s="1"/>
  <c r="B19" i="2"/>
  <c r="A19" i="2"/>
  <c r="A23" i="4" s="1"/>
  <c r="H18" i="2"/>
  <c r="G22" i="4" s="1"/>
  <c r="G18" i="2"/>
  <c r="F22" i="4" s="1"/>
  <c r="F18" i="2"/>
  <c r="E22" i="4" s="1"/>
  <c r="E18" i="2"/>
  <c r="D22" i="4" s="1"/>
  <c r="D18" i="2"/>
  <c r="C22" i="4" s="1"/>
  <c r="C18" i="2"/>
  <c r="B22" i="4" s="1"/>
  <c r="B18" i="2"/>
  <c r="A18" i="2"/>
  <c r="A22" i="4" s="1"/>
  <c r="H17" i="2"/>
  <c r="G21" i="4" s="1"/>
  <c r="G17" i="2"/>
  <c r="F21" i="4" s="1"/>
  <c r="F17" i="2"/>
  <c r="E21" i="4" s="1"/>
  <c r="E17" i="2"/>
  <c r="D21" i="4" s="1"/>
  <c r="D17" i="2"/>
  <c r="C21" i="4" s="1"/>
  <c r="C17" i="2"/>
  <c r="B21" i="4" s="1"/>
  <c r="B17" i="2"/>
  <c r="A17" i="2"/>
  <c r="A21" i="4" s="1"/>
  <c r="H16" i="2"/>
  <c r="G20" i="4" s="1"/>
  <c r="G16" i="2"/>
  <c r="F20" i="4" s="1"/>
  <c r="F16" i="2"/>
  <c r="E20" i="4" s="1"/>
  <c r="E16" i="2"/>
  <c r="D20" i="4" s="1"/>
  <c r="D16" i="2"/>
  <c r="C20" i="4" s="1"/>
  <c r="C16" i="2"/>
  <c r="B20" i="4" s="1"/>
  <c r="B16" i="2"/>
  <c r="A16" i="2"/>
  <c r="A20" i="4" s="1"/>
  <c r="H15" i="2"/>
  <c r="G19" i="4" s="1"/>
  <c r="G15" i="2"/>
  <c r="F19" i="4" s="1"/>
  <c r="F15" i="2"/>
  <c r="E19" i="4" s="1"/>
  <c r="E15" i="2"/>
  <c r="D19" i="4" s="1"/>
  <c r="D15" i="2"/>
  <c r="C19" i="4" s="1"/>
  <c r="C15" i="2"/>
  <c r="B19" i="4" s="1"/>
  <c r="B15" i="2"/>
  <c r="A15" i="2"/>
  <c r="A19" i="4" s="1"/>
  <c r="H14" i="2"/>
  <c r="G18" i="4" s="1"/>
  <c r="G14" i="2"/>
  <c r="F18" i="4" s="1"/>
  <c r="F14" i="2"/>
  <c r="E18" i="4" s="1"/>
  <c r="E14" i="2"/>
  <c r="D18" i="4" s="1"/>
  <c r="D14" i="2"/>
  <c r="C18" i="4" s="1"/>
  <c r="C14" i="2"/>
  <c r="B18" i="4" s="1"/>
  <c r="B14" i="2"/>
  <c r="A14" i="2"/>
  <c r="A18" i="4" s="1"/>
  <c r="H13" i="2"/>
  <c r="G17" i="4" s="1"/>
  <c r="G13" i="2"/>
  <c r="F17" i="4" s="1"/>
  <c r="F13" i="2"/>
  <c r="E17" i="4" s="1"/>
  <c r="E13" i="2"/>
  <c r="D17" i="4" s="1"/>
  <c r="D13" i="2"/>
  <c r="C17" i="4" s="1"/>
  <c r="C13" i="2"/>
  <c r="B17" i="4" s="1"/>
  <c r="B13" i="2"/>
  <c r="A13" i="2"/>
  <c r="A17" i="4" s="1"/>
  <c r="H12" i="2"/>
  <c r="G16" i="4" s="1"/>
  <c r="G12" i="2"/>
  <c r="F16" i="4" s="1"/>
  <c r="F12" i="2"/>
  <c r="E16" i="4" s="1"/>
  <c r="E12" i="2"/>
  <c r="D16" i="4" s="1"/>
  <c r="D12" i="2"/>
  <c r="C16" i="4" s="1"/>
  <c r="C12" i="2"/>
  <c r="B16" i="4" s="1"/>
  <c r="B12" i="2"/>
  <c r="A12" i="2"/>
  <c r="A16" i="4" s="1"/>
  <c r="H11" i="2"/>
  <c r="G15" i="4" s="1"/>
  <c r="G11" i="2"/>
  <c r="F15" i="4" s="1"/>
  <c r="F11" i="2"/>
  <c r="E15" i="4" s="1"/>
  <c r="E11" i="2"/>
  <c r="D15" i="4" s="1"/>
  <c r="D11" i="2"/>
  <c r="C15" i="4" s="1"/>
  <c r="C11" i="2"/>
  <c r="B15" i="4" s="1"/>
  <c r="B11" i="2"/>
  <c r="A11" i="2"/>
  <c r="A15" i="4" s="1"/>
  <c r="H10" i="2"/>
  <c r="G14" i="4" s="1"/>
  <c r="G10" i="2"/>
  <c r="F14" i="4" s="1"/>
  <c r="F10" i="2"/>
  <c r="E14" i="4" s="1"/>
  <c r="E10" i="2"/>
  <c r="D14" i="4" s="1"/>
  <c r="D10" i="2"/>
  <c r="C14" i="4" s="1"/>
  <c r="C10" i="2"/>
  <c r="B14" i="4" s="1"/>
  <c r="B10" i="2"/>
  <c r="A10" i="2"/>
  <c r="A14" i="4" s="1"/>
  <c r="H9" i="2"/>
  <c r="G13" i="4" s="1"/>
  <c r="G9" i="2"/>
  <c r="F13" i="4" s="1"/>
  <c r="F9" i="2"/>
  <c r="E13" i="4" s="1"/>
  <c r="E9" i="2"/>
  <c r="D13" i="4" s="1"/>
  <c r="D9" i="2"/>
  <c r="C13" i="4" s="1"/>
  <c r="C9" i="2"/>
  <c r="B13" i="4" s="1"/>
  <c r="B9" i="2"/>
  <c r="A9" i="2"/>
  <c r="A13" i="4" s="1"/>
  <c r="H8" i="2"/>
  <c r="G12" i="4" s="1"/>
  <c r="G8" i="2"/>
  <c r="F12" i="4" s="1"/>
  <c r="F8" i="2"/>
  <c r="E12" i="4" s="1"/>
  <c r="E8" i="2"/>
  <c r="D12" i="4" s="1"/>
  <c r="D8" i="2"/>
  <c r="C12" i="4" s="1"/>
  <c r="C8" i="2"/>
  <c r="B12" i="4" s="1"/>
  <c r="B8" i="2"/>
  <c r="A8" i="2"/>
  <c r="A12" i="4" s="1"/>
  <c r="H7" i="2"/>
  <c r="G11" i="4" s="1"/>
  <c r="G7" i="2"/>
  <c r="F11" i="4" s="1"/>
  <c r="F7" i="2"/>
  <c r="E11" i="4" s="1"/>
  <c r="E7" i="2"/>
  <c r="D11" i="4" s="1"/>
  <c r="D7" i="2"/>
  <c r="C11" i="4" s="1"/>
  <c r="C7" i="2"/>
  <c r="B11" i="4" s="1"/>
  <c r="B7" i="2"/>
  <c r="A7" i="2"/>
  <c r="A11" i="4" s="1"/>
  <c r="H6" i="2"/>
  <c r="G10" i="4" s="1"/>
  <c r="G6" i="2"/>
  <c r="F10" i="4" s="1"/>
  <c r="F6" i="2"/>
  <c r="E10" i="4" s="1"/>
  <c r="E6" i="2"/>
  <c r="D10" i="4" s="1"/>
  <c r="D6" i="2"/>
  <c r="C10" i="4" s="1"/>
  <c r="C6" i="2"/>
  <c r="B10" i="4" s="1"/>
  <c r="B6" i="2"/>
  <c r="A6" i="2"/>
  <c r="A10" i="4" s="1"/>
  <c r="H5" i="2"/>
  <c r="G9" i="4" s="1"/>
  <c r="G5" i="2"/>
  <c r="F9" i="4" s="1"/>
  <c r="F5" i="2"/>
  <c r="E9" i="4" s="1"/>
  <c r="E5" i="2"/>
  <c r="D9" i="4" s="1"/>
  <c r="D5" i="2"/>
  <c r="C9" i="4" s="1"/>
  <c r="C5" i="2"/>
  <c r="B5" i="2"/>
  <c r="A5" i="2"/>
  <c r="A9" i="4" s="1"/>
  <c r="H4" i="2"/>
  <c r="G8" i="4" s="1"/>
  <c r="G4" i="2"/>
  <c r="F8" i="4" s="1"/>
  <c r="F4" i="2"/>
  <c r="E8" i="4" s="1"/>
  <c r="E4" i="2"/>
  <c r="D8" i="4" s="1"/>
  <c r="D4" i="2"/>
  <c r="C8" i="4" s="1"/>
  <c r="C4" i="2"/>
  <c r="B8" i="4" s="1"/>
  <c r="B4" i="2"/>
  <c r="A4" i="2"/>
  <c r="A8" i="4" s="1"/>
  <c r="H3" i="2"/>
  <c r="G7" i="4" s="1"/>
  <c r="G3" i="2"/>
  <c r="F7" i="4" s="1"/>
  <c r="F3" i="2"/>
  <c r="E7" i="4" s="1"/>
  <c r="E3" i="2"/>
  <c r="D7" i="4" s="1"/>
  <c r="D3" i="2"/>
  <c r="C7" i="4" s="1"/>
  <c r="C3" i="2"/>
  <c r="B7" i="4" s="1"/>
  <c r="B3" i="2"/>
  <c r="A3" i="2"/>
  <c r="A7" i="4" s="1"/>
  <c r="H2" i="2"/>
  <c r="G6" i="4" s="1"/>
  <c r="G2" i="2"/>
  <c r="F6" i="4" s="1"/>
  <c r="F2" i="2"/>
  <c r="E6" i="4" s="1"/>
  <c r="E2" i="2"/>
  <c r="D6" i="4" s="1"/>
  <c r="D2" i="2"/>
  <c r="C6" i="4" s="1"/>
  <c r="C2" i="2"/>
  <c r="B6" i="4" s="1"/>
  <c r="B2" i="2"/>
  <c r="A2" i="2"/>
  <c r="A6" i="4" s="1"/>
  <c r="H1" i="2"/>
  <c r="G5" i="4" s="1"/>
  <c r="G1" i="2"/>
  <c r="F5" i="4" s="1"/>
  <c r="F1" i="2"/>
  <c r="E5" i="4" s="1"/>
  <c r="E1" i="2"/>
  <c r="D5" i="4" s="1"/>
  <c r="D1" i="2"/>
  <c r="C5" i="4" s="1"/>
  <c r="C1" i="2"/>
  <c r="B5" i="4" s="1"/>
  <c r="B1" i="2"/>
  <c r="A1" i="2"/>
  <c r="A5" i="4" s="1"/>
  <c r="H449" i="1"/>
  <c r="K449" i="1" s="1"/>
  <c r="G449" i="1"/>
  <c r="F449" i="1"/>
  <c r="E449" i="1"/>
  <c r="D449" i="1"/>
  <c r="C449" i="1"/>
  <c r="B449" i="1"/>
  <c r="A449" i="1"/>
  <c r="G448" i="1"/>
  <c r="F448" i="1"/>
  <c r="E448" i="1"/>
  <c r="D448" i="1"/>
  <c r="C448" i="1"/>
  <c r="B448" i="1"/>
  <c r="A448" i="1"/>
  <c r="G447" i="1"/>
  <c r="F447" i="1"/>
  <c r="E447" i="1"/>
  <c r="D447" i="1"/>
  <c r="C447" i="1"/>
  <c r="B447" i="1"/>
  <c r="A447" i="1"/>
  <c r="K446" i="1"/>
  <c r="H446" i="1"/>
  <c r="G446" i="1"/>
  <c r="F446" i="1"/>
  <c r="E446" i="1"/>
  <c r="D446" i="1"/>
  <c r="C446" i="1"/>
  <c r="B446" i="1"/>
  <c r="A446" i="1"/>
  <c r="H445" i="1"/>
  <c r="K445" i="1" s="1"/>
  <c r="G445" i="1"/>
  <c r="F445" i="1"/>
  <c r="E445" i="1"/>
  <c r="D445" i="1"/>
  <c r="C445" i="1"/>
  <c r="B445" i="1"/>
  <c r="A445" i="1"/>
  <c r="H444" i="1"/>
  <c r="K444" i="1" s="1"/>
  <c r="G444" i="1"/>
  <c r="F444" i="1"/>
  <c r="E444" i="1"/>
  <c r="D444" i="1"/>
  <c r="C444" i="1"/>
  <c r="B444" i="1"/>
  <c r="A444" i="1"/>
  <c r="K443" i="1"/>
  <c r="I443" i="1"/>
  <c r="H443" i="1"/>
  <c r="G443" i="1"/>
  <c r="F443" i="1"/>
  <c r="E443" i="1"/>
  <c r="D443" i="1"/>
  <c r="C443" i="1"/>
  <c r="B443" i="1"/>
  <c r="A443" i="1"/>
  <c r="H442" i="1"/>
  <c r="K442" i="1" s="1"/>
  <c r="G442" i="1"/>
  <c r="F442" i="1"/>
  <c r="E442" i="1"/>
  <c r="D442" i="1"/>
  <c r="C442" i="1"/>
  <c r="B442" i="1"/>
  <c r="A442" i="1"/>
  <c r="K441" i="1"/>
  <c r="I441" i="1"/>
  <c r="H441" i="1"/>
  <c r="F441" i="1"/>
  <c r="E441" i="1"/>
  <c r="D441" i="1"/>
  <c r="C441" i="1"/>
  <c r="B441" i="1"/>
  <c r="A441" i="1"/>
  <c r="H440" i="1"/>
  <c r="K440" i="1" s="1"/>
  <c r="G440" i="1"/>
  <c r="F440" i="1"/>
  <c r="E440" i="1"/>
  <c r="D440" i="1"/>
  <c r="C440" i="1"/>
  <c r="I440" i="1" s="1"/>
  <c r="B440" i="1"/>
  <c r="K439" i="1"/>
  <c r="I439" i="1"/>
  <c r="H439" i="1"/>
  <c r="G439" i="1"/>
  <c r="F439" i="1"/>
  <c r="E439" i="1"/>
  <c r="D439" i="1"/>
  <c r="C439" i="1"/>
  <c r="B439" i="1"/>
  <c r="A439" i="1"/>
  <c r="H438" i="1"/>
  <c r="K438" i="1" s="1"/>
  <c r="G438" i="1"/>
  <c r="F438" i="1"/>
  <c r="E438" i="1"/>
  <c r="D438" i="1"/>
  <c r="C438" i="1"/>
  <c r="A438" i="1"/>
  <c r="K437" i="1"/>
  <c r="H437" i="1"/>
  <c r="G437" i="1"/>
  <c r="F437" i="1"/>
  <c r="E437" i="1"/>
  <c r="D437" i="1"/>
  <c r="B437" i="1"/>
  <c r="A437" i="1"/>
  <c r="H436" i="1"/>
  <c r="K436" i="1" s="1"/>
  <c r="G436" i="1"/>
  <c r="F436" i="1"/>
  <c r="E436" i="1"/>
  <c r="D436" i="1"/>
  <c r="C436" i="1"/>
  <c r="I436" i="1" s="1"/>
  <c r="B436" i="1"/>
  <c r="A436" i="1"/>
  <c r="K435" i="1"/>
  <c r="H435" i="1"/>
  <c r="G435" i="1"/>
  <c r="F435" i="1"/>
  <c r="E435" i="1"/>
  <c r="D435" i="1"/>
  <c r="C435" i="1"/>
  <c r="B435" i="1"/>
  <c r="I435" i="1" s="1"/>
  <c r="A435" i="1"/>
  <c r="H434" i="1"/>
  <c r="K434" i="1" s="1"/>
  <c r="G434" i="1"/>
  <c r="E434" i="1"/>
  <c r="D434" i="1"/>
  <c r="C434" i="1"/>
  <c r="B434" i="1"/>
  <c r="I434" i="1" s="1"/>
  <c r="A434" i="1"/>
  <c r="K433" i="1"/>
  <c r="H433" i="1"/>
  <c r="F433" i="1"/>
  <c r="E433" i="1"/>
  <c r="D433" i="1"/>
  <c r="C433" i="1"/>
  <c r="B433" i="1"/>
  <c r="I433" i="1" s="1"/>
  <c r="A433" i="1"/>
  <c r="H432" i="1"/>
  <c r="K432" i="1" s="1"/>
  <c r="G432" i="1"/>
  <c r="F432" i="1"/>
  <c r="E432" i="1"/>
  <c r="D432" i="1"/>
  <c r="C432" i="1"/>
  <c r="I432" i="1" s="1"/>
  <c r="B432" i="1"/>
  <c r="K431" i="1"/>
  <c r="I431" i="1"/>
  <c r="H431" i="1"/>
  <c r="G431" i="1"/>
  <c r="F431" i="1"/>
  <c r="E431" i="1"/>
  <c r="D431" i="1"/>
  <c r="C431" i="1"/>
  <c r="B431" i="1"/>
  <c r="A431" i="1"/>
  <c r="H430" i="1"/>
  <c r="K430" i="1" s="1"/>
  <c r="G430" i="1"/>
  <c r="F430" i="1"/>
  <c r="E430" i="1"/>
  <c r="D430" i="1"/>
  <c r="C430" i="1"/>
  <c r="A430" i="1"/>
  <c r="K429" i="1"/>
  <c r="H429" i="1"/>
  <c r="G429" i="1"/>
  <c r="F429" i="1"/>
  <c r="E429" i="1"/>
  <c r="D429" i="1"/>
  <c r="B429" i="1"/>
  <c r="A429" i="1"/>
  <c r="H428" i="1"/>
  <c r="K428" i="1" s="1"/>
  <c r="G428" i="1"/>
  <c r="F428" i="1"/>
  <c r="E428" i="1"/>
  <c r="D428" i="1"/>
  <c r="C428" i="1"/>
  <c r="I428" i="1" s="1"/>
  <c r="B428" i="1"/>
  <c r="A428" i="1"/>
  <c r="K427" i="1"/>
  <c r="H427" i="1"/>
  <c r="G427" i="1"/>
  <c r="F427" i="1"/>
  <c r="E427" i="1"/>
  <c r="D427" i="1"/>
  <c r="C427" i="1"/>
  <c r="B427" i="1"/>
  <c r="I427" i="1" s="1"/>
  <c r="A427" i="1"/>
  <c r="H426" i="1"/>
  <c r="K426" i="1" s="1"/>
  <c r="G426" i="1"/>
  <c r="E426" i="1"/>
  <c r="D426" i="1"/>
  <c r="C426" i="1"/>
  <c r="B426" i="1"/>
  <c r="I426" i="1" s="1"/>
  <c r="A426" i="1"/>
  <c r="K425" i="1"/>
  <c r="H425" i="1"/>
  <c r="F425" i="1"/>
  <c r="E425" i="1"/>
  <c r="D425" i="1"/>
  <c r="C425" i="1"/>
  <c r="B425" i="1"/>
  <c r="I425" i="1" s="1"/>
  <c r="A425" i="1"/>
  <c r="H424" i="1"/>
  <c r="K424" i="1" s="1"/>
  <c r="G424" i="1"/>
  <c r="F424" i="1"/>
  <c r="E424" i="1"/>
  <c r="D424" i="1"/>
  <c r="C424" i="1"/>
  <c r="I424" i="1" s="1"/>
  <c r="B424" i="1"/>
  <c r="K423" i="1"/>
  <c r="I423" i="1"/>
  <c r="H423" i="1"/>
  <c r="G423" i="1"/>
  <c r="F423" i="1"/>
  <c r="E423" i="1"/>
  <c r="D423" i="1"/>
  <c r="C423" i="1"/>
  <c r="B423" i="1"/>
  <c r="A423" i="1"/>
  <c r="H422" i="1"/>
  <c r="K422" i="1" s="1"/>
  <c r="G422" i="1"/>
  <c r="F422" i="1"/>
  <c r="E422" i="1"/>
  <c r="D422" i="1"/>
  <c r="C422" i="1"/>
  <c r="A422" i="1"/>
  <c r="K421" i="1"/>
  <c r="H421" i="1"/>
  <c r="G421" i="1"/>
  <c r="F421" i="1"/>
  <c r="E421" i="1"/>
  <c r="D421" i="1"/>
  <c r="B421" i="1"/>
  <c r="A421" i="1"/>
  <c r="H420" i="1"/>
  <c r="K420" i="1" s="1"/>
  <c r="G420" i="1"/>
  <c r="F420" i="1"/>
  <c r="E420" i="1"/>
  <c r="D420" i="1"/>
  <c r="C420" i="1"/>
  <c r="I420" i="1" s="1"/>
  <c r="B420" i="1"/>
  <c r="A420" i="1"/>
  <c r="K419" i="1"/>
  <c r="I419" i="1"/>
  <c r="H419" i="1"/>
  <c r="G419" i="1"/>
  <c r="F419" i="1"/>
  <c r="E419" i="1"/>
  <c r="D419" i="1"/>
  <c r="C419" i="1"/>
  <c r="B419" i="1"/>
  <c r="A419" i="1"/>
  <c r="H418" i="1"/>
  <c r="K418" i="1" s="1"/>
  <c r="G418" i="1"/>
  <c r="E418" i="1"/>
  <c r="D418" i="1"/>
  <c r="C418" i="1"/>
  <c r="B418" i="1"/>
  <c r="I418" i="1" s="1"/>
  <c r="A418" i="1"/>
  <c r="K417" i="1"/>
  <c r="I417" i="1"/>
  <c r="H417" i="1"/>
  <c r="F417" i="1"/>
  <c r="E417" i="1"/>
  <c r="D417" i="1"/>
  <c r="C417" i="1"/>
  <c r="B417" i="1"/>
  <c r="A417" i="1"/>
  <c r="H416" i="1"/>
  <c r="K416" i="1" s="1"/>
  <c r="G416" i="1"/>
  <c r="F416" i="1"/>
  <c r="E416" i="1"/>
  <c r="D416" i="1"/>
  <c r="C416" i="1"/>
  <c r="I416" i="1" s="1"/>
  <c r="B416" i="1"/>
  <c r="K415" i="1"/>
  <c r="I415" i="1"/>
  <c r="H415" i="1"/>
  <c r="G415" i="1"/>
  <c r="F415" i="1"/>
  <c r="E415" i="1"/>
  <c r="D415" i="1"/>
  <c r="C415" i="1"/>
  <c r="B415" i="1"/>
  <c r="A415" i="1"/>
  <c r="H414" i="1"/>
  <c r="K414" i="1" s="1"/>
  <c r="G414" i="1"/>
  <c r="F414" i="1"/>
  <c r="E414" i="1"/>
  <c r="D414" i="1"/>
  <c r="C414" i="1"/>
  <c r="A414" i="1"/>
  <c r="K413" i="1"/>
  <c r="H413" i="1"/>
  <c r="G413" i="1"/>
  <c r="F413" i="1"/>
  <c r="E413" i="1"/>
  <c r="D413" i="1"/>
  <c r="B413" i="1"/>
  <c r="A413" i="1"/>
  <c r="H412" i="1"/>
  <c r="K412" i="1" s="1"/>
  <c r="G412" i="1"/>
  <c r="F412" i="1"/>
  <c r="E412" i="1"/>
  <c r="D412" i="1"/>
  <c r="C412" i="1"/>
  <c r="I412" i="1" s="1"/>
  <c r="B412" i="1"/>
  <c r="A412" i="1"/>
  <c r="K411" i="1"/>
  <c r="I411" i="1"/>
  <c r="H411" i="1"/>
  <c r="G411" i="1"/>
  <c r="F411" i="1"/>
  <c r="E411" i="1"/>
  <c r="D411" i="1"/>
  <c r="C411" i="1"/>
  <c r="B411" i="1"/>
  <c r="A411" i="1"/>
  <c r="H410" i="1"/>
  <c r="K410" i="1" s="1"/>
  <c r="G410" i="1"/>
  <c r="E410" i="1"/>
  <c r="D410" i="1"/>
  <c r="C410" i="1"/>
  <c r="B410" i="1"/>
  <c r="I410" i="1" s="1"/>
  <c r="A410" i="1"/>
  <c r="K409" i="1"/>
  <c r="I409" i="1"/>
  <c r="H409" i="1"/>
  <c r="F409" i="1"/>
  <c r="E409" i="1"/>
  <c r="D409" i="1"/>
  <c r="C409" i="1"/>
  <c r="B409" i="1"/>
  <c r="A409" i="1"/>
  <c r="H408" i="1"/>
  <c r="K408" i="1" s="1"/>
  <c r="G408" i="1"/>
  <c r="F408" i="1"/>
  <c r="E408" i="1"/>
  <c r="D408" i="1"/>
  <c r="C408" i="1"/>
  <c r="I408" i="1" s="1"/>
  <c r="B408" i="1"/>
  <c r="K407" i="1"/>
  <c r="I407" i="1"/>
  <c r="H407" i="1"/>
  <c r="G407" i="1"/>
  <c r="F407" i="1"/>
  <c r="E407" i="1"/>
  <c r="D407" i="1"/>
  <c r="C407" i="1"/>
  <c r="B407" i="1"/>
  <c r="A407" i="1"/>
  <c r="H406" i="1"/>
  <c r="K406" i="1" s="1"/>
  <c r="G406" i="1"/>
  <c r="F406" i="1"/>
  <c r="E406" i="1"/>
  <c r="D406" i="1"/>
  <c r="C406" i="1"/>
  <c r="A406" i="1"/>
  <c r="K405" i="1"/>
  <c r="H405" i="1"/>
  <c r="G405" i="1"/>
  <c r="F405" i="1"/>
  <c r="E405" i="1"/>
  <c r="D405" i="1"/>
  <c r="B405" i="1"/>
  <c r="A405" i="1"/>
  <c r="H404" i="1"/>
  <c r="K404" i="1" s="1"/>
  <c r="G404" i="1"/>
  <c r="F404" i="1"/>
  <c r="E404" i="1"/>
  <c r="D404" i="1"/>
  <c r="C404" i="1"/>
  <c r="I404" i="1" s="1"/>
  <c r="B404" i="1"/>
  <c r="A404" i="1"/>
  <c r="K403" i="1"/>
  <c r="I403" i="1"/>
  <c r="H403" i="1"/>
  <c r="G403" i="1"/>
  <c r="F403" i="1"/>
  <c r="E403" i="1"/>
  <c r="D403" i="1"/>
  <c r="C403" i="1"/>
  <c r="B403" i="1"/>
  <c r="A403" i="1"/>
  <c r="H402" i="1"/>
  <c r="K402" i="1" s="1"/>
  <c r="G402" i="1"/>
  <c r="E402" i="1"/>
  <c r="D402" i="1"/>
  <c r="C402" i="1"/>
  <c r="B402" i="1"/>
  <c r="I402" i="1" s="1"/>
  <c r="A402" i="1"/>
  <c r="K401" i="1"/>
  <c r="I401" i="1"/>
  <c r="H401" i="1"/>
  <c r="F401" i="1"/>
  <c r="E401" i="1"/>
  <c r="D401" i="1"/>
  <c r="C401" i="1"/>
  <c r="B401" i="1"/>
  <c r="A401" i="1"/>
  <c r="H400" i="1"/>
  <c r="K400" i="1" s="1"/>
  <c r="G400" i="1"/>
  <c r="F400" i="1"/>
  <c r="E400" i="1"/>
  <c r="D400" i="1"/>
  <c r="C400" i="1"/>
  <c r="I400" i="1" s="1"/>
  <c r="B400" i="1"/>
  <c r="K399" i="1"/>
  <c r="I399" i="1"/>
  <c r="H399" i="1"/>
  <c r="G399" i="1"/>
  <c r="F399" i="1"/>
  <c r="E399" i="1"/>
  <c r="D399" i="1"/>
  <c r="C399" i="1"/>
  <c r="B399" i="1"/>
  <c r="A399" i="1"/>
  <c r="H398" i="1"/>
  <c r="K398" i="1" s="1"/>
  <c r="G398" i="1"/>
  <c r="F398" i="1"/>
  <c r="E398" i="1"/>
  <c r="D398" i="1"/>
  <c r="C398" i="1"/>
  <c r="A398" i="1"/>
  <c r="K397" i="1"/>
  <c r="H397" i="1"/>
  <c r="G397" i="1"/>
  <c r="F397" i="1"/>
  <c r="E397" i="1"/>
  <c r="D397" i="1"/>
  <c r="B397" i="1"/>
  <c r="A397" i="1"/>
  <c r="H396" i="1"/>
  <c r="K396" i="1" s="1"/>
  <c r="G396" i="1"/>
  <c r="F396" i="1"/>
  <c r="E396" i="1"/>
  <c r="D396" i="1"/>
  <c r="C396" i="1"/>
  <c r="I396" i="1" s="1"/>
  <c r="B396" i="1"/>
  <c r="A396" i="1"/>
  <c r="K395" i="1"/>
  <c r="I395" i="1"/>
  <c r="H395" i="1"/>
  <c r="G395" i="1"/>
  <c r="F395" i="1"/>
  <c r="E395" i="1"/>
  <c r="D395" i="1"/>
  <c r="C395" i="1"/>
  <c r="B395" i="1"/>
  <c r="A395" i="1"/>
  <c r="H394" i="1"/>
  <c r="K394" i="1" s="1"/>
  <c r="G394" i="1"/>
  <c r="E394" i="1"/>
  <c r="D394" i="1"/>
  <c r="C394" i="1"/>
  <c r="B394" i="1"/>
  <c r="I394" i="1" s="1"/>
  <c r="A394" i="1"/>
  <c r="K393" i="1"/>
  <c r="H393" i="1"/>
  <c r="F393" i="1"/>
  <c r="E393" i="1"/>
  <c r="D393" i="1"/>
  <c r="C393" i="1"/>
  <c r="B393" i="1"/>
  <c r="I393" i="1" s="1"/>
  <c r="A393" i="1"/>
  <c r="H392" i="1"/>
  <c r="K392" i="1" s="1"/>
  <c r="G392" i="1"/>
  <c r="F392" i="1"/>
  <c r="E392" i="1"/>
  <c r="D392" i="1"/>
  <c r="C392" i="1"/>
  <c r="I392" i="1" s="1"/>
  <c r="B392" i="1"/>
  <c r="K391" i="1"/>
  <c r="H391" i="1"/>
  <c r="G391" i="1"/>
  <c r="F391" i="1"/>
  <c r="E391" i="1"/>
  <c r="D391" i="1"/>
  <c r="C391" i="1"/>
  <c r="B391" i="1"/>
  <c r="I391" i="1" s="1"/>
  <c r="A391" i="1"/>
  <c r="H390" i="1"/>
  <c r="K390" i="1" s="1"/>
  <c r="G390" i="1"/>
  <c r="F390" i="1"/>
  <c r="E390" i="1"/>
  <c r="D390" i="1"/>
  <c r="C390" i="1"/>
  <c r="A390" i="1"/>
  <c r="K389" i="1"/>
  <c r="H389" i="1"/>
  <c r="G389" i="1"/>
  <c r="F389" i="1"/>
  <c r="E389" i="1"/>
  <c r="D389" i="1"/>
  <c r="B389" i="1"/>
  <c r="A389" i="1"/>
  <c r="H388" i="1"/>
  <c r="K388" i="1" s="1"/>
  <c r="G388" i="1"/>
  <c r="F388" i="1"/>
  <c r="E388" i="1"/>
  <c r="D388" i="1"/>
  <c r="C388" i="1"/>
  <c r="I388" i="1" s="1"/>
  <c r="B388" i="1"/>
  <c r="A388" i="1"/>
  <c r="K387" i="1"/>
  <c r="I387" i="1"/>
  <c r="H387" i="1"/>
  <c r="G387" i="1"/>
  <c r="F387" i="1"/>
  <c r="E387" i="1"/>
  <c r="D387" i="1"/>
  <c r="C387" i="1"/>
  <c r="B387" i="1"/>
  <c r="A387" i="1"/>
  <c r="H386" i="1"/>
  <c r="K386" i="1" s="1"/>
  <c r="G386" i="1"/>
  <c r="E386" i="1"/>
  <c r="D386" i="1"/>
  <c r="C386" i="1"/>
  <c r="B386" i="1"/>
  <c r="A386" i="1"/>
  <c r="K385" i="1"/>
  <c r="H385" i="1"/>
  <c r="F385" i="1"/>
  <c r="E385" i="1"/>
  <c r="D385" i="1"/>
  <c r="C385" i="1"/>
  <c r="B385" i="1"/>
  <c r="I385" i="1" s="1"/>
  <c r="A385" i="1"/>
  <c r="H384" i="1"/>
  <c r="K384" i="1" s="1"/>
  <c r="G384" i="1"/>
  <c r="F384" i="1"/>
  <c r="E384" i="1"/>
  <c r="D384" i="1"/>
  <c r="C384" i="1"/>
  <c r="I384" i="1" s="1"/>
  <c r="B384" i="1"/>
  <c r="K383" i="1"/>
  <c r="H383" i="1"/>
  <c r="G383" i="1"/>
  <c r="F383" i="1"/>
  <c r="E383" i="1"/>
  <c r="D383" i="1"/>
  <c r="C383" i="1"/>
  <c r="B383" i="1"/>
  <c r="I383" i="1" s="1"/>
  <c r="A383" i="1"/>
  <c r="H382" i="1"/>
  <c r="K382" i="1" s="1"/>
  <c r="G382" i="1"/>
  <c r="F382" i="1"/>
  <c r="E382" i="1"/>
  <c r="D382" i="1"/>
  <c r="C382" i="1"/>
  <c r="A382" i="1"/>
  <c r="K381" i="1"/>
  <c r="H381" i="1"/>
  <c r="G381" i="1"/>
  <c r="F381" i="1"/>
  <c r="E381" i="1"/>
  <c r="D381" i="1"/>
  <c r="B381" i="1"/>
  <c r="A381" i="1"/>
  <c r="H380" i="1"/>
  <c r="K380" i="1" s="1"/>
  <c r="G380" i="1"/>
  <c r="F380" i="1"/>
  <c r="E380" i="1"/>
  <c r="D380" i="1"/>
  <c r="C380" i="1"/>
  <c r="I380" i="1" s="1"/>
  <c r="B380" i="1"/>
  <c r="A380" i="1"/>
  <c r="K379" i="1"/>
  <c r="I379" i="1"/>
  <c r="H379" i="1"/>
  <c r="G379" i="1"/>
  <c r="F379" i="1"/>
  <c r="E379" i="1"/>
  <c r="D379" i="1"/>
  <c r="C379" i="1"/>
  <c r="B379" i="1"/>
  <c r="A379" i="1"/>
  <c r="H378" i="1"/>
  <c r="K378" i="1" s="1"/>
  <c r="G378" i="1"/>
  <c r="E378" i="1"/>
  <c r="D378" i="1"/>
  <c r="C378" i="1"/>
  <c r="B378" i="1"/>
  <c r="A378" i="1"/>
  <c r="K377" i="1"/>
  <c r="I377" i="1"/>
  <c r="H377" i="1"/>
  <c r="F377" i="1"/>
  <c r="E377" i="1"/>
  <c r="D377" i="1"/>
  <c r="C377" i="1"/>
  <c r="B377" i="1"/>
  <c r="A377" i="1"/>
  <c r="H376" i="1"/>
  <c r="K376" i="1" s="1"/>
  <c r="G376" i="1"/>
  <c r="F376" i="1"/>
  <c r="E376" i="1"/>
  <c r="D376" i="1"/>
  <c r="C376" i="1"/>
  <c r="I376" i="1" s="1"/>
  <c r="B376" i="1"/>
  <c r="K375" i="1"/>
  <c r="I375" i="1"/>
  <c r="H375" i="1"/>
  <c r="G375" i="1"/>
  <c r="F375" i="1"/>
  <c r="E375" i="1"/>
  <c r="D375" i="1"/>
  <c r="C375" i="1"/>
  <c r="B375" i="1"/>
  <c r="A375" i="1"/>
  <c r="H374" i="1"/>
  <c r="K374" i="1" s="1"/>
  <c r="G374" i="1"/>
  <c r="F374" i="1"/>
  <c r="E374" i="1"/>
  <c r="D374" i="1"/>
  <c r="C374" i="1"/>
  <c r="A374" i="1"/>
  <c r="K373" i="1"/>
  <c r="H373" i="1"/>
  <c r="G373" i="1"/>
  <c r="F373" i="1"/>
  <c r="E373" i="1"/>
  <c r="D373" i="1"/>
  <c r="B373" i="1"/>
  <c r="A373" i="1"/>
  <c r="H372" i="1"/>
  <c r="K372" i="1" s="1"/>
  <c r="G372" i="1"/>
  <c r="F372" i="1"/>
  <c r="E372" i="1"/>
  <c r="D372" i="1"/>
  <c r="C372" i="1"/>
  <c r="I372" i="1" s="1"/>
  <c r="B372" i="1"/>
  <c r="A372" i="1"/>
  <c r="K371" i="1"/>
  <c r="H371" i="1"/>
  <c r="G371" i="1"/>
  <c r="F371" i="1"/>
  <c r="E371" i="1"/>
  <c r="D371" i="1"/>
  <c r="C371" i="1"/>
  <c r="B371" i="1"/>
  <c r="I371" i="1" s="1"/>
  <c r="A371" i="1"/>
  <c r="H370" i="1"/>
  <c r="K370" i="1" s="1"/>
  <c r="G370" i="1"/>
  <c r="E370" i="1"/>
  <c r="D370" i="1"/>
  <c r="C370" i="1"/>
  <c r="B370" i="1"/>
  <c r="I370" i="1" s="1"/>
  <c r="A370" i="1"/>
  <c r="K369" i="1"/>
  <c r="H369" i="1"/>
  <c r="F369" i="1"/>
  <c r="E369" i="1"/>
  <c r="D369" i="1"/>
  <c r="C369" i="1"/>
  <c r="B369" i="1"/>
  <c r="I369" i="1" s="1"/>
  <c r="A369" i="1"/>
  <c r="H368" i="1"/>
  <c r="K368" i="1" s="1"/>
  <c r="G368" i="1"/>
  <c r="F368" i="1"/>
  <c r="E368" i="1"/>
  <c r="D368" i="1"/>
  <c r="C368" i="1"/>
  <c r="I368" i="1" s="1"/>
  <c r="B368" i="1"/>
  <c r="K367" i="1"/>
  <c r="I367" i="1"/>
  <c r="H367" i="1"/>
  <c r="G367" i="1"/>
  <c r="F367" i="1"/>
  <c r="E367" i="1"/>
  <c r="D367" i="1"/>
  <c r="C367" i="1"/>
  <c r="B367" i="1"/>
  <c r="A367" i="1"/>
  <c r="H366" i="1"/>
  <c r="K366" i="1" s="1"/>
  <c r="G366" i="1"/>
  <c r="F366" i="1"/>
  <c r="E366" i="1"/>
  <c r="D366" i="1"/>
  <c r="C366" i="1"/>
  <c r="A366" i="1"/>
  <c r="K365" i="1"/>
  <c r="H365" i="1"/>
  <c r="G365" i="1"/>
  <c r="F365" i="1"/>
  <c r="E365" i="1"/>
  <c r="D365" i="1"/>
  <c r="B365" i="1"/>
  <c r="A365" i="1"/>
  <c r="H364" i="1"/>
  <c r="K364" i="1" s="1"/>
  <c r="G364" i="1"/>
  <c r="F364" i="1"/>
  <c r="E364" i="1"/>
  <c r="D364" i="1"/>
  <c r="C364" i="1"/>
  <c r="I364" i="1" s="1"/>
  <c r="B364" i="1"/>
  <c r="A364" i="1"/>
  <c r="K363" i="1"/>
  <c r="H363" i="1"/>
  <c r="G363" i="1"/>
  <c r="F363" i="1"/>
  <c r="E363" i="1"/>
  <c r="D363" i="1"/>
  <c r="C363" i="1"/>
  <c r="B363" i="1"/>
  <c r="I363" i="1" s="1"/>
  <c r="A363" i="1"/>
  <c r="H362" i="1"/>
  <c r="K362" i="1" s="1"/>
  <c r="G362" i="1"/>
  <c r="E362" i="1"/>
  <c r="D362" i="1"/>
  <c r="C362" i="1"/>
  <c r="B362" i="1"/>
  <c r="I362" i="1" s="1"/>
  <c r="A362" i="1"/>
  <c r="K361" i="1"/>
  <c r="H361" i="1"/>
  <c r="F361" i="1"/>
  <c r="E361" i="1"/>
  <c r="D361" i="1"/>
  <c r="C361" i="1"/>
  <c r="B361" i="1"/>
  <c r="I361" i="1" s="1"/>
  <c r="A361" i="1"/>
  <c r="H360" i="1"/>
  <c r="K360" i="1" s="1"/>
  <c r="G360" i="1"/>
  <c r="F360" i="1"/>
  <c r="E360" i="1"/>
  <c r="D360" i="1"/>
  <c r="C360" i="1"/>
  <c r="I360" i="1" s="1"/>
  <c r="B360" i="1"/>
  <c r="K359" i="1"/>
  <c r="H359" i="1"/>
  <c r="G359" i="1"/>
  <c r="F359" i="1"/>
  <c r="E359" i="1"/>
  <c r="D359" i="1"/>
  <c r="C359" i="1"/>
  <c r="B359" i="1"/>
  <c r="I359" i="1" s="1"/>
  <c r="A359" i="1"/>
  <c r="H358" i="1"/>
  <c r="K358" i="1" s="1"/>
  <c r="G358" i="1"/>
  <c r="F358" i="1"/>
  <c r="E358" i="1"/>
  <c r="D358" i="1"/>
  <c r="C358" i="1"/>
  <c r="B358" i="1"/>
  <c r="A358" i="1"/>
  <c r="K357" i="1"/>
  <c r="H357" i="1"/>
  <c r="G357" i="1"/>
  <c r="F357" i="1"/>
  <c r="E357" i="1"/>
  <c r="D357" i="1"/>
  <c r="B357" i="1"/>
  <c r="A357" i="1"/>
  <c r="H356" i="1"/>
  <c r="K356" i="1" s="1"/>
  <c r="G356" i="1"/>
  <c r="F356" i="1"/>
  <c r="E356" i="1"/>
  <c r="D356" i="1"/>
  <c r="C356" i="1"/>
  <c r="I356" i="1" s="1"/>
  <c r="B356" i="1"/>
  <c r="A356" i="1"/>
  <c r="K355" i="1"/>
  <c r="I355" i="1"/>
  <c r="H355" i="1"/>
  <c r="G355" i="1"/>
  <c r="F355" i="1"/>
  <c r="E355" i="1"/>
  <c r="D355" i="1"/>
  <c r="C355" i="1"/>
  <c r="B355" i="1"/>
  <c r="A355" i="1"/>
  <c r="H354" i="1"/>
  <c r="K354" i="1" s="1"/>
  <c r="G354" i="1"/>
  <c r="E354" i="1"/>
  <c r="D354" i="1"/>
  <c r="C354" i="1"/>
  <c r="B354" i="1"/>
  <c r="I354" i="1" s="1"/>
  <c r="A354" i="1"/>
  <c r="K353" i="1"/>
  <c r="H353" i="1"/>
  <c r="F353" i="1"/>
  <c r="E353" i="1"/>
  <c r="D353" i="1"/>
  <c r="C353" i="1"/>
  <c r="B353" i="1"/>
  <c r="I353" i="1" s="1"/>
  <c r="A353" i="1"/>
  <c r="H352" i="1"/>
  <c r="K352" i="1" s="1"/>
  <c r="G352" i="1"/>
  <c r="F352" i="1"/>
  <c r="E352" i="1"/>
  <c r="D352" i="1"/>
  <c r="C352" i="1"/>
  <c r="I352" i="1" s="1"/>
  <c r="B352" i="1"/>
  <c r="I351" i="1"/>
  <c r="H351" i="1"/>
  <c r="K351" i="1" s="1"/>
  <c r="G351" i="1"/>
  <c r="F351" i="1"/>
  <c r="E351" i="1"/>
  <c r="D351" i="1"/>
  <c r="C351" i="1"/>
  <c r="B351" i="1"/>
  <c r="A351" i="1"/>
  <c r="K350" i="1"/>
  <c r="H350" i="1"/>
  <c r="G350" i="1"/>
  <c r="F350" i="1"/>
  <c r="E350" i="1"/>
  <c r="D350" i="1"/>
  <c r="C350" i="1"/>
  <c r="B350" i="1"/>
  <c r="I350" i="1" s="1"/>
  <c r="A350" i="1"/>
  <c r="K349" i="1"/>
  <c r="H349" i="1"/>
  <c r="G349" i="1"/>
  <c r="F349" i="1"/>
  <c r="E349" i="1"/>
  <c r="D349" i="1"/>
  <c r="B349" i="1"/>
  <c r="A349" i="1"/>
  <c r="H348" i="1"/>
  <c r="K348" i="1" s="1"/>
  <c r="G348" i="1"/>
  <c r="F348" i="1"/>
  <c r="E348" i="1"/>
  <c r="C348" i="1"/>
  <c r="I348" i="1" s="1"/>
  <c r="B348" i="1"/>
  <c r="A348" i="1"/>
  <c r="I347" i="1"/>
  <c r="H347" i="1"/>
  <c r="K347" i="1" s="1"/>
  <c r="G347" i="1"/>
  <c r="F347" i="1"/>
  <c r="E347" i="1"/>
  <c r="D347" i="1"/>
  <c r="C347" i="1"/>
  <c r="B347" i="1"/>
  <c r="A347" i="1"/>
  <c r="H346" i="1"/>
  <c r="K346" i="1" s="1"/>
  <c r="G346" i="1"/>
  <c r="E346" i="1"/>
  <c r="D346" i="1"/>
  <c r="C346" i="1"/>
  <c r="B346" i="1"/>
  <c r="A346" i="1"/>
  <c r="K345" i="1"/>
  <c r="I345" i="1"/>
  <c r="H345" i="1"/>
  <c r="F345" i="1"/>
  <c r="E345" i="1"/>
  <c r="D345" i="1"/>
  <c r="C345" i="1"/>
  <c r="B345" i="1"/>
  <c r="A345" i="1"/>
  <c r="H344" i="1"/>
  <c r="K344" i="1" s="1"/>
  <c r="G344" i="1"/>
  <c r="F344" i="1"/>
  <c r="E344" i="1"/>
  <c r="D344" i="1"/>
  <c r="C344" i="1"/>
  <c r="I344" i="1" s="1"/>
  <c r="B344" i="1"/>
  <c r="K343" i="1"/>
  <c r="I343" i="1"/>
  <c r="H343" i="1"/>
  <c r="G343" i="1"/>
  <c r="F343" i="1"/>
  <c r="E343" i="1"/>
  <c r="D343" i="1"/>
  <c r="C343" i="1"/>
  <c r="B343" i="1"/>
  <c r="A343" i="1"/>
  <c r="H342" i="1"/>
  <c r="K342" i="1" s="1"/>
  <c r="G342" i="1"/>
  <c r="F342" i="1"/>
  <c r="E342" i="1"/>
  <c r="D342" i="1"/>
  <c r="C342" i="1"/>
  <c r="B342" i="1"/>
  <c r="I342" i="1" s="1"/>
  <c r="A342" i="1"/>
  <c r="K341" i="1"/>
  <c r="H341" i="1"/>
  <c r="G341" i="1"/>
  <c r="F341" i="1"/>
  <c r="E341" i="1"/>
  <c r="D341" i="1"/>
  <c r="B341" i="1"/>
  <c r="A341" i="1"/>
  <c r="H340" i="1"/>
  <c r="K340" i="1" s="1"/>
  <c r="G340" i="1"/>
  <c r="F340" i="1"/>
  <c r="E340" i="1"/>
  <c r="D340" i="1"/>
  <c r="C340" i="1"/>
  <c r="I340" i="1" s="1"/>
  <c r="B340" i="1"/>
  <c r="A340" i="1"/>
  <c r="K339" i="1"/>
  <c r="H339" i="1"/>
  <c r="G339" i="1"/>
  <c r="F339" i="1"/>
  <c r="E339" i="1"/>
  <c r="D339" i="1"/>
  <c r="C339" i="1"/>
  <c r="B339" i="1"/>
  <c r="I339" i="1" s="1"/>
  <c r="A339" i="1"/>
  <c r="H338" i="1"/>
  <c r="K338" i="1" s="1"/>
  <c r="G338" i="1"/>
  <c r="E338" i="1"/>
  <c r="D338" i="1"/>
  <c r="C338" i="1"/>
  <c r="B338" i="1"/>
  <c r="I338" i="1" s="1"/>
  <c r="A338" i="1"/>
  <c r="K337" i="1"/>
  <c r="I337" i="1"/>
  <c r="H337" i="1"/>
  <c r="F337" i="1"/>
  <c r="E337" i="1"/>
  <c r="D337" i="1"/>
  <c r="C337" i="1"/>
  <c r="B337" i="1"/>
  <c r="A337" i="1"/>
  <c r="H336" i="1"/>
  <c r="K336" i="1" s="1"/>
  <c r="G336" i="1"/>
  <c r="F336" i="1"/>
  <c r="E336" i="1"/>
  <c r="D336" i="1"/>
  <c r="C336" i="1"/>
  <c r="I336" i="1" s="1"/>
  <c r="B336" i="1"/>
  <c r="I335" i="1"/>
  <c r="H335" i="1"/>
  <c r="K335" i="1" s="1"/>
  <c r="G335" i="1"/>
  <c r="F335" i="1"/>
  <c r="E335" i="1"/>
  <c r="D335" i="1"/>
  <c r="C335" i="1"/>
  <c r="B335" i="1"/>
  <c r="A335" i="1"/>
  <c r="H334" i="1"/>
  <c r="K334" i="1" s="1"/>
  <c r="G334" i="1"/>
  <c r="F334" i="1"/>
  <c r="E334" i="1"/>
  <c r="D334" i="1"/>
  <c r="C334" i="1"/>
  <c r="B334" i="1"/>
  <c r="I334" i="1" s="1"/>
  <c r="A334" i="1"/>
  <c r="K333" i="1"/>
  <c r="H333" i="1"/>
  <c r="G333" i="1"/>
  <c r="F333" i="1"/>
  <c r="E333" i="1"/>
  <c r="D333" i="1"/>
  <c r="B333" i="1"/>
  <c r="A333" i="1"/>
  <c r="H332" i="1"/>
  <c r="K332" i="1" s="1"/>
  <c r="G332" i="1"/>
  <c r="F332" i="1"/>
  <c r="E332" i="1"/>
  <c r="D332" i="1"/>
  <c r="C332" i="1"/>
  <c r="I332" i="1" s="1"/>
  <c r="B332" i="1"/>
  <c r="A332" i="1"/>
  <c r="I331" i="1"/>
  <c r="H331" i="1"/>
  <c r="K331" i="1" s="1"/>
  <c r="G331" i="1"/>
  <c r="F331" i="1"/>
  <c r="E331" i="1"/>
  <c r="D331" i="1"/>
  <c r="C331" i="1"/>
  <c r="B331" i="1"/>
  <c r="A331" i="1"/>
  <c r="K330" i="1"/>
  <c r="H330" i="1"/>
  <c r="G330" i="1"/>
  <c r="E330" i="1"/>
  <c r="D330" i="1"/>
  <c r="C330" i="1"/>
  <c r="B330" i="1"/>
  <c r="A330" i="1"/>
  <c r="K329" i="1"/>
  <c r="H329" i="1"/>
  <c r="F329" i="1"/>
  <c r="E329" i="1"/>
  <c r="D329" i="1"/>
  <c r="C329" i="1"/>
  <c r="B329" i="1"/>
  <c r="I329" i="1" s="1"/>
  <c r="A329" i="1"/>
  <c r="H328" i="1"/>
  <c r="K328" i="1" s="1"/>
  <c r="G328" i="1"/>
  <c r="F328" i="1"/>
  <c r="E328" i="1"/>
  <c r="D328" i="1"/>
  <c r="C328" i="1"/>
  <c r="I328" i="1" s="1"/>
  <c r="B328" i="1"/>
  <c r="K327" i="1"/>
  <c r="H327" i="1"/>
  <c r="G327" i="1"/>
  <c r="F327" i="1"/>
  <c r="E327" i="1"/>
  <c r="D327" i="1"/>
  <c r="C327" i="1"/>
  <c r="B327" i="1"/>
  <c r="I327" i="1" s="1"/>
  <c r="A327" i="1"/>
  <c r="H326" i="1"/>
  <c r="K326" i="1" s="1"/>
  <c r="G326" i="1"/>
  <c r="F326" i="1"/>
  <c r="E326" i="1"/>
  <c r="D326" i="1"/>
  <c r="C326" i="1"/>
  <c r="B326" i="1"/>
  <c r="A326" i="1"/>
  <c r="K325" i="1"/>
  <c r="H325" i="1"/>
  <c r="G325" i="1"/>
  <c r="F325" i="1"/>
  <c r="E325" i="1"/>
  <c r="D325" i="1"/>
  <c r="B325" i="1"/>
  <c r="A325" i="1"/>
  <c r="H324" i="1"/>
  <c r="K324" i="1" s="1"/>
  <c r="G324" i="1"/>
  <c r="F324" i="1"/>
  <c r="E324" i="1"/>
  <c r="D324" i="1"/>
  <c r="C324" i="1"/>
  <c r="I324" i="1" s="1"/>
  <c r="B324" i="1"/>
  <c r="A324" i="1"/>
  <c r="K323" i="1"/>
  <c r="I323" i="1"/>
  <c r="H323" i="1"/>
  <c r="G323" i="1"/>
  <c r="F323" i="1"/>
  <c r="E323" i="1"/>
  <c r="D323" i="1"/>
  <c r="C323" i="1"/>
  <c r="B323" i="1"/>
  <c r="A323" i="1"/>
  <c r="H322" i="1"/>
  <c r="K322" i="1" s="1"/>
  <c r="G322" i="1"/>
  <c r="E322" i="1"/>
  <c r="D322" i="1"/>
  <c r="C322" i="1"/>
  <c r="B322" i="1"/>
  <c r="I322" i="1" s="1"/>
  <c r="A322" i="1"/>
  <c r="K321" i="1"/>
  <c r="H321" i="1"/>
  <c r="F321" i="1"/>
  <c r="E321" i="1"/>
  <c r="D321" i="1"/>
  <c r="C321" i="1"/>
  <c r="B321" i="1"/>
  <c r="I321" i="1" s="1"/>
  <c r="A321" i="1"/>
  <c r="H320" i="1"/>
  <c r="K320" i="1" s="1"/>
  <c r="G320" i="1"/>
  <c r="F320" i="1"/>
  <c r="E320" i="1"/>
  <c r="D320" i="1"/>
  <c r="C320" i="1"/>
  <c r="I320" i="1" s="1"/>
  <c r="B320" i="1"/>
  <c r="I319" i="1"/>
  <c r="H319" i="1"/>
  <c r="K319" i="1" s="1"/>
  <c r="G319" i="1"/>
  <c r="F319" i="1"/>
  <c r="E319" i="1"/>
  <c r="D319" i="1"/>
  <c r="C319" i="1"/>
  <c r="B319" i="1"/>
  <c r="A319" i="1"/>
  <c r="K318" i="1"/>
  <c r="H318" i="1"/>
  <c r="G318" i="1"/>
  <c r="F318" i="1"/>
  <c r="E318" i="1"/>
  <c r="D318" i="1"/>
  <c r="C318" i="1"/>
  <c r="B318" i="1"/>
  <c r="I318" i="1" s="1"/>
  <c r="A318" i="1"/>
  <c r="K317" i="1"/>
  <c r="H317" i="1"/>
  <c r="G317" i="1"/>
  <c r="F317" i="1"/>
  <c r="E317" i="1"/>
  <c r="D317" i="1"/>
  <c r="B317" i="1"/>
  <c r="A317" i="1"/>
  <c r="H316" i="1"/>
  <c r="K316" i="1" s="1"/>
  <c r="G316" i="1"/>
  <c r="F316" i="1"/>
  <c r="E316" i="1"/>
  <c r="C316" i="1"/>
  <c r="I316" i="1" s="1"/>
  <c r="B316" i="1"/>
  <c r="A316" i="1"/>
  <c r="I315" i="1"/>
  <c r="H315" i="1"/>
  <c r="K315" i="1" s="1"/>
  <c r="G315" i="1"/>
  <c r="F315" i="1"/>
  <c r="E315" i="1"/>
  <c r="D315" i="1"/>
  <c r="C315" i="1"/>
  <c r="B315" i="1"/>
  <c r="A315" i="1"/>
  <c r="H314" i="1"/>
  <c r="K314" i="1" s="1"/>
  <c r="G314" i="1"/>
  <c r="E314" i="1"/>
  <c r="D314" i="1"/>
  <c r="C314" i="1"/>
  <c r="B314" i="1"/>
  <c r="A314" i="1"/>
  <c r="K313" i="1"/>
  <c r="I313" i="1"/>
  <c r="H313" i="1"/>
  <c r="F313" i="1"/>
  <c r="E313" i="1"/>
  <c r="D313" i="1"/>
  <c r="C313" i="1"/>
  <c r="B313" i="1"/>
  <c r="A313" i="1"/>
  <c r="H312" i="1"/>
  <c r="K312" i="1" s="1"/>
  <c r="G312" i="1"/>
  <c r="F312" i="1"/>
  <c r="E312" i="1"/>
  <c r="D312" i="1"/>
  <c r="C312" i="1"/>
  <c r="I312" i="1" s="1"/>
  <c r="B312" i="1"/>
  <c r="K311" i="1"/>
  <c r="I311" i="1"/>
  <c r="H311" i="1"/>
  <c r="G311" i="1"/>
  <c r="F311" i="1"/>
  <c r="E311" i="1"/>
  <c r="D311" i="1"/>
  <c r="C311" i="1"/>
  <c r="B311" i="1"/>
  <c r="A311" i="1"/>
  <c r="H310" i="1"/>
  <c r="K310" i="1" s="1"/>
  <c r="G310" i="1"/>
  <c r="F310" i="1"/>
  <c r="E310" i="1"/>
  <c r="D310" i="1"/>
  <c r="C310" i="1"/>
  <c r="B310" i="1"/>
  <c r="I310" i="1" s="1"/>
  <c r="A310" i="1"/>
  <c r="K309" i="1"/>
  <c r="H309" i="1"/>
  <c r="G309" i="1"/>
  <c r="F309" i="1"/>
  <c r="E309" i="1"/>
  <c r="D309" i="1"/>
  <c r="B309" i="1"/>
  <c r="A309" i="1"/>
  <c r="H308" i="1"/>
  <c r="K308" i="1" s="1"/>
  <c r="G308" i="1"/>
  <c r="F308" i="1"/>
  <c r="E308" i="1"/>
  <c r="D308" i="1"/>
  <c r="C308" i="1"/>
  <c r="I308" i="1" s="1"/>
  <c r="B308" i="1"/>
  <c r="A308" i="1"/>
  <c r="K307" i="1"/>
  <c r="H307" i="1"/>
  <c r="G307" i="1"/>
  <c r="F307" i="1"/>
  <c r="E307" i="1"/>
  <c r="D307" i="1"/>
  <c r="C307" i="1"/>
  <c r="B307" i="1"/>
  <c r="I307" i="1" s="1"/>
  <c r="A307" i="1"/>
  <c r="H306" i="1"/>
  <c r="K306" i="1" s="1"/>
  <c r="G306" i="1"/>
  <c r="E306" i="1"/>
  <c r="D306" i="1"/>
  <c r="C306" i="1"/>
  <c r="B306" i="1"/>
  <c r="I306" i="1" s="1"/>
  <c r="A306" i="1"/>
  <c r="K305" i="1"/>
  <c r="I305" i="1"/>
  <c r="H305" i="1"/>
  <c r="F305" i="1"/>
  <c r="E305" i="1"/>
  <c r="D305" i="1"/>
  <c r="C305" i="1"/>
  <c r="B305" i="1"/>
  <c r="A305" i="1"/>
  <c r="G304" i="1"/>
  <c r="F304" i="1"/>
  <c r="E304" i="1"/>
  <c r="D304" i="1"/>
  <c r="C304" i="1"/>
  <c r="I304" i="1" s="1"/>
  <c r="B304" i="1"/>
  <c r="I303" i="1"/>
  <c r="H303" i="1"/>
  <c r="K303" i="1" s="1"/>
  <c r="G303" i="1"/>
  <c r="F303" i="1"/>
  <c r="E303" i="1"/>
  <c r="D303" i="1"/>
  <c r="C303" i="1"/>
  <c r="B303" i="1"/>
  <c r="A303" i="1"/>
  <c r="H302" i="1"/>
  <c r="K302" i="1" s="1"/>
  <c r="G302" i="1"/>
  <c r="F302" i="1"/>
  <c r="E302" i="1"/>
  <c r="D302" i="1"/>
  <c r="C302" i="1"/>
  <c r="A302" i="1"/>
  <c r="K301" i="1"/>
  <c r="H301" i="1"/>
  <c r="G301" i="1"/>
  <c r="F301" i="1"/>
  <c r="E301" i="1"/>
  <c r="D301" i="1"/>
  <c r="B301" i="1"/>
  <c r="A301" i="1"/>
  <c r="H300" i="1"/>
  <c r="K300" i="1" s="1"/>
  <c r="G300" i="1"/>
  <c r="F300" i="1"/>
  <c r="E300" i="1"/>
  <c r="C300" i="1"/>
  <c r="I300" i="1" s="1"/>
  <c r="B300" i="1"/>
  <c r="A300" i="1"/>
  <c r="I299" i="1"/>
  <c r="H299" i="1"/>
  <c r="K299" i="1" s="1"/>
  <c r="G299" i="1"/>
  <c r="F299" i="1"/>
  <c r="D299" i="1"/>
  <c r="C299" i="1"/>
  <c r="B299" i="1"/>
  <c r="A299" i="1"/>
  <c r="K298" i="1"/>
  <c r="H298" i="1"/>
  <c r="G298" i="1"/>
  <c r="E298" i="1"/>
  <c r="D298" i="1"/>
  <c r="C298" i="1"/>
  <c r="B298" i="1"/>
  <c r="A298" i="1"/>
  <c r="K297" i="1"/>
  <c r="H297" i="1"/>
  <c r="F297" i="1"/>
  <c r="E297" i="1"/>
  <c r="D297" i="1"/>
  <c r="C297" i="1"/>
  <c r="B297" i="1"/>
  <c r="I297" i="1" s="1"/>
  <c r="A297" i="1"/>
  <c r="G296" i="1"/>
  <c r="F296" i="1"/>
  <c r="E296" i="1"/>
  <c r="D296" i="1"/>
  <c r="C296" i="1"/>
  <c r="I296" i="1" s="1"/>
  <c r="B296" i="1"/>
  <c r="K295" i="1"/>
  <c r="H295" i="1"/>
  <c r="G295" i="1"/>
  <c r="F295" i="1"/>
  <c r="E295" i="1"/>
  <c r="D295" i="1"/>
  <c r="C295" i="1"/>
  <c r="B295" i="1"/>
  <c r="I295" i="1" s="1"/>
  <c r="A295" i="1"/>
  <c r="H294" i="1"/>
  <c r="K294" i="1" s="1"/>
  <c r="G294" i="1"/>
  <c r="F294" i="1"/>
  <c r="E294" i="1"/>
  <c r="D294" i="1"/>
  <c r="C294" i="1"/>
  <c r="A294" i="1"/>
  <c r="K293" i="1"/>
  <c r="H293" i="1"/>
  <c r="G293" i="1"/>
  <c r="F293" i="1"/>
  <c r="E293" i="1"/>
  <c r="D293" i="1"/>
  <c r="B293" i="1"/>
  <c r="A293" i="1"/>
  <c r="H292" i="1"/>
  <c r="K292" i="1" s="1"/>
  <c r="G292" i="1"/>
  <c r="F292" i="1"/>
  <c r="E292" i="1"/>
  <c r="D292" i="1"/>
  <c r="C292" i="1"/>
  <c r="I292" i="1" s="1"/>
  <c r="B292" i="1"/>
  <c r="A292" i="1"/>
  <c r="K291" i="1"/>
  <c r="I291" i="1"/>
  <c r="H291" i="1"/>
  <c r="G291" i="1"/>
  <c r="F291" i="1"/>
  <c r="D291" i="1"/>
  <c r="C291" i="1"/>
  <c r="B291" i="1"/>
  <c r="A291" i="1"/>
  <c r="H290" i="1"/>
  <c r="K290" i="1" s="1"/>
  <c r="G290" i="1"/>
  <c r="E290" i="1"/>
  <c r="D290" i="1"/>
  <c r="C290" i="1"/>
  <c r="B290" i="1"/>
  <c r="I290" i="1" s="1"/>
  <c r="A290" i="1"/>
  <c r="K289" i="1"/>
  <c r="H289" i="1"/>
  <c r="F289" i="1"/>
  <c r="E289" i="1"/>
  <c r="D289" i="1"/>
  <c r="C289" i="1"/>
  <c r="B289" i="1"/>
  <c r="I289" i="1" s="1"/>
  <c r="A289" i="1"/>
  <c r="H288" i="1"/>
  <c r="K288" i="1" s="1"/>
  <c r="G288" i="1"/>
  <c r="F288" i="1"/>
  <c r="E288" i="1"/>
  <c r="D288" i="1"/>
  <c r="C288" i="1"/>
  <c r="I288" i="1" s="1"/>
  <c r="B288" i="1"/>
  <c r="I287" i="1"/>
  <c r="H287" i="1"/>
  <c r="K287" i="1" s="1"/>
  <c r="G287" i="1"/>
  <c r="F287" i="1"/>
  <c r="E287" i="1"/>
  <c r="D287" i="1"/>
  <c r="C287" i="1"/>
  <c r="B287" i="1"/>
  <c r="A287" i="1"/>
  <c r="K286" i="1"/>
  <c r="H286" i="1"/>
  <c r="G286" i="1"/>
  <c r="F286" i="1"/>
  <c r="E286" i="1"/>
  <c r="D286" i="1"/>
  <c r="C286" i="1"/>
  <c r="B286" i="1"/>
  <c r="I286" i="1" s="1"/>
  <c r="A286" i="1"/>
  <c r="K285" i="1"/>
  <c r="H285" i="1"/>
  <c r="G285" i="1"/>
  <c r="F285" i="1"/>
  <c r="E285" i="1"/>
  <c r="D285" i="1"/>
  <c r="B285" i="1"/>
  <c r="A285" i="1"/>
  <c r="H284" i="1"/>
  <c r="K284" i="1" s="1"/>
  <c r="G284" i="1"/>
  <c r="F284" i="1"/>
  <c r="E284" i="1"/>
  <c r="D284" i="1"/>
  <c r="C284" i="1"/>
  <c r="I284" i="1" s="1"/>
  <c r="B284" i="1"/>
  <c r="A284" i="1"/>
  <c r="I283" i="1"/>
  <c r="H283" i="1"/>
  <c r="K283" i="1" s="1"/>
  <c r="G283" i="1"/>
  <c r="F283" i="1"/>
  <c r="E283" i="1"/>
  <c r="D283" i="1"/>
  <c r="C283" i="1"/>
  <c r="B283" i="1"/>
  <c r="A283" i="1"/>
  <c r="K282" i="1"/>
  <c r="H282" i="1"/>
  <c r="G282" i="1"/>
  <c r="E282" i="1"/>
  <c r="D282" i="1"/>
  <c r="C282" i="1"/>
  <c r="B282" i="1"/>
  <c r="I282" i="1" s="1"/>
  <c r="A282" i="1"/>
  <c r="K281" i="1"/>
  <c r="H281" i="1"/>
  <c r="G281" i="1"/>
  <c r="F281" i="1"/>
  <c r="E281" i="1"/>
  <c r="D281" i="1"/>
  <c r="C281" i="1"/>
  <c r="B281" i="1"/>
  <c r="I281" i="1" s="1"/>
  <c r="A281" i="1"/>
  <c r="H280" i="1"/>
  <c r="K280" i="1" s="1"/>
  <c r="G280" i="1"/>
  <c r="F280" i="1"/>
  <c r="E280" i="1"/>
  <c r="D280" i="1"/>
  <c r="C280" i="1"/>
  <c r="I280" i="1" s="1"/>
  <c r="B280" i="1"/>
  <c r="A280" i="1"/>
  <c r="K279" i="1"/>
  <c r="H279" i="1"/>
  <c r="G279" i="1"/>
  <c r="F279" i="1"/>
  <c r="E279" i="1"/>
  <c r="D279" i="1"/>
  <c r="C279" i="1"/>
  <c r="B279" i="1"/>
  <c r="I279" i="1" s="1"/>
  <c r="A279" i="1"/>
  <c r="H278" i="1"/>
  <c r="K278" i="1" s="1"/>
  <c r="G278" i="1"/>
  <c r="F278" i="1"/>
  <c r="E278" i="1"/>
  <c r="D278" i="1"/>
  <c r="C278" i="1"/>
  <c r="A278" i="1"/>
  <c r="K277" i="1"/>
  <c r="H277" i="1"/>
  <c r="G277" i="1"/>
  <c r="F277" i="1"/>
  <c r="E277" i="1"/>
  <c r="D277" i="1"/>
  <c r="B277" i="1"/>
  <c r="A277" i="1"/>
  <c r="I276" i="1"/>
  <c r="H276" i="1"/>
  <c r="K276" i="1" s="1"/>
  <c r="G276" i="1"/>
  <c r="F276" i="1"/>
  <c r="E276" i="1"/>
  <c r="C276" i="1"/>
  <c r="B276" i="1"/>
  <c r="A276" i="1"/>
  <c r="K275" i="1"/>
  <c r="H275" i="1"/>
  <c r="G275" i="1"/>
  <c r="F275" i="1"/>
  <c r="D275" i="1"/>
  <c r="C275" i="1"/>
  <c r="B275" i="1"/>
  <c r="I275" i="1" s="1"/>
  <c r="A275" i="1"/>
  <c r="H274" i="1"/>
  <c r="K274" i="1" s="1"/>
  <c r="G274" i="1"/>
  <c r="E274" i="1"/>
  <c r="D274" i="1"/>
  <c r="C274" i="1"/>
  <c r="B274" i="1"/>
  <c r="I274" i="1" s="1"/>
  <c r="A274" i="1"/>
  <c r="K273" i="1"/>
  <c r="I273" i="1"/>
  <c r="H273" i="1"/>
  <c r="F273" i="1"/>
  <c r="E273" i="1"/>
  <c r="D273" i="1"/>
  <c r="C273" i="1"/>
  <c r="B273" i="1"/>
  <c r="A273" i="1"/>
  <c r="G272" i="1"/>
  <c r="F272" i="1"/>
  <c r="E272" i="1"/>
  <c r="D272" i="1"/>
  <c r="C272" i="1"/>
  <c r="I272" i="1" s="1"/>
  <c r="B272" i="1"/>
  <c r="I271" i="1"/>
  <c r="H271" i="1"/>
  <c r="K271" i="1" s="1"/>
  <c r="G271" i="1"/>
  <c r="F271" i="1"/>
  <c r="E271" i="1"/>
  <c r="D271" i="1"/>
  <c r="C271" i="1"/>
  <c r="B271" i="1"/>
  <c r="A271" i="1"/>
  <c r="H270" i="1"/>
  <c r="K270" i="1" s="1"/>
  <c r="G270" i="1"/>
  <c r="F270" i="1"/>
  <c r="E270" i="1"/>
  <c r="D270" i="1"/>
  <c r="C270" i="1"/>
  <c r="A270" i="1"/>
  <c r="K269" i="1"/>
  <c r="H269" i="1"/>
  <c r="G269" i="1"/>
  <c r="F269" i="1"/>
  <c r="E269" i="1"/>
  <c r="D269" i="1"/>
  <c r="B269" i="1"/>
  <c r="A269" i="1"/>
  <c r="H268" i="1"/>
  <c r="K268" i="1" s="1"/>
  <c r="G268" i="1"/>
  <c r="F268" i="1"/>
  <c r="E268" i="1"/>
  <c r="C268" i="1"/>
  <c r="I268" i="1" s="1"/>
  <c r="B268" i="1"/>
  <c r="A268" i="1"/>
  <c r="K267" i="1"/>
  <c r="I267" i="1"/>
  <c r="H267" i="1"/>
  <c r="G267" i="1"/>
  <c r="F267" i="1"/>
  <c r="E267" i="1"/>
  <c r="D267" i="1"/>
  <c r="C267" i="1"/>
  <c r="B267" i="1"/>
  <c r="A267" i="1"/>
  <c r="K266" i="1"/>
  <c r="H266" i="1"/>
  <c r="G266" i="1"/>
  <c r="E266" i="1"/>
  <c r="D266" i="1"/>
  <c r="C266" i="1"/>
  <c r="B266" i="1"/>
  <c r="I266" i="1" s="1"/>
  <c r="A266" i="1"/>
  <c r="K265" i="1"/>
  <c r="H265" i="1"/>
  <c r="G265" i="1"/>
  <c r="F265" i="1"/>
  <c r="E265" i="1"/>
  <c r="D265" i="1"/>
  <c r="C265" i="1"/>
  <c r="B265" i="1"/>
  <c r="I265" i="1" s="1"/>
  <c r="A265" i="1"/>
  <c r="H264" i="1"/>
  <c r="K264" i="1" s="1"/>
  <c r="G264" i="1"/>
  <c r="F264" i="1"/>
  <c r="E264" i="1"/>
  <c r="D264" i="1"/>
  <c r="C264" i="1"/>
  <c r="I264" i="1" s="1"/>
  <c r="B264" i="1"/>
  <c r="K263" i="1"/>
  <c r="I263" i="1"/>
  <c r="H263" i="1"/>
  <c r="G263" i="1"/>
  <c r="F263" i="1"/>
  <c r="E263" i="1"/>
  <c r="D263" i="1"/>
  <c r="C263" i="1"/>
  <c r="B263" i="1"/>
  <c r="A263" i="1"/>
  <c r="H262" i="1"/>
  <c r="K262" i="1" s="1"/>
  <c r="G262" i="1"/>
  <c r="F262" i="1"/>
  <c r="E262" i="1"/>
  <c r="D262" i="1"/>
  <c r="C262" i="1"/>
  <c r="A262" i="1"/>
  <c r="K261" i="1"/>
  <c r="H261" i="1"/>
  <c r="G261" i="1"/>
  <c r="F261" i="1"/>
  <c r="E261" i="1"/>
  <c r="D261" i="1"/>
  <c r="C261" i="1"/>
  <c r="B261" i="1"/>
  <c r="I261" i="1" s="1"/>
  <c r="A261" i="1"/>
  <c r="H260" i="1"/>
  <c r="K260" i="1" s="1"/>
  <c r="G260" i="1"/>
  <c r="F260" i="1"/>
  <c r="E260" i="1"/>
  <c r="D260" i="1"/>
  <c r="C260" i="1"/>
  <c r="B260" i="1"/>
  <c r="I260" i="1" s="1"/>
  <c r="A260" i="1"/>
  <c r="I259" i="1"/>
  <c r="H259" i="1"/>
  <c r="K259" i="1" s="1"/>
  <c r="G259" i="1"/>
  <c r="F259" i="1"/>
  <c r="E259" i="1"/>
  <c r="D259" i="1"/>
  <c r="C259" i="1"/>
  <c r="B259" i="1"/>
  <c r="A259" i="1"/>
  <c r="K258" i="1"/>
  <c r="H258" i="1"/>
  <c r="G258" i="1"/>
  <c r="E258" i="1"/>
  <c r="D258" i="1"/>
  <c r="C258" i="1"/>
  <c r="B258" i="1"/>
  <c r="I258" i="1" s="1"/>
  <c r="A258" i="1"/>
  <c r="K257" i="1"/>
  <c r="I257" i="1"/>
  <c r="H257" i="1"/>
  <c r="F257" i="1"/>
  <c r="E257" i="1"/>
  <c r="D257" i="1"/>
  <c r="C257" i="1"/>
  <c r="B257" i="1"/>
  <c r="A257" i="1"/>
  <c r="G256" i="1"/>
  <c r="F256" i="1"/>
  <c r="E256" i="1"/>
  <c r="D256" i="1"/>
  <c r="C256" i="1"/>
  <c r="B256" i="1"/>
  <c r="I256" i="1" s="1"/>
  <c r="I255" i="1"/>
  <c r="H255" i="1"/>
  <c r="K255" i="1" s="1"/>
  <c r="G255" i="1"/>
  <c r="F255" i="1"/>
  <c r="E255" i="1"/>
  <c r="D255" i="1"/>
  <c r="C255" i="1"/>
  <c r="B255" i="1"/>
  <c r="A255" i="1"/>
  <c r="K254" i="1"/>
  <c r="H254" i="1"/>
  <c r="G254" i="1"/>
  <c r="F254" i="1"/>
  <c r="E254" i="1"/>
  <c r="D254" i="1"/>
  <c r="C254" i="1"/>
  <c r="B254" i="1"/>
  <c r="I254" i="1" s="1"/>
  <c r="A254" i="1"/>
  <c r="K253" i="1"/>
  <c r="H253" i="1"/>
  <c r="G253" i="1"/>
  <c r="F253" i="1"/>
  <c r="E253" i="1"/>
  <c r="D253" i="1"/>
  <c r="B253" i="1"/>
  <c r="A253" i="1"/>
  <c r="K252" i="1"/>
  <c r="H252" i="1"/>
  <c r="G252" i="1"/>
  <c r="F252" i="1"/>
  <c r="E252" i="1"/>
  <c r="D252" i="1"/>
  <c r="C252" i="1"/>
  <c r="B252" i="1"/>
  <c r="I252" i="1" s="1"/>
  <c r="A252" i="1"/>
  <c r="I251" i="1"/>
  <c r="H251" i="1"/>
  <c r="K251" i="1" s="1"/>
  <c r="G251" i="1"/>
  <c r="F251" i="1"/>
  <c r="E251" i="1"/>
  <c r="D251" i="1"/>
  <c r="C251" i="1"/>
  <c r="B251" i="1"/>
  <c r="A251" i="1"/>
  <c r="K250" i="1"/>
  <c r="H250" i="1"/>
  <c r="G250" i="1"/>
  <c r="E250" i="1"/>
  <c r="D250" i="1"/>
  <c r="C250" i="1"/>
  <c r="B250" i="1"/>
  <c r="I250" i="1" s="1"/>
  <c r="A250" i="1"/>
  <c r="K249" i="1"/>
  <c r="I249" i="1"/>
  <c r="H249" i="1"/>
  <c r="F249" i="1"/>
  <c r="E249" i="1"/>
  <c r="D249" i="1"/>
  <c r="C249" i="1"/>
  <c r="B249" i="1"/>
  <c r="A249" i="1"/>
  <c r="G248" i="1"/>
  <c r="F248" i="1"/>
  <c r="E248" i="1"/>
  <c r="D248" i="1"/>
  <c r="C248" i="1"/>
  <c r="B248" i="1"/>
  <c r="I248" i="1" s="1"/>
  <c r="I247" i="1"/>
  <c r="H247" i="1"/>
  <c r="K247" i="1" s="1"/>
  <c r="G247" i="1"/>
  <c r="F247" i="1"/>
  <c r="E247" i="1"/>
  <c r="D247" i="1"/>
  <c r="C247" i="1"/>
  <c r="B247" i="1"/>
  <c r="A247" i="1"/>
  <c r="K246" i="1"/>
  <c r="H246" i="1"/>
  <c r="G246" i="1"/>
  <c r="F246" i="1"/>
  <c r="E246" i="1"/>
  <c r="D246" i="1"/>
  <c r="C246" i="1"/>
  <c r="B246" i="1"/>
  <c r="I246" i="1" s="1"/>
  <c r="A246" i="1"/>
  <c r="K245" i="1"/>
  <c r="H245" i="1"/>
  <c r="G245" i="1"/>
  <c r="F245" i="1"/>
  <c r="E245" i="1"/>
  <c r="D245" i="1"/>
  <c r="B245" i="1"/>
  <c r="A245" i="1"/>
  <c r="K244" i="1"/>
  <c r="H244" i="1"/>
  <c r="G244" i="1"/>
  <c r="F244" i="1"/>
  <c r="E244" i="1"/>
  <c r="D244" i="1"/>
  <c r="C244" i="1"/>
  <c r="B244" i="1"/>
  <c r="I244" i="1" s="1"/>
  <c r="A244" i="1"/>
  <c r="I243" i="1"/>
  <c r="H243" i="1"/>
  <c r="K243" i="1" s="1"/>
  <c r="G243" i="1"/>
  <c r="F243" i="1"/>
  <c r="E243" i="1"/>
  <c r="D243" i="1"/>
  <c r="C243" i="1"/>
  <c r="B243" i="1"/>
  <c r="A243" i="1"/>
  <c r="K242" i="1"/>
  <c r="H242" i="1"/>
  <c r="G242" i="1"/>
  <c r="E242" i="1"/>
  <c r="D242" i="1"/>
  <c r="C242" i="1"/>
  <c r="B242" i="1"/>
  <c r="I242" i="1" s="1"/>
  <c r="A242" i="1"/>
  <c r="K241" i="1"/>
  <c r="I241" i="1"/>
  <c r="H241" i="1"/>
  <c r="F241" i="1"/>
  <c r="E241" i="1"/>
  <c r="D241" i="1"/>
  <c r="C241" i="1"/>
  <c r="B241" i="1"/>
  <c r="A241" i="1"/>
  <c r="G240" i="1"/>
  <c r="F240" i="1"/>
  <c r="E240" i="1"/>
  <c r="D240" i="1"/>
  <c r="C240" i="1"/>
  <c r="B240" i="1"/>
  <c r="I240" i="1" s="1"/>
  <c r="I239" i="1"/>
  <c r="H239" i="1"/>
  <c r="K239" i="1" s="1"/>
  <c r="G239" i="1"/>
  <c r="F239" i="1"/>
  <c r="E239" i="1"/>
  <c r="D239" i="1"/>
  <c r="C239" i="1"/>
  <c r="B239" i="1"/>
  <c r="A239" i="1"/>
  <c r="K238" i="1"/>
  <c r="H238" i="1"/>
  <c r="G238" i="1"/>
  <c r="F238" i="1"/>
  <c r="E238" i="1"/>
  <c r="D238" i="1"/>
  <c r="C238" i="1"/>
  <c r="B238" i="1"/>
  <c r="I238" i="1" s="1"/>
  <c r="A238" i="1"/>
  <c r="K237" i="1"/>
  <c r="H237" i="1"/>
  <c r="G237" i="1"/>
  <c r="F237" i="1"/>
  <c r="E237" i="1"/>
  <c r="D237" i="1"/>
  <c r="B237" i="1"/>
  <c r="A237" i="1"/>
  <c r="K236" i="1"/>
  <c r="H236" i="1"/>
  <c r="G236" i="1"/>
  <c r="F236" i="1"/>
  <c r="E236" i="1"/>
  <c r="D236" i="1"/>
  <c r="C236" i="1"/>
  <c r="B236" i="1"/>
  <c r="I236" i="1" s="1"/>
  <c r="A236" i="1"/>
  <c r="I235" i="1"/>
  <c r="H235" i="1"/>
  <c r="K235" i="1" s="1"/>
  <c r="G235" i="1"/>
  <c r="F235" i="1"/>
  <c r="E235" i="1"/>
  <c r="D235" i="1"/>
  <c r="C235" i="1"/>
  <c r="B235" i="1"/>
  <c r="A235" i="1"/>
  <c r="K234" i="1"/>
  <c r="H234" i="1"/>
  <c r="G234" i="1"/>
  <c r="E234" i="1"/>
  <c r="D234" i="1"/>
  <c r="C234" i="1"/>
  <c r="B234" i="1"/>
  <c r="I234" i="1" s="1"/>
  <c r="A234" i="1"/>
  <c r="K233" i="1"/>
  <c r="I233" i="1"/>
  <c r="H233" i="1"/>
  <c r="F233" i="1"/>
  <c r="E233" i="1"/>
  <c r="D233" i="1"/>
  <c r="C233" i="1"/>
  <c r="B233" i="1"/>
  <c r="A233" i="1"/>
  <c r="G232" i="1"/>
  <c r="F232" i="1"/>
  <c r="E232" i="1"/>
  <c r="D232" i="1"/>
  <c r="C232" i="1"/>
  <c r="B232" i="1"/>
  <c r="I232" i="1" s="1"/>
  <c r="I231" i="1"/>
  <c r="H231" i="1"/>
  <c r="K231" i="1" s="1"/>
  <c r="G231" i="1"/>
  <c r="F231" i="1"/>
  <c r="E231" i="1"/>
  <c r="D231" i="1"/>
  <c r="C231" i="1"/>
  <c r="B231" i="1"/>
  <c r="A231" i="1"/>
  <c r="K230" i="1"/>
  <c r="H230" i="1"/>
  <c r="G230" i="1"/>
  <c r="F230" i="1"/>
  <c r="E230" i="1"/>
  <c r="D230" i="1"/>
  <c r="C230" i="1"/>
  <c r="B230" i="1"/>
  <c r="I230" i="1" s="1"/>
  <c r="A230" i="1"/>
  <c r="K229" i="1"/>
  <c r="H229" i="1"/>
  <c r="G229" i="1"/>
  <c r="F229" i="1"/>
  <c r="E229" i="1"/>
  <c r="D229" i="1"/>
  <c r="B229" i="1"/>
  <c r="A229" i="1"/>
  <c r="K228" i="1"/>
  <c r="H228" i="1"/>
  <c r="G228" i="1"/>
  <c r="F228" i="1"/>
  <c r="E228" i="1"/>
  <c r="D228" i="1"/>
  <c r="C228" i="1"/>
  <c r="B228" i="1"/>
  <c r="I228" i="1" s="1"/>
  <c r="A228" i="1"/>
  <c r="I227" i="1"/>
  <c r="H227" i="1"/>
  <c r="K227" i="1" s="1"/>
  <c r="G227" i="1"/>
  <c r="F227" i="1"/>
  <c r="E227" i="1"/>
  <c r="D227" i="1"/>
  <c r="C227" i="1"/>
  <c r="B227" i="1"/>
  <c r="A227" i="1"/>
  <c r="K226" i="1"/>
  <c r="H226" i="1"/>
  <c r="G226" i="1"/>
  <c r="E226" i="1"/>
  <c r="D226" i="1"/>
  <c r="C226" i="1"/>
  <c r="B226" i="1"/>
  <c r="I226" i="1" s="1"/>
  <c r="A226" i="1"/>
  <c r="K225" i="1"/>
  <c r="I225" i="1"/>
  <c r="H225" i="1"/>
  <c r="F225" i="1"/>
  <c r="E225" i="1"/>
  <c r="D225" i="1"/>
  <c r="C225" i="1"/>
  <c r="B225" i="1"/>
  <c r="A225" i="1"/>
  <c r="G224" i="1"/>
  <c r="F224" i="1"/>
  <c r="E224" i="1"/>
  <c r="D224" i="1"/>
  <c r="C224" i="1"/>
  <c r="B224" i="1"/>
  <c r="I224" i="1" s="1"/>
  <c r="I223" i="1"/>
  <c r="H223" i="1"/>
  <c r="K223" i="1" s="1"/>
  <c r="G223" i="1"/>
  <c r="F223" i="1"/>
  <c r="E223" i="1"/>
  <c r="D223" i="1"/>
  <c r="C223" i="1"/>
  <c r="B223" i="1"/>
  <c r="A223" i="1"/>
  <c r="K222" i="1"/>
  <c r="H222" i="1"/>
  <c r="G222" i="1"/>
  <c r="F222" i="1"/>
  <c r="E222" i="1"/>
  <c r="D222" i="1"/>
  <c r="C222" i="1"/>
  <c r="B222" i="1"/>
  <c r="I222" i="1" s="1"/>
  <c r="A222" i="1"/>
  <c r="K221" i="1"/>
  <c r="H221" i="1"/>
  <c r="G221" i="1"/>
  <c r="F221" i="1"/>
  <c r="E221" i="1"/>
  <c r="D221" i="1"/>
  <c r="B221" i="1"/>
  <c r="A221" i="1"/>
  <c r="K220" i="1"/>
  <c r="H220" i="1"/>
  <c r="G220" i="1"/>
  <c r="F220" i="1"/>
  <c r="E220" i="1"/>
  <c r="D220" i="1"/>
  <c r="C220" i="1"/>
  <c r="B220" i="1"/>
  <c r="I220" i="1" s="1"/>
  <c r="A220" i="1"/>
  <c r="I219" i="1"/>
  <c r="H219" i="1"/>
  <c r="K219" i="1" s="1"/>
  <c r="G219" i="1"/>
  <c r="F219" i="1"/>
  <c r="E219" i="1"/>
  <c r="D219" i="1"/>
  <c r="C219" i="1"/>
  <c r="B219" i="1"/>
  <c r="A219" i="1"/>
  <c r="K218" i="1"/>
  <c r="H218" i="1"/>
  <c r="G218" i="1"/>
  <c r="E218" i="1"/>
  <c r="D218" i="1"/>
  <c r="C218" i="1"/>
  <c r="B218" i="1"/>
  <c r="I218" i="1" s="1"/>
  <c r="A218" i="1"/>
  <c r="K217" i="1"/>
  <c r="I217" i="1"/>
  <c r="H217" i="1"/>
  <c r="F217" i="1"/>
  <c r="E217" i="1"/>
  <c r="D217" i="1"/>
  <c r="C217" i="1"/>
  <c r="B217" i="1"/>
  <c r="A217" i="1"/>
  <c r="G216" i="1"/>
  <c r="F216" i="1"/>
  <c r="E216" i="1"/>
  <c r="D216" i="1"/>
  <c r="C216" i="1"/>
  <c r="B216" i="1"/>
  <c r="I216" i="1" s="1"/>
  <c r="I215" i="1"/>
  <c r="H215" i="1"/>
  <c r="K215" i="1" s="1"/>
  <c r="G215" i="1"/>
  <c r="F215" i="1"/>
  <c r="E215" i="1"/>
  <c r="D215" i="1"/>
  <c r="C215" i="1"/>
  <c r="B215" i="1"/>
  <c r="A215" i="1"/>
  <c r="K214" i="1"/>
  <c r="H214" i="1"/>
  <c r="G214" i="1"/>
  <c r="F214" i="1"/>
  <c r="E214" i="1"/>
  <c r="D214" i="1"/>
  <c r="C214" i="1"/>
  <c r="B214" i="1"/>
  <c r="I214" i="1" s="1"/>
  <c r="A214" i="1"/>
  <c r="K213" i="1"/>
  <c r="H213" i="1"/>
  <c r="G213" i="1"/>
  <c r="F213" i="1"/>
  <c r="E213" i="1"/>
  <c r="D213" i="1"/>
  <c r="B213" i="1"/>
  <c r="A213" i="1"/>
  <c r="K212" i="1"/>
  <c r="H212" i="1"/>
  <c r="G212" i="1"/>
  <c r="F212" i="1"/>
  <c r="E212" i="1"/>
  <c r="D212" i="1"/>
  <c r="C212" i="1"/>
  <c r="B212" i="1"/>
  <c r="I212" i="1" s="1"/>
  <c r="A212" i="1"/>
  <c r="I211" i="1"/>
  <c r="H211" i="1"/>
  <c r="K211" i="1" s="1"/>
  <c r="G211" i="1"/>
  <c r="F211" i="1"/>
  <c r="E211" i="1"/>
  <c r="D211" i="1"/>
  <c r="C211" i="1"/>
  <c r="B211" i="1"/>
  <c r="A211" i="1"/>
  <c r="K210" i="1"/>
  <c r="H210" i="1"/>
  <c r="G210" i="1"/>
  <c r="E210" i="1"/>
  <c r="D210" i="1"/>
  <c r="C210" i="1"/>
  <c r="B210" i="1"/>
  <c r="I210" i="1" s="1"/>
  <c r="A210" i="1"/>
  <c r="K209" i="1"/>
  <c r="I209" i="1"/>
  <c r="H209" i="1"/>
  <c r="F209" i="1"/>
  <c r="E209" i="1"/>
  <c r="D209" i="1"/>
  <c r="C209" i="1"/>
  <c r="B209" i="1"/>
  <c r="A209" i="1"/>
  <c r="G208" i="1"/>
  <c r="F208" i="1"/>
  <c r="E208" i="1"/>
  <c r="D208" i="1"/>
  <c r="C208" i="1"/>
  <c r="B208" i="1"/>
  <c r="I208" i="1" s="1"/>
  <c r="I207" i="1"/>
  <c r="H207" i="1"/>
  <c r="K207" i="1" s="1"/>
  <c r="G207" i="1"/>
  <c r="F207" i="1"/>
  <c r="E207" i="1"/>
  <c r="D207" i="1"/>
  <c r="C207" i="1"/>
  <c r="B207" i="1"/>
  <c r="A207" i="1"/>
  <c r="K206" i="1"/>
  <c r="H206" i="1"/>
  <c r="G206" i="1"/>
  <c r="F206" i="1"/>
  <c r="E206" i="1"/>
  <c r="D206" i="1"/>
  <c r="C206" i="1"/>
  <c r="B206" i="1"/>
  <c r="I206" i="1" s="1"/>
  <c r="A206" i="1"/>
  <c r="K205" i="1"/>
  <c r="H205" i="1"/>
  <c r="G205" i="1"/>
  <c r="F205" i="1"/>
  <c r="E205" i="1"/>
  <c r="D205" i="1"/>
  <c r="B205" i="1"/>
  <c r="A205" i="1"/>
  <c r="K204" i="1"/>
  <c r="H204" i="1"/>
  <c r="G204" i="1"/>
  <c r="F204" i="1"/>
  <c r="E204" i="1"/>
  <c r="D204" i="1"/>
  <c r="C204" i="1"/>
  <c r="B204" i="1"/>
  <c r="I204" i="1" s="1"/>
  <c r="A204" i="1"/>
  <c r="I203" i="1"/>
  <c r="H203" i="1"/>
  <c r="K203" i="1" s="1"/>
  <c r="G203" i="1"/>
  <c r="F203" i="1"/>
  <c r="E203" i="1"/>
  <c r="D203" i="1"/>
  <c r="C203" i="1"/>
  <c r="B203" i="1"/>
  <c r="A203" i="1"/>
  <c r="K202" i="1"/>
  <c r="H202" i="1"/>
  <c r="G202" i="1"/>
  <c r="E202" i="1"/>
  <c r="D202" i="1"/>
  <c r="C202" i="1"/>
  <c r="B202" i="1"/>
  <c r="I202" i="1" s="1"/>
  <c r="A202" i="1"/>
  <c r="K201" i="1"/>
  <c r="I201" i="1"/>
  <c r="H201" i="1"/>
  <c r="F201" i="1"/>
  <c r="E201" i="1"/>
  <c r="D201" i="1"/>
  <c r="C201" i="1"/>
  <c r="B201" i="1"/>
  <c r="A201" i="1"/>
  <c r="G200" i="1"/>
  <c r="F200" i="1"/>
  <c r="E200" i="1"/>
  <c r="D200" i="1"/>
  <c r="C200" i="1"/>
  <c r="B200" i="1"/>
  <c r="I200" i="1" s="1"/>
  <c r="I199" i="1"/>
  <c r="H199" i="1"/>
  <c r="K199" i="1" s="1"/>
  <c r="G199" i="1"/>
  <c r="F199" i="1"/>
  <c r="E199" i="1"/>
  <c r="D199" i="1"/>
  <c r="C199" i="1"/>
  <c r="B199" i="1"/>
  <c r="A199" i="1"/>
  <c r="K198" i="1"/>
  <c r="H198" i="1"/>
  <c r="G198" i="1"/>
  <c r="F198" i="1"/>
  <c r="E198" i="1"/>
  <c r="D198" i="1"/>
  <c r="C198" i="1"/>
  <c r="B198" i="1"/>
  <c r="I198" i="1" s="1"/>
  <c r="A198" i="1"/>
  <c r="K197" i="1"/>
  <c r="H197" i="1"/>
  <c r="G197" i="1"/>
  <c r="F197" i="1"/>
  <c r="E197" i="1"/>
  <c r="D197" i="1"/>
  <c r="B197" i="1"/>
  <c r="A197" i="1"/>
  <c r="K196" i="1"/>
  <c r="H196" i="1"/>
  <c r="G196" i="1"/>
  <c r="F196" i="1"/>
  <c r="E196" i="1"/>
  <c r="D196" i="1"/>
  <c r="C196" i="1"/>
  <c r="B196" i="1"/>
  <c r="I196" i="1" s="1"/>
  <c r="A196" i="1"/>
  <c r="I195" i="1"/>
  <c r="H195" i="1"/>
  <c r="K195" i="1" s="1"/>
  <c r="G195" i="1"/>
  <c r="F195" i="1"/>
  <c r="E195" i="1"/>
  <c r="D195" i="1"/>
  <c r="C195" i="1"/>
  <c r="B195" i="1"/>
  <c r="A195" i="1"/>
  <c r="K194" i="1"/>
  <c r="H194" i="1"/>
  <c r="G194" i="1"/>
  <c r="E194" i="1"/>
  <c r="D194" i="1"/>
  <c r="C194" i="1"/>
  <c r="B194" i="1"/>
  <c r="I194" i="1" s="1"/>
  <c r="A194" i="1"/>
  <c r="K193" i="1"/>
  <c r="I193" i="1"/>
  <c r="H193" i="1"/>
  <c r="F193" i="1"/>
  <c r="E193" i="1"/>
  <c r="D193" i="1"/>
  <c r="C193" i="1"/>
  <c r="B193" i="1"/>
  <c r="A193" i="1"/>
  <c r="G192" i="1"/>
  <c r="F192" i="1"/>
  <c r="E192" i="1"/>
  <c r="D192" i="1"/>
  <c r="C192" i="1"/>
  <c r="B192" i="1"/>
  <c r="I192" i="1" s="1"/>
  <c r="I191" i="1"/>
  <c r="H191" i="1"/>
  <c r="K191" i="1" s="1"/>
  <c r="G191" i="1"/>
  <c r="F191" i="1"/>
  <c r="E191" i="1"/>
  <c r="D191" i="1"/>
  <c r="C191" i="1"/>
  <c r="B191" i="1"/>
  <c r="A191" i="1"/>
  <c r="K190" i="1"/>
  <c r="H190" i="1"/>
  <c r="G190" i="1"/>
  <c r="F190" i="1"/>
  <c r="E190" i="1"/>
  <c r="D190" i="1"/>
  <c r="C190" i="1"/>
  <c r="B190" i="1"/>
  <c r="I190" i="1" s="1"/>
  <c r="A190" i="1"/>
  <c r="K189" i="1"/>
  <c r="H189" i="1"/>
  <c r="G189" i="1"/>
  <c r="F189" i="1"/>
  <c r="E189" i="1"/>
  <c r="D189" i="1"/>
  <c r="B189" i="1"/>
  <c r="A189" i="1"/>
  <c r="K188" i="1"/>
  <c r="H188" i="1"/>
  <c r="G188" i="1"/>
  <c r="F188" i="1"/>
  <c r="E188" i="1"/>
  <c r="D188" i="1"/>
  <c r="C188" i="1"/>
  <c r="B188" i="1"/>
  <c r="I188" i="1" s="1"/>
  <c r="A188" i="1"/>
  <c r="I187" i="1"/>
  <c r="H187" i="1"/>
  <c r="K187" i="1" s="1"/>
  <c r="G187" i="1"/>
  <c r="F187" i="1"/>
  <c r="E187" i="1"/>
  <c r="D187" i="1"/>
  <c r="C187" i="1"/>
  <c r="B187" i="1"/>
  <c r="A187" i="1"/>
  <c r="K186" i="1"/>
  <c r="H186" i="1"/>
  <c r="G186" i="1"/>
  <c r="E186" i="1"/>
  <c r="D186" i="1"/>
  <c r="C186" i="1"/>
  <c r="B186" i="1"/>
  <c r="I186" i="1" s="1"/>
  <c r="A186" i="1"/>
  <c r="K185" i="1"/>
  <c r="I185" i="1"/>
  <c r="H185" i="1"/>
  <c r="F185" i="1"/>
  <c r="E185" i="1"/>
  <c r="D185" i="1"/>
  <c r="C185" i="1"/>
  <c r="B185" i="1"/>
  <c r="A185" i="1"/>
  <c r="G184" i="1"/>
  <c r="F184" i="1"/>
  <c r="E184" i="1"/>
  <c r="D184" i="1"/>
  <c r="C184" i="1"/>
  <c r="B184" i="1"/>
  <c r="I184" i="1" s="1"/>
  <c r="I183" i="1"/>
  <c r="H183" i="1"/>
  <c r="K183" i="1" s="1"/>
  <c r="G183" i="1"/>
  <c r="F183" i="1"/>
  <c r="E183" i="1"/>
  <c r="D183" i="1"/>
  <c r="C183" i="1"/>
  <c r="B183" i="1"/>
  <c r="A183" i="1"/>
  <c r="K182" i="1"/>
  <c r="H182" i="1"/>
  <c r="G182" i="1"/>
  <c r="F182" i="1"/>
  <c r="E182" i="1"/>
  <c r="D182" i="1"/>
  <c r="C182" i="1"/>
  <c r="B182" i="1"/>
  <c r="I182" i="1" s="1"/>
  <c r="A182" i="1"/>
  <c r="K181" i="1"/>
  <c r="H181" i="1"/>
  <c r="G181" i="1"/>
  <c r="F181" i="1"/>
  <c r="E181" i="1"/>
  <c r="D181" i="1"/>
  <c r="B181" i="1"/>
  <c r="A181" i="1"/>
  <c r="K180" i="1"/>
  <c r="H180" i="1"/>
  <c r="G180" i="1"/>
  <c r="F180" i="1"/>
  <c r="E180" i="1"/>
  <c r="D180" i="1"/>
  <c r="C180" i="1"/>
  <c r="B180" i="1"/>
  <c r="I180" i="1" s="1"/>
  <c r="A180" i="1"/>
  <c r="I179" i="1"/>
  <c r="H179" i="1"/>
  <c r="K179" i="1" s="1"/>
  <c r="G179" i="1"/>
  <c r="F179" i="1"/>
  <c r="E179" i="1"/>
  <c r="D179" i="1"/>
  <c r="C179" i="1"/>
  <c r="B179" i="1"/>
  <c r="A179" i="1"/>
  <c r="K178" i="1"/>
  <c r="H178" i="1"/>
  <c r="G178" i="1"/>
  <c r="E178" i="1"/>
  <c r="D178" i="1"/>
  <c r="C178" i="1"/>
  <c r="B178" i="1"/>
  <c r="I178" i="1" s="1"/>
  <c r="A178" i="1"/>
  <c r="K177" i="1"/>
  <c r="I177" i="1"/>
  <c r="H177" i="1"/>
  <c r="F177" i="1"/>
  <c r="E177" i="1"/>
  <c r="D177" i="1"/>
  <c r="C177" i="1"/>
  <c r="B177" i="1"/>
  <c r="A177" i="1"/>
  <c r="G176" i="1"/>
  <c r="F176" i="1"/>
  <c r="E176" i="1"/>
  <c r="D176" i="1"/>
  <c r="C176" i="1"/>
  <c r="B176" i="1"/>
  <c r="I176" i="1" s="1"/>
  <c r="I175" i="1"/>
  <c r="H175" i="1"/>
  <c r="K175" i="1" s="1"/>
  <c r="G175" i="1"/>
  <c r="F175" i="1"/>
  <c r="E175" i="1"/>
  <c r="D175" i="1"/>
  <c r="C175" i="1"/>
  <c r="B175" i="1"/>
  <c r="A175" i="1"/>
  <c r="K174" i="1"/>
  <c r="H174" i="1"/>
  <c r="G174" i="1"/>
  <c r="F174" i="1"/>
  <c r="E174" i="1"/>
  <c r="D174" i="1"/>
  <c r="C174" i="1"/>
  <c r="B174" i="1"/>
  <c r="I174" i="1" s="1"/>
  <c r="A174" i="1"/>
  <c r="K173" i="1"/>
  <c r="H173" i="1"/>
  <c r="G173" i="1"/>
  <c r="F173" i="1"/>
  <c r="E173" i="1"/>
  <c r="D173" i="1"/>
  <c r="B173" i="1"/>
  <c r="A173" i="1"/>
  <c r="K172" i="1"/>
  <c r="H172" i="1"/>
  <c r="G172" i="1"/>
  <c r="F172" i="1"/>
  <c r="E172" i="1"/>
  <c r="D172" i="1"/>
  <c r="C172" i="1"/>
  <c r="B172" i="1"/>
  <c r="I172" i="1" s="1"/>
  <c r="A172" i="1"/>
  <c r="I171" i="1"/>
  <c r="H171" i="1"/>
  <c r="K171" i="1" s="1"/>
  <c r="G171" i="1"/>
  <c r="F171" i="1"/>
  <c r="E171" i="1"/>
  <c r="D171" i="1"/>
  <c r="C171" i="1"/>
  <c r="B171" i="1"/>
  <c r="A171" i="1"/>
  <c r="K170" i="1"/>
  <c r="H170" i="1"/>
  <c r="G170" i="1"/>
  <c r="E170" i="1"/>
  <c r="D170" i="1"/>
  <c r="C170" i="1"/>
  <c r="B170" i="1"/>
  <c r="I170" i="1" s="1"/>
  <c r="A170" i="1"/>
  <c r="K169" i="1"/>
  <c r="I169" i="1"/>
  <c r="H169" i="1"/>
  <c r="F169" i="1"/>
  <c r="E169" i="1"/>
  <c r="D169" i="1"/>
  <c r="C169" i="1"/>
  <c r="B169" i="1"/>
  <c r="A169" i="1"/>
  <c r="G168" i="1"/>
  <c r="F168" i="1"/>
  <c r="E168" i="1"/>
  <c r="D168" i="1"/>
  <c r="C168" i="1"/>
  <c r="B168" i="1"/>
  <c r="I168" i="1" s="1"/>
  <c r="I167" i="1"/>
  <c r="H167" i="1"/>
  <c r="K167" i="1" s="1"/>
  <c r="G167" i="1"/>
  <c r="F167" i="1"/>
  <c r="E167" i="1"/>
  <c r="D167" i="1"/>
  <c r="C167" i="1"/>
  <c r="B167" i="1"/>
  <c r="A167" i="1"/>
  <c r="K166" i="1"/>
  <c r="H166" i="1"/>
  <c r="G166" i="1"/>
  <c r="F166" i="1"/>
  <c r="E166" i="1"/>
  <c r="D166" i="1"/>
  <c r="C166" i="1"/>
  <c r="B166" i="1"/>
  <c r="I166" i="1" s="1"/>
  <c r="A166" i="1"/>
  <c r="K165" i="1"/>
  <c r="H165" i="1"/>
  <c r="G165" i="1"/>
  <c r="F165" i="1"/>
  <c r="E165" i="1"/>
  <c r="D165" i="1"/>
  <c r="B165" i="1"/>
  <c r="A165" i="1"/>
  <c r="K164" i="1"/>
  <c r="H164" i="1"/>
  <c r="G164" i="1"/>
  <c r="F164" i="1"/>
  <c r="E164" i="1"/>
  <c r="D164" i="1"/>
  <c r="C164" i="1"/>
  <c r="B164" i="1"/>
  <c r="I164" i="1" s="1"/>
  <c r="A164" i="1"/>
  <c r="I163" i="1"/>
  <c r="H163" i="1"/>
  <c r="K163" i="1" s="1"/>
  <c r="G163" i="1"/>
  <c r="F163" i="1"/>
  <c r="E163" i="1"/>
  <c r="D163" i="1"/>
  <c r="C163" i="1"/>
  <c r="B163" i="1"/>
  <c r="A163" i="1"/>
  <c r="K162" i="1"/>
  <c r="H162" i="1"/>
  <c r="G162" i="1"/>
  <c r="E162" i="1"/>
  <c r="D162" i="1"/>
  <c r="C162" i="1"/>
  <c r="B162" i="1"/>
  <c r="I162" i="1" s="1"/>
  <c r="A162" i="1"/>
  <c r="K161" i="1"/>
  <c r="I161" i="1"/>
  <c r="H161" i="1"/>
  <c r="F161" i="1"/>
  <c r="E161" i="1"/>
  <c r="D161" i="1"/>
  <c r="C161" i="1"/>
  <c r="B161" i="1"/>
  <c r="A161" i="1"/>
  <c r="G160" i="1"/>
  <c r="F160" i="1"/>
  <c r="E160" i="1"/>
  <c r="D160" i="1"/>
  <c r="C160" i="1"/>
  <c r="B160" i="1"/>
  <c r="I160" i="1" s="1"/>
  <c r="I159" i="1"/>
  <c r="H159" i="1"/>
  <c r="K159" i="1" s="1"/>
  <c r="G159" i="1"/>
  <c r="F159" i="1"/>
  <c r="E159" i="1"/>
  <c r="D159" i="1"/>
  <c r="C159" i="1"/>
  <c r="B159" i="1"/>
  <c r="A159" i="1"/>
  <c r="K158" i="1"/>
  <c r="H158" i="1"/>
  <c r="G158" i="1"/>
  <c r="F158" i="1"/>
  <c r="E158" i="1"/>
  <c r="D158" i="1"/>
  <c r="C158" i="1"/>
  <c r="B158" i="1"/>
  <c r="I158" i="1" s="1"/>
  <c r="A158" i="1"/>
  <c r="K157" i="1"/>
  <c r="H157" i="1"/>
  <c r="G157" i="1"/>
  <c r="F157" i="1"/>
  <c r="E157" i="1"/>
  <c r="D157" i="1"/>
  <c r="B157" i="1"/>
  <c r="A157" i="1"/>
  <c r="K156" i="1"/>
  <c r="H156" i="1"/>
  <c r="G156" i="1"/>
  <c r="F156" i="1"/>
  <c r="E156" i="1"/>
  <c r="D156" i="1"/>
  <c r="C156" i="1"/>
  <c r="B156" i="1"/>
  <c r="I156" i="1" s="1"/>
  <c r="A156" i="1"/>
  <c r="I155" i="1"/>
  <c r="H155" i="1"/>
  <c r="K155" i="1" s="1"/>
  <c r="G155" i="1"/>
  <c r="F155" i="1"/>
  <c r="E155" i="1"/>
  <c r="D155" i="1"/>
  <c r="C155" i="1"/>
  <c r="B155" i="1"/>
  <c r="A155" i="1"/>
  <c r="K154" i="1"/>
  <c r="H154" i="1"/>
  <c r="G154" i="1"/>
  <c r="E154" i="1"/>
  <c r="D154" i="1"/>
  <c r="C154" i="1"/>
  <c r="B154" i="1"/>
  <c r="I154" i="1" s="1"/>
  <c r="A154" i="1"/>
  <c r="K153" i="1"/>
  <c r="I153" i="1"/>
  <c r="H153" i="1"/>
  <c r="F153" i="1"/>
  <c r="E153" i="1"/>
  <c r="D153" i="1"/>
  <c r="C153" i="1"/>
  <c r="B153" i="1"/>
  <c r="A153" i="1"/>
  <c r="G152" i="1"/>
  <c r="F152" i="1"/>
  <c r="E152" i="1"/>
  <c r="D152" i="1"/>
  <c r="C152" i="1"/>
  <c r="B152" i="1"/>
  <c r="I152" i="1" s="1"/>
  <c r="I151" i="1"/>
  <c r="H151" i="1"/>
  <c r="K151" i="1" s="1"/>
  <c r="G151" i="1"/>
  <c r="F151" i="1"/>
  <c r="E151" i="1"/>
  <c r="D151" i="1"/>
  <c r="C151" i="1"/>
  <c r="B151" i="1"/>
  <c r="A151" i="1"/>
  <c r="K150" i="1"/>
  <c r="H150" i="1"/>
  <c r="G150" i="1"/>
  <c r="F150" i="1"/>
  <c r="E150" i="1"/>
  <c r="D150" i="1"/>
  <c r="C150" i="1"/>
  <c r="B150" i="1"/>
  <c r="I150" i="1" s="1"/>
  <c r="A150" i="1"/>
  <c r="K149" i="1"/>
  <c r="H149" i="1"/>
  <c r="G149" i="1"/>
  <c r="F149" i="1"/>
  <c r="E149" i="1"/>
  <c r="D149" i="1"/>
  <c r="B149" i="1"/>
  <c r="A149" i="1"/>
  <c r="K148" i="1"/>
  <c r="H148" i="1"/>
  <c r="G148" i="1"/>
  <c r="F148" i="1"/>
  <c r="E148" i="1"/>
  <c r="C148" i="1"/>
  <c r="B148" i="1"/>
  <c r="I148" i="1" s="1"/>
  <c r="A148" i="1"/>
  <c r="I147" i="1"/>
  <c r="H147" i="1"/>
  <c r="K147" i="1" s="1"/>
  <c r="G147" i="1"/>
  <c r="F147" i="1"/>
  <c r="E147" i="1"/>
  <c r="D147" i="1"/>
  <c r="C147" i="1"/>
  <c r="B147" i="1"/>
  <c r="A147" i="1"/>
  <c r="K146" i="1"/>
  <c r="H146" i="1"/>
  <c r="G146" i="1"/>
  <c r="E146" i="1"/>
  <c r="D146" i="1"/>
  <c r="C146" i="1"/>
  <c r="B146" i="1"/>
  <c r="I146" i="1" s="1"/>
  <c r="A146" i="1"/>
  <c r="H145" i="1"/>
  <c r="G145" i="1"/>
  <c r="F145" i="1"/>
  <c r="E145" i="1"/>
  <c r="D145" i="1"/>
  <c r="C145" i="1"/>
  <c r="B145" i="1"/>
  <c r="A145" i="1"/>
  <c r="G143" i="1"/>
  <c r="F143" i="1"/>
  <c r="E143" i="1"/>
  <c r="D143" i="1"/>
  <c r="C143" i="1"/>
  <c r="B143" i="1"/>
  <c r="A143" i="1"/>
  <c r="G142" i="1"/>
  <c r="K142" i="1" s="1"/>
  <c r="F142" i="1"/>
  <c r="E142" i="1"/>
  <c r="D142" i="1"/>
  <c r="C142" i="1"/>
  <c r="B142" i="1"/>
  <c r="A142" i="1"/>
  <c r="I141" i="1"/>
  <c r="G141" i="1"/>
  <c r="F141" i="1"/>
  <c r="E141" i="1"/>
  <c r="D141" i="1"/>
  <c r="C141" i="1"/>
  <c r="B141" i="1"/>
  <c r="G140" i="1"/>
  <c r="F140" i="1"/>
  <c r="E140" i="1"/>
  <c r="D140" i="1"/>
  <c r="C140" i="1"/>
  <c r="B140" i="1"/>
  <c r="I140" i="1" s="1"/>
  <c r="G139" i="1"/>
  <c r="F139" i="1"/>
  <c r="E139" i="1"/>
  <c r="D139" i="1"/>
  <c r="C139" i="1"/>
  <c r="B139" i="1"/>
  <c r="I139" i="1" s="1"/>
  <c r="G138" i="1"/>
  <c r="F138" i="1"/>
  <c r="E138" i="1"/>
  <c r="D138" i="1"/>
  <c r="C138" i="1"/>
  <c r="I138" i="1" s="1"/>
  <c r="B138" i="1"/>
  <c r="I137" i="1"/>
  <c r="H137" i="1"/>
  <c r="K137" i="1" s="1"/>
  <c r="G137" i="1"/>
  <c r="F137" i="1"/>
  <c r="E137" i="1"/>
  <c r="D137" i="1"/>
  <c r="C137" i="1"/>
  <c r="B137" i="1"/>
  <c r="I136" i="1"/>
  <c r="G136" i="1"/>
  <c r="F136" i="1"/>
  <c r="E136" i="1"/>
  <c r="D136" i="1"/>
  <c r="C136" i="1"/>
  <c r="B136" i="1"/>
  <c r="G135" i="1"/>
  <c r="F135" i="1"/>
  <c r="E135" i="1"/>
  <c r="D135" i="1"/>
  <c r="C135" i="1"/>
  <c r="B135" i="1"/>
  <c r="I135" i="1" s="1"/>
  <c r="H134" i="1"/>
  <c r="K134" i="1" s="1"/>
  <c r="G134" i="1"/>
  <c r="F134" i="1"/>
  <c r="E134" i="1"/>
  <c r="D134" i="1"/>
  <c r="C134" i="1"/>
  <c r="I134" i="1" s="1"/>
  <c r="B134" i="1"/>
  <c r="I133" i="1"/>
  <c r="G133" i="1"/>
  <c r="F133" i="1"/>
  <c r="E133" i="1"/>
  <c r="D133" i="1"/>
  <c r="C133" i="1"/>
  <c r="B133" i="1"/>
  <c r="G132" i="1"/>
  <c r="F132" i="1"/>
  <c r="E132" i="1"/>
  <c r="D132" i="1"/>
  <c r="C132" i="1"/>
  <c r="B132" i="1"/>
  <c r="I132" i="1" s="1"/>
  <c r="G131" i="1"/>
  <c r="F131" i="1"/>
  <c r="E131" i="1"/>
  <c r="D131" i="1"/>
  <c r="C131" i="1"/>
  <c r="B131" i="1"/>
  <c r="I131" i="1" s="1"/>
  <c r="G130" i="1"/>
  <c r="F130" i="1"/>
  <c r="E130" i="1"/>
  <c r="D130" i="1"/>
  <c r="C130" i="1"/>
  <c r="I130" i="1" s="1"/>
  <c r="B130" i="1"/>
  <c r="I129" i="1"/>
  <c r="H129" i="1"/>
  <c r="K129" i="1" s="1"/>
  <c r="G129" i="1"/>
  <c r="F129" i="1"/>
  <c r="E129" i="1"/>
  <c r="D129" i="1"/>
  <c r="C129" i="1"/>
  <c r="B129" i="1"/>
  <c r="I128" i="1"/>
  <c r="G128" i="1"/>
  <c r="F128" i="1"/>
  <c r="E128" i="1"/>
  <c r="D128" i="1"/>
  <c r="C128" i="1"/>
  <c r="B128" i="1"/>
  <c r="G127" i="1"/>
  <c r="F127" i="1"/>
  <c r="E127" i="1"/>
  <c r="D127" i="1"/>
  <c r="C127" i="1"/>
  <c r="B127" i="1"/>
  <c r="I127" i="1" s="1"/>
  <c r="H126" i="1"/>
  <c r="K126" i="1" s="1"/>
  <c r="G126" i="1"/>
  <c r="F126" i="1"/>
  <c r="E126" i="1"/>
  <c r="D126" i="1"/>
  <c r="C126" i="1"/>
  <c r="I126" i="1" s="1"/>
  <c r="B126" i="1"/>
  <c r="I125" i="1"/>
  <c r="G125" i="1"/>
  <c r="F125" i="1"/>
  <c r="E125" i="1"/>
  <c r="D125" i="1"/>
  <c r="C125" i="1"/>
  <c r="B125" i="1"/>
  <c r="G124" i="1"/>
  <c r="F124" i="1"/>
  <c r="E124" i="1"/>
  <c r="D124" i="1"/>
  <c r="C124" i="1"/>
  <c r="B124" i="1"/>
  <c r="I124" i="1" s="1"/>
  <c r="G123" i="1"/>
  <c r="F123" i="1"/>
  <c r="E123" i="1"/>
  <c r="D123" i="1"/>
  <c r="C123" i="1"/>
  <c r="B123" i="1"/>
  <c r="I123" i="1" s="1"/>
  <c r="G122" i="1"/>
  <c r="F122" i="1"/>
  <c r="E122" i="1"/>
  <c r="D122" i="1"/>
  <c r="C122" i="1"/>
  <c r="I122" i="1" s="1"/>
  <c r="B122" i="1"/>
  <c r="I121" i="1"/>
  <c r="H121" i="1"/>
  <c r="K121" i="1" s="1"/>
  <c r="G121" i="1"/>
  <c r="F121" i="1"/>
  <c r="E121" i="1"/>
  <c r="D121" i="1"/>
  <c r="C121" i="1"/>
  <c r="B121" i="1"/>
  <c r="I120" i="1"/>
  <c r="G120" i="1"/>
  <c r="F120" i="1"/>
  <c r="E120" i="1"/>
  <c r="D120" i="1"/>
  <c r="C120" i="1"/>
  <c r="B120" i="1"/>
  <c r="G119" i="1"/>
  <c r="F119" i="1"/>
  <c r="E119" i="1"/>
  <c r="D119" i="1"/>
  <c r="C119" i="1"/>
  <c r="B119" i="1"/>
  <c r="I119" i="1" s="1"/>
  <c r="H118" i="1"/>
  <c r="K118" i="1" s="1"/>
  <c r="G118" i="1"/>
  <c r="F118" i="1"/>
  <c r="E118" i="1"/>
  <c r="D118" i="1"/>
  <c r="C118" i="1"/>
  <c r="I118" i="1" s="1"/>
  <c r="B118" i="1"/>
  <c r="I117" i="1"/>
  <c r="G117" i="1"/>
  <c r="F117" i="1"/>
  <c r="E117" i="1"/>
  <c r="D117" i="1"/>
  <c r="C117" i="1"/>
  <c r="B117" i="1"/>
  <c r="G116" i="1"/>
  <c r="F116" i="1"/>
  <c r="E116" i="1"/>
  <c r="D116" i="1"/>
  <c r="C116" i="1"/>
  <c r="B116" i="1"/>
  <c r="I116" i="1" s="1"/>
  <c r="G115" i="1"/>
  <c r="F115" i="1"/>
  <c r="E115" i="1"/>
  <c r="D115" i="1"/>
  <c r="C115" i="1"/>
  <c r="B115" i="1"/>
  <c r="I115" i="1" s="1"/>
  <c r="G114" i="1"/>
  <c r="F114" i="1"/>
  <c r="E114" i="1"/>
  <c r="D114" i="1"/>
  <c r="C114" i="1"/>
  <c r="I114" i="1" s="1"/>
  <c r="B114" i="1"/>
  <c r="I113" i="1"/>
  <c r="H113" i="1"/>
  <c r="K113" i="1" s="1"/>
  <c r="G113" i="1"/>
  <c r="F113" i="1"/>
  <c r="E113" i="1"/>
  <c r="D113" i="1"/>
  <c r="C113" i="1"/>
  <c r="B113" i="1"/>
  <c r="I112" i="1"/>
  <c r="G112" i="1"/>
  <c r="F112" i="1"/>
  <c r="E112" i="1"/>
  <c r="D112" i="1"/>
  <c r="C112" i="1"/>
  <c r="B112" i="1"/>
  <c r="G111" i="1"/>
  <c r="F111" i="1"/>
  <c r="E111" i="1"/>
  <c r="D111" i="1"/>
  <c r="C111" i="1"/>
  <c r="B111" i="1"/>
  <c r="I111" i="1" s="1"/>
  <c r="H110" i="1"/>
  <c r="K110" i="1" s="1"/>
  <c r="G110" i="1"/>
  <c r="F110" i="1"/>
  <c r="E110" i="1"/>
  <c r="D110" i="1"/>
  <c r="C110" i="1"/>
  <c r="I110" i="1" s="1"/>
  <c r="B110" i="1"/>
  <c r="I109" i="1"/>
  <c r="G109" i="1"/>
  <c r="F109" i="1"/>
  <c r="E109" i="1"/>
  <c r="D109" i="1"/>
  <c r="C109" i="1"/>
  <c r="B109" i="1"/>
  <c r="G108" i="1"/>
  <c r="F108" i="1"/>
  <c r="E108" i="1"/>
  <c r="D108" i="1"/>
  <c r="C108" i="1"/>
  <c r="B108" i="1"/>
  <c r="I108" i="1" s="1"/>
  <c r="G107" i="1"/>
  <c r="F107" i="1"/>
  <c r="E107" i="1"/>
  <c r="D107" i="1"/>
  <c r="C107" i="1"/>
  <c r="B107" i="1"/>
  <c r="I107" i="1" s="1"/>
  <c r="G106" i="1"/>
  <c r="F106" i="1"/>
  <c r="E106" i="1"/>
  <c r="D106" i="1"/>
  <c r="C106" i="1"/>
  <c r="I106" i="1" s="1"/>
  <c r="B106" i="1"/>
  <c r="I105" i="1"/>
  <c r="H105" i="1"/>
  <c r="K105" i="1" s="1"/>
  <c r="G105" i="1"/>
  <c r="F105" i="1"/>
  <c r="E105" i="1"/>
  <c r="D105" i="1"/>
  <c r="C105" i="1"/>
  <c r="B105" i="1"/>
  <c r="I104" i="1"/>
  <c r="G104" i="1"/>
  <c r="F104" i="1"/>
  <c r="E104" i="1"/>
  <c r="D104" i="1"/>
  <c r="C104" i="1"/>
  <c r="B104" i="1"/>
  <c r="G103" i="1"/>
  <c r="F103" i="1"/>
  <c r="E103" i="1"/>
  <c r="D103" i="1"/>
  <c r="C103" i="1"/>
  <c r="B103" i="1"/>
  <c r="I103" i="1" s="1"/>
  <c r="H102" i="1"/>
  <c r="K102" i="1" s="1"/>
  <c r="G102" i="1"/>
  <c r="F102" i="1"/>
  <c r="E102" i="1"/>
  <c r="D102" i="1"/>
  <c r="C102" i="1"/>
  <c r="I102" i="1" s="1"/>
  <c r="B102" i="1"/>
  <c r="I101" i="1"/>
  <c r="G101" i="1"/>
  <c r="F101" i="1"/>
  <c r="E101" i="1"/>
  <c r="D101" i="1"/>
  <c r="C101" i="1"/>
  <c r="B101" i="1"/>
  <c r="G100" i="1"/>
  <c r="F100" i="1"/>
  <c r="E100" i="1"/>
  <c r="D100" i="1"/>
  <c r="C100" i="1"/>
  <c r="B100" i="1"/>
  <c r="I100" i="1" s="1"/>
  <c r="G99" i="1"/>
  <c r="F99" i="1"/>
  <c r="E99" i="1"/>
  <c r="D99" i="1"/>
  <c r="C99" i="1"/>
  <c r="B99" i="1"/>
  <c r="I99" i="1" s="1"/>
  <c r="G98" i="1"/>
  <c r="F98" i="1"/>
  <c r="E98" i="1"/>
  <c r="D98" i="1"/>
  <c r="C98" i="1"/>
  <c r="I98" i="1" s="1"/>
  <c r="B98" i="1"/>
  <c r="I97" i="1"/>
  <c r="H97" i="1"/>
  <c r="K97" i="1" s="1"/>
  <c r="G97" i="1"/>
  <c r="F97" i="1"/>
  <c r="E97" i="1"/>
  <c r="D97" i="1"/>
  <c r="C97" i="1"/>
  <c r="B97" i="1"/>
  <c r="I96" i="1"/>
  <c r="G96" i="1"/>
  <c r="F96" i="1"/>
  <c r="E96" i="1"/>
  <c r="D96" i="1"/>
  <c r="C96" i="1"/>
  <c r="B96" i="1"/>
  <c r="G95" i="1"/>
  <c r="F95" i="1"/>
  <c r="E95" i="1"/>
  <c r="D95" i="1"/>
  <c r="C95" i="1"/>
  <c r="B95" i="1"/>
  <c r="I95" i="1" s="1"/>
  <c r="H94" i="1"/>
  <c r="K94" i="1" s="1"/>
  <c r="G94" i="1"/>
  <c r="F94" i="1"/>
  <c r="E94" i="1"/>
  <c r="D94" i="1"/>
  <c r="C94" i="1"/>
  <c r="I94" i="1" s="1"/>
  <c r="B94" i="1"/>
  <c r="I93" i="1"/>
  <c r="G93" i="1"/>
  <c r="F93" i="1"/>
  <c r="E93" i="1"/>
  <c r="D93" i="1"/>
  <c r="C93" i="1"/>
  <c r="B93" i="1"/>
  <c r="G92" i="1"/>
  <c r="F92" i="1"/>
  <c r="E92" i="1"/>
  <c r="D92" i="1"/>
  <c r="C92" i="1"/>
  <c r="B92" i="1"/>
  <c r="I92" i="1" s="1"/>
  <c r="G91" i="1"/>
  <c r="F91" i="1"/>
  <c r="E91" i="1"/>
  <c r="D91" i="1"/>
  <c r="C91" i="1"/>
  <c r="B91" i="1"/>
  <c r="I91" i="1" s="1"/>
  <c r="G90" i="1"/>
  <c r="F90" i="1"/>
  <c r="E90" i="1"/>
  <c r="D90" i="1"/>
  <c r="C90" i="1"/>
  <c r="I90" i="1" s="1"/>
  <c r="B90" i="1"/>
  <c r="I89" i="1"/>
  <c r="H89" i="1"/>
  <c r="K89" i="1" s="1"/>
  <c r="G89" i="1"/>
  <c r="F89" i="1"/>
  <c r="E89" i="1"/>
  <c r="D89" i="1"/>
  <c r="C89" i="1"/>
  <c r="B89" i="1"/>
  <c r="I88" i="1"/>
  <c r="G88" i="1"/>
  <c r="F88" i="1"/>
  <c r="E88" i="1"/>
  <c r="D88" i="1"/>
  <c r="C88" i="1"/>
  <c r="B88" i="1"/>
  <c r="G87" i="1"/>
  <c r="F87" i="1"/>
  <c r="E87" i="1"/>
  <c r="D87" i="1"/>
  <c r="C87" i="1"/>
  <c r="B87" i="1"/>
  <c r="I87" i="1" s="1"/>
  <c r="H86" i="1"/>
  <c r="K86" i="1" s="1"/>
  <c r="G86" i="1"/>
  <c r="F86" i="1"/>
  <c r="E86" i="1"/>
  <c r="D86" i="1"/>
  <c r="C86" i="1"/>
  <c r="I86" i="1" s="1"/>
  <c r="B86" i="1"/>
  <c r="I85" i="1"/>
  <c r="G85" i="1"/>
  <c r="F85" i="1"/>
  <c r="E85" i="1"/>
  <c r="D85" i="1"/>
  <c r="C85" i="1"/>
  <c r="B85" i="1"/>
  <c r="G84" i="1"/>
  <c r="F84" i="1"/>
  <c r="E84" i="1"/>
  <c r="D84" i="1"/>
  <c r="C84" i="1"/>
  <c r="B84" i="1"/>
  <c r="I84" i="1" s="1"/>
  <c r="G83" i="1"/>
  <c r="F83" i="1"/>
  <c r="E83" i="1"/>
  <c r="D83" i="1"/>
  <c r="C83" i="1"/>
  <c r="B83" i="1"/>
  <c r="I83" i="1" s="1"/>
  <c r="G82" i="1"/>
  <c r="F82" i="1"/>
  <c r="E82" i="1"/>
  <c r="D82" i="1"/>
  <c r="C82" i="1"/>
  <c r="I82" i="1" s="1"/>
  <c r="B82" i="1"/>
  <c r="I81" i="1"/>
  <c r="H81" i="1"/>
  <c r="K81" i="1" s="1"/>
  <c r="G81" i="1"/>
  <c r="F81" i="1"/>
  <c r="E81" i="1"/>
  <c r="D81" i="1"/>
  <c r="C81" i="1"/>
  <c r="B81" i="1"/>
  <c r="I80" i="1"/>
  <c r="G80" i="1"/>
  <c r="F80" i="1"/>
  <c r="E80" i="1"/>
  <c r="D80" i="1"/>
  <c r="C80" i="1"/>
  <c r="B80" i="1"/>
  <c r="G79" i="1"/>
  <c r="F79" i="1"/>
  <c r="E79" i="1"/>
  <c r="D79" i="1"/>
  <c r="C79" i="1"/>
  <c r="B79" i="1"/>
  <c r="I79" i="1" s="1"/>
  <c r="H78" i="1"/>
  <c r="K78" i="1" s="1"/>
  <c r="G78" i="1"/>
  <c r="F78" i="1"/>
  <c r="E78" i="1"/>
  <c r="D78" i="1"/>
  <c r="C78" i="1"/>
  <c r="I78" i="1" s="1"/>
  <c r="B78" i="1"/>
  <c r="I77" i="1"/>
  <c r="G77" i="1"/>
  <c r="F77" i="1"/>
  <c r="E77" i="1"/>
  <c r="D77" i="1"/>
  <c r="C77" i="1"/>
  <c r="B77" i="1"/>
  <c r="G76" i="1"/>
  <c r="F76" i="1"/>
  <c r="E76" i="1"/>
  <c r="D76" i="1"/>
  <c r="C76" i="1"/>
  <c r="B76" i="1"/>
  <c r="I76" i="1" s="1"/>
  <c r="G75" i="1"/>
  <c r="F75" i="1"/>
  <c r="E75" i="1"/>
  <c r="D75" i="1"/>
  <c r="C75" i="1"/>
  <c r="B75" i="1"/>
  <c r="I75" i="1" s="1"/>
  <c r="G74" i="1"/>
  <c r="F74" i="1"/>
  <c r="E74" i="1"/>
  <c r="D74" i="1"/>
  <c r="C74" i="1"/>
  <c r="I74" i="1" s="1"/>
  <c r="B74" i="1"/>
  <c r="I73" i="1"/>
  <c r="H73" i="1"/>
  <c r="K73" i="1" s="1"/>
  <c r="G73" i="1"/>
  <c r="F73" i="1"/>
  <c r="E73" i="1"/>
  <c r="D73" i="1"/>
  <c r="C73" i="1"/>
  <c r="B73" i="1"/>
  <c r="I72" i="1"/>
  <c r="G72" i="1"/>
  <c r="F72" i="1"/>
  <c r="E72" i="1"/>
  <c r="D72" i="1"/>
  <c r="C72" i="1"/>
  <c r="B72" i="1"/>
  <c r="G71" i="1"/>
  <c r="F71" i="1"/>
  <c r="E71" i="1"/>
  <c r="D71" i="1"/>
  <c r="C71" i="1"/>
  <c r="B71" i="1"/>
  <c r="I71" i="1" s="1"/>
  <c r="H70" i="1"/>
  <c r="K70" i="1" s="1"/>
  <c r="G70" i="1"/>
  <c r="F70" i="1"/>
  <c r="E70" i="1"/>
  <c r="D70" i="1"/>
  <c r="C70" i="1"/>
  <c r="I70" i="1" s="1"/>
  <c r="B70" i="1"/>
  <c r="I69" i="1"/>
  <c r="G69" i="1"/>
  <c r="F69" i="1"/>
  <c r="E69" i="1"/>
  <c r="D69" i="1"/>
  <c r="C69" i="1"/>
  <c r="B69" i="1"/>
  <c r="G68" i="1"/>
  <c r="F68" i="1"/>
  <c r="E68" i="1"/>
  <c r="D68" i="1"/>
  <c r="C68" i="1"/>
  <c r="B68" i="1"/>
  <c r="I68" i="1" s="1"/>
  <c r="G67" i="1"/>
  <c r="F67" i="1"/>
  <c r="E67" i="1"/>
  <c r="D67" i="1"/>
  <c r="C67" i="1"/>
  <c r="B67" i="1"/>
  <c r="I67" i="1" s="1"/>
  <c r="G66" i="1"/>
  <c r="F66" i="1"/>
  <c r="E66" i="1"/>
  <c r="D66" i="1"/>
  <c r="C66" i="1"/>
  <c r="I66" i="1" s="1"/>
  <c r="B66" i="1"/>
  <c r="I65" i="1"/>
  <c r="H65" i="1"/>
  <c r="K65" i="1" s="1"/>
  <c r="G65" i="1"/>
  <c r="F65" i="1"/>
  <c r="E65" i="1"/>
  <c r="D65" i="1"/>
  <c r="C65" i="1"/>
  <c r="B65" i="1"/>
  <c r="I64" i="1"/>
  <c r="G64" i="1"/>
  <c r="F64" i="1"/>
  <c r="E64" i="1"/>
  <c r="D64" i="1"/>
  <c r="C64" i="1"/>
  <c r="B64" i="1"/>
  <c r="G63" i="1"/>
  <c r="F63" i="1"/>
  <c r="E63" i="1"/>
  <c r="D63" i="1"/>
  <c r="C63" i="1"/>
  <c r="B63" i="1"/>
  <c r="I63" i="1" s="1"/>
  <c r="H62" i="1"/>
  <c r="K62" i="1" s="1"/>
  <c r="G62" i="1"/>
  <c r="F62" i="1"/>
  <c r="E62" i="1"/>
  <c r="D62" i="1"/>
  <c r="C62" i="1"/>
  <c r="I62" i="1" s="1"/>
  <c r="B62" i="1"/>
  <c r="I61" i="1"/>
  <c r="G61" i="1"/>
  <c r="F61" i="1"/>
  <c r="E61" i="1"/>
  <c r="D61" i="1"/>
  <c r="C61" i="1"/>
  <c r="B61" i="1"/>
  <c r="G60" i="1"/>
  <c r="F60" i="1"/>
  <c r="E60" i="1"/>
  <c r="D60" i="1"/>
  <c r="C60" i="1"/>
  <c r="B60" i="1"/>
  <c r="I60" i="1" s="1"/>
  <c r="G59" i="1"/>
  <c r="F59" i="1"/>
  <c r="E59" i="1"/>
  <c r="D59" i="1"/>
  <c r="C59" i="1"/>
  <c r="B59" i="1"/>
  <c r="I59" i="1" s="1"/>
  <c r="G58" i="1"/>
  <c r="F58" i="1"/>
  <c r="E58" i="1"/>
  <c r="D58" i="1"/>
  <c r="C58" i="1"/>
  <c r="I58" i="1" s="1"/>
  <c r="B58" i="1"/>
  <c r="I57" i="1"/>
  <c r="H57" i="1"/>
  <c r="K57" i="1" s="1"/>
  <c r="G57" i="1"/>
  <c r="F57" i="1"/>
  <c r="E57" i="1"/>
  <c r="D57" i="1"/>
  <c r="C57" i="1"/>
  <c r="B57" i="1"/>
  <c r="I56" i="1"/>
  <c r="G56" i="1"/>
  <c r="F56" i="1"/>
  <c r="E56" i="1"/>
  <c r="D56" i="1"/>
  <c r="C56" i="1"/>
  <c r="B56" i="1"/>
  <c r="G55" i="1"/>
  <c r="F55" i="1"/>
  <c r="E55" i="1"/>
  <c r="D55" i="1"/>
  <c r="C55" i="1"/>
  <c r="B55" i="1"/>
  <c r="I55" i="1" s="1"/>
  <c r="H54" i="1"/>
  <c r="K54" i="1" s="1"/>
  <c r="G54" i="1"/>
  <c r="F54" i="1"/>
  <c r="E54" i="1"/>
  <c r="D54" i="1"/>
  <c r="C54" i="1"/>
  <c r="I54" i="1" s="1"/>
  <c r="B54" i="1"/>
  <c r="I53" i="1"/>
  <c r="G53" i="1"/>
  <c r="F53" i="1"/>
  <c r="E53" i="1"/>
  <c r="D53" i="1"/>
  <c r="C53" i="1"/>
  <c r="B53" i="1"/>
  <c r="G52" i="1"/>
  <c r="F52" i="1"/>
  <c r="E52" i="1"/>
  <c r="D52" i="1"/>
  <c r="C52" i="1"/>
  <c r="B52" i="1"/>
  <c r="I52" i="1" s="1"/>
  <c r="G51" i="1"/>
  <c r="F51" i="1"/>
  <c r="E51" i="1"/>
  <c r="D51" i="1"/>
  <c r="C51" i="1"/>
  <c r="B51" i="1"/>
  <c r="I51" i="1" s="1"/>
  <c r="G50" i="1"/>
  <c r="F50" i="1"/>
  <c r="E50" i="1"/>
  <c r="D50" i="1"/>
  <c r="C50" i="1"/>
  <c r="I50" i="1" s="1"/>
  <c r="B50" i="1"/>
  <c r="I49" i="1"/>
  <c r="H49" i="1"/>
  <c r="K49" i="1" s="1"/>
  <c r="G49" i="1"/>
  <c r="F49" i="1"/>
  <c r="E49" i="1"/>
  <c r="D49" i="1"/>
  <c r="C49" i="1"/>
  <c r="B49" i="1"/>
  <c r="I48" i="1"/>
  <c r="G48" i="1"/>
  <c r="F48" i="1"/>
  <c r="E48" i="1"/>
  <c r="D48" i="1"/>
  <c r="C48" i="1"/>
  <c r="B48" i="1"/>
  <c r="G47" i="1"/>
  <c r="F47" i="1"/>
  <c r="E47" i="1"/>
  <c r="D47" i="1"/>
  <c r="C47" i="1"/>
  <c r="B47" i="1"/>
  <c r="I47" i="1" s="1"/>
  <c r="H46" i="1"/>
  <c r="K46" i="1" s="1"/>
  <c r="G46" i="1"/>
  <c r="F46" i="1"/>
  <c r="E46" i="1"/>
  <c r="D46" i="1"/>
  <c r="C46" i="1"/>
  <c r="I46" i="1" s="1"/>
  <c r="B46" i="1"/>
  <c r="I45" i="1"/>
  <c r="G45" i="1"/>
  <c r="F45" i="1"/>
  <c r="E45" i="1"/>
  <c r="D45" i="1"/>
  <c r="C45" i="1"/>
  <c r="B45" i="1"/>
  <c r="G44" i="1"/>
  <c r="F44" i="1"/>
  <c r="E44" i="1"/>
  <c r="D44" i="1"/>
  <c r="C44" i="1"/>
  <c r="B44" i="1"/>
  <c r="I44" i="1" s="1"/>
  <c r="G43" i="1"/>
  <c r="F43" i="1"/>
  <c r="E43" i="1"/>
  <c r="D43" i="1"/>
  <c r="C43" i="1"/>
  <c r="B43" i="1"/>
  <c r="I43" i="1" s="1"/>
  <c r="G42" i="1"/>
  <c r="F42" i="1"/>
  <c r="E42" i="1"/>
  <c r="D42" i="1"/>
  <c r="C42" i="1"/>
  <c r="I42" i="1" s="1"/>
  <c r="B42" i="1"/>
  <c r="I41" i="1"/>
  <c r="H41" i="1"/>
  <c r="K41" i="1" s="1"/>
  <c r="G41" i="1"/>
  <c r="F41" i="1"/>
  <c r="E41" i="1"/>
  <c r="D41" i="1"/>
  <c r="C41" i="1"/>
  <c r="B41" i="1"/>
  <c r="I40" i="1"/>
  <c r="G40" i="1"/>
  <c r="F40" i="1"/>
  <c r="E40" i="1"/>
  <c r="D40" i="1"/>
  <c r="C40" i="1"/>
  <c r="B40" i="1"/>
  <c r="G39" i="1"/>
  <c r="F39" i="1"/>
  <c r="E39" i="1"/>
  <c r="D39" i="1"/>
  <c r="C39" i="1"/>
  <c r="B39" i="1"/>
  <c r="I39" i="1" s="1"/>
  <c r="H38" i="1"/>
  <c r="K38" i="1" s="1"/>
  <c r="G38" i="1"/>
  <c r="F38" i="1"/>
  <c r="E38" i="1"/>
  <c r="D38" i="1"/>
  <c r="C38" i="1"/>
  <c r="I38" i="1" s="1"/>
  <c r="B38" i="1"/>
  <c r="I37" i="1"/>
  <c r="G37" i="1"/>
  <c r="F37" i="1"/>
  <c r="E37" i="1"/>
  <c r="D37" i="1"/>
  <c r="C37" i="1"/>
  <c r="B37" i="1"/>
  <c r="G36" i="1"/>
  <c r="F36" i="1"/>
  <c r="E36" i="1"/>
  <c r="D36" i="1"/>
  <c r="C36" i="1"/>
  <c r="B36" i="1"/>
  <c r="I36" i="1" s="1"/>
  <c r="G35" i="1"/>
  <c r="F35" i="1"/>
  <c r="E35" i="1"/>
  <c r="D35" i="1"/>
  <c r="C35" i="1"/>
  <c r="B35" i="1"/>
  <c r="I35" i="1" s="1"/>
  <c r="G34" i="1"/>
  <c r="F34" i="1"/>
  <c r="E34" i="1"/>
  <c r="D34" i="1"/>
  <c r="C34" i="1"/>
  <c r="I34" i="1" s="1"/>
  <c r="B34" i="1"/>
  <c r="I33" i="1"/>
  <c r="H33" i="1"/>
  <c r="K33" i="1" s="1"/>
  <c r="G33" i="1"/>
  <c r="F33" i="1"/>
  <c r="E33" i="1"/>
  <c r="D33" i="1"/>
  <c r="C33" i="1"/>
  <c r="B33" i="1"/>
  <c r="I32" i="1"/>
  <c r="G32" i="1"/>
  <c r="F32" i="1"/>
  <c r="E32" i="1"/>
  <c r="D32" i="1"/>
  <c r="C32" i="1"/>
  <c r="B32" i="1"/>
  <c r="G31" i="1"/>
  <c r="F31" i="1"/>
  <c r="E31" i="1"/>
  <c r="D31" i="1"/>
  <c r="C31" i="1"/>
  <c r="B31" i="1"/>
  <c r="I31" i="1" s="1"/>
  <c r="H30" i="1"/>
  <c r="K30" i="1" s="1"/>
  <c r="G30" i="1"/>
  <c r="F30" i="1"/>
  <c r="E30" i="1"/>
  <c r="D30" i="1"/>
  <c r="C30" i="1"/>
  <c r="I30" i="1" s="1"/>
  <c r="B30" i="1"/>
  <c r="I29" i="1"/>
  <c r="G29" i="1"/>
  <c r="F29" i="1"/>
  <c r="E29" i="1"/>
  <c r="D29" i="1"/>
  <c r="C29" i="1"/>
  <c r="B29" i="1"/>
  <c r="G28" i="1"/>
  <c r="F28" i="1"/>
  <c r="E28" i="1"/>
  <c r="D28" i="1"/>
  <c r="C28" i="1"/>
  <c r="B28" i="1"/>
  <c r="I28" i="1" s="1"/>
  <c r="G27" i="1"/>
  <c r="F27" i="1"/>
  <c r="E27" i="1"/>
  <c r="D27" i="1"/>
  <c r="C27" i="1"/>
  <c r="B27" i="1"/>
  <c r="I27" i="1" s="1"/>
  <c r="H26" i="1"/>
  <c r="K26" i="1" s="1"/>
  <c r="G26" i="1"/>
  <c r="F26" i="1"/>
  <c r="E26" i="1"/>
  <c r="D26" i="1"/>
  <c r="C26" i="1"/>
  <c r="I26" i="1" s="1"/>
  <c r="B26" i="1"/>
  <c r="I25" i="1"/>
  <c r="H25" i="1"/>
  <c r="K25" i="1" s="1"/>
  <c r="F25" i="1"/>
  <c r="E25" i="1"/>
  <c r="D25" i="1"/>
  <c r="C25" i="1"/>
  <c r="B25" i="1"/>
  <c r="K24" i="1"/>
  <c r="I24" i="1"/>
  <c r="H24" i="1"/>
  <c r="F24" i="1"/>
  <c r="E24" i="1"/>
  <c r="D24" i="1"/>
  <c r="C24" i="1"/>
  <c r="B24" i="1"/>
  <c r="K23" i="1"/>
  <c r="H23" i="1"/>
  <c r="G23" i="1"/>
  <c r="F23" i="1"/>
  <c r="E23" i="1"/>
  <c r="D23" i="1"/>
  <c r="C23" i="1"/>
  <c r="B23" i="1"/>
  <c r="I23" i="1" s="1"/>
  <c r="H22" i="1"/>
  <c r="K22" i="1" s="1"/>
  <c r="F22" i="1"/>
  <c r="E22" i="1"/>
  <c r="D22" i="1"/>
  <c r="C22" i="1"/>
  <c r="I22" i="1" s="1"/>
  <c r="B22" i="1"/>
  <c r="K21" i="1"/>
  <c r="I21" i="1"/>
  <c r="H21" i="1"/>
  <c r="F21" i="1"/>
  <c r="E21" i="1"/>
  <c r="D21" i="1"/>
  <c r="C21" i="1"/>
  <c r="B21" i="1"/>
  <c r="K20" i="1"/>
  <c r="H20" i="1"/>
  <c r="F20" i="1"/>
  <c r="E20" i="1"/>
  <c r="D20" i="1"/>
  <c r="C20" i="1"/>
  <c r="B20" i="1"/>
  <c r="I20" i="1" s="1"/>
  <c r="K19" i="1"/>
  <c r="H19" i="1"/>
  <c r="F19" i="1"/>
  <c r="E19" i="1"/>
  <c r="D19" i="1"/>
  <c r="C19" i="1"/>
  <c r="B19" i="1"/>
  <c r="I19" i="1" s="1"/>
  <c r="H18" i="1"/>
  <c r="K18" i="1" s="1"/>
  <c r="G18" i="1"/>
  <c r="F18" i="1"/>
  <c r="E18" i="1"/>
  <c r="D18" i="1"/>
  <c r="C18" i="1"/>
  <c r="I18" i="1" s="1"/>
  <c r="B18" i="1"/>
  <c r="I17" i="1"/>
  <c r="H17" i="1"/>
  <c r="K17" i="1" s="1"/>
  <c r="F17" i="1"/>
  <c r="E17" i="1"/>
  <c r="D17" i="1"/>
  <c r="C17" i="1"/>
  <c r="B17" i="1"/>
  <c r="K16" i="1"/>
  <c r="I16" i="1"/>
  <c r="H16" i="1"/>
  <c r="F16" i="1"/>
  <c r="E16" i="1"/>
  <c r="D16" i="1"/>
  <c r="C16" i="1"/>
  <c r="B16" i="1"/>
  <c r="K15" i="1"/>
  <c r="H15" i="1"/>
  <c r="G15" i="1"/>
  <c r="F15" i="1"/>
  <c r="E15" i="1"/>
  <c r="D15" i="1"/>
  <c r="C15" i="1"/>
  <c r="B15" i="1"/>
  <c r="I15" i="1" s="1"/>
  <c r="H14" i="1"/>
  <c r="K14" i="1" s="1"/>
  <c r="F14" i="1"/>
  <c r="E14" i="1"/>
  <c r="D14" i="1"/>
  <c r="C14" i="1"/>
  <c r="I14" i="1" s="1"/>
  <c r="B14" i="1"/>
  <c r="K13" i="1"/>
  <c r="I13" i="1"/>
  <c r="H13" i="1"/>
  <c r="F13" i="1"/>
  <c r="E13" i="1"/>
  <c r="D13" i="1"/>
  <c r="C13" i="1"/>
  <c r="B13" i="1"/>
  <c r="K12" i="1"/>
  <c r="H12" i="1"/>
  <c r="F12" i="1"/>
  <c r="E12" i="1"/>
  <c r="D12" i="1"/>
  <c r="C12" i="1"/>
  <c r="B12" i="1"/>
  <c r="I12" i="1" s="1"/>
  <c r="K11" i="1"/>
  <c r="H11" i="1"/>
  <c r="F11" i="1"/>
  <c r="E11" i="1"/>
  <c r="D11" i="1"/>
  <c r="C11" i="1"/>
  <c r="B11" i="1"/>
  <c r="I11" i="1" s="1"/>
  <c r="H10" i="1"/>
  <c r="K10" i="1" s="1"/>
  <c r="G10" i="1"/>
  <c r="F10" i="1"/>
  <c r="E10" i="1"/>
  <c r="D10" i="1"/>
  <c r="C10" i="1"/>
  <c r="I10" i="1" s="1"/>
  <c r="B10" i="1"/>
  <c r="I9" i="1"/>
  <c r="H9" i="1"/>
  <c r="K9" i="1" s="1"/>
  <c r="F9" i="1"/>
  <c r="E9" i="1"/>
  <c r="D9" i="1"/>
  <c r="C9" i="1"/>
  <c r="B9" i="1"/>
  <c r="K8" i="1"/>
  <c r="I8" i="1"/>
  <c r="H8" i="1"/>
  <c r="F8" i="1"/>
  <c r="E8" i="1"/>
  <c r="D8" i="1"/>
  <c r="C8" i="1"/>
  <c r="B8" i="1"/>
  <c r="H7" i="1"/>
  <c r="F7" i="1"/>
  <c r="E7" i="1"/>
  <c r="D7" i="1"/>
  <c r="C7" i="1"/>
  <c r="B7" i="1"/>
  <c r="I333" i="1" l="1"/>
  <c r="G8" i="1"/>
  <c r="G16" i="1"/>
  <c r="G24" i="1"/>
  <c r="H39" i="1"/>
  <c r="K39" i="1" s="1"/>
  <c r="H47" i="1"/>
  <c r="K47" i="1" s="1"/>
  <c r="H55" i="1"/>
  <c r="K55" i="1" s="1"/>
  <c r="H71" i="1"/>
  <c r="K71" i="1" s="1"/>
  <c r="H87" i="1"/>
  <c r="K87" i="1" s="1"/>
  <c r="H95" i="1"/>
  <c r="K95" i="1" s="1"/>
  <c r="H119" i="1"/>
  <c r="K119" i="1" s="1"/>
  <c r="H127" i="1"/>
  <c r="K127" i="1" s="1"/>
  <c r="G7" i="1"/>
  <c r="G9" i="1"/>
  <c r="G17" i="1"/>
  <c r="G25" i="1"/>
  <c r="H32" i="1"/>
  <c r="K32" i="1" s="1"/>
  <c r="H40" i="1"/>
  <c r="K40" i="1" s="1"/>
  <c r="H48" i="1"/>
  <c r="K48" i="1" s="1"/>
  <c r="H56" i="1"/>
  <c r="K56" i="1" s="1"/>
  <c r="H64" i="1"/>
  <c r="K64" i="1" s="1"/>
  <c r="H72" i="1"/>
  <c r="K72" i="1" s="1"/>
  <c r="H80" i="1"/>
  <c r="K80" i="1" s="1"/>
  <c r="H88" i="1"/>
  <c r="K88" i="1" s="1"/>
  <c r="H96" i="1"/>
  <c r="K96" i="1" s="1"/>
  <c r="H104" i="1"/>
  <c r="K104" i="1" s="1"/>
  <c r="H112" i="1"/>
  <c r="K112" i="1" s="1"/>
  <c r="H120" i="1"/>
  <c r="K120" i="1" s="1"/>
  <c r="H128" i="1"/>
  <c r="K128" i="1" s="1"/>
  <c r="H136" i="1"/>
  <c r="K136" i="1" s="1"/>
  <c r="C149" i="1"/>
  <c r="I149" i="1" s="1"/>
  <c r="C157" i="1"/>
  <c r="I157" i="1" s="1"/>
  <c r="C165" i="1"/>
  <c r="I165" i="1" s="1"/>
  <c r="C173" i="1"/>
  <c r="I173" i="1" s="1"/>
  <c r="C181" i="1"/>
  <c r="I181" i="1" s="1"/>
  <c r="C189" i="1"/>
  <c r="I189" i="1" s="1"/>
  <c r="C197" i="1"/>
  <c r="I197" i="1" s="1"/>
  <c r="C205" i="1"/>
  <c r="I205" i="1" s="1"/>
  <c r="C213" i="1"/>
  <c r="I213" i="1" s="1"/>
  <c r="C221" i="1"/>
  <c r="I221" i="1" s="1"/>
  <c r="C229" i="1"/>
  <c r="I229" i="1" s="1"/>
  <c r="C237" i="1"/>
  <c r="I237" i="1" s="1"/>
  <c r="C245" i="1"/>
  <c r="I245" i="1" s="1"/>
  <c r="C253" i="1"/>
  <c r="I253" i="1" s="1"/>
  <c r="B262" i="1"/>
  <c r="I262" i="1" s="1"/>
  <c r="I298" i="1"/>
  <c r="D316" i="1"/>
  <c r="I330" i="1"/>
  <c r="D348" i="1"/>
  <c r="I386" i="1"/>
  <c r="H42" i="1"/>
  <c r="K42" i="1" s="1"/>
  <c r="H58" i="1"/>
  <c r="K58" i="1" s="1"/>
  <c r="H130" i="1"/>
  <c r="K130" i="1" s="1"/>
  <c r="G11" i="1"/>
  <c r="H114" i="1"/>
  <c r="K114" i="1" s="1"/>
  <c r="G20" i="1"/>
  <c r="H27" i="1"/>
  <c r="K27" i="1" s="1"/>
  <c r="K143" i="1" s="1"/>
  <c r="H35" i="1"/>
  <c r="K35" i="1" s="1"/>
  <c r="H43" i="1"/>
  <c r="K43" i="1" s="1"/>
  <c r="H51" i="1"/>
  <c r="K51" i="1" s="1"/>
  <c r="H59" i="1"/>
  <c r="K59" i="1" s="1"/>
  <c r="H67" i="1"/>
  <c r="K67" i="1" s="1"/>
  <c r="H75" i="1"/>
  <c r="K75" i="1" s="1"/>
  <c r="H83" i="1"/>
  <c r="K83" i="1" s="1"/>
  <c r="H91" i="1"/>
  <c r="K91" i="1" s="1"/>
  <c r="H99" i="1"/>
  <c r="K99" i="1" s="1"/>
  <c r="H107" i="1"/>
  <c r="K107" i="1" s="1"/>
  <c r="H115" i="1"/>
  <c r="K115" i="1" s="1"/>
  <c r="H123" i="1"/>
  <c r="K123" i="1" s="1"/>
  <c r="H131" i="1"/>
  <c r="K131" i="1" s="1"/>
  <c r="H139" i="1"/>
  <c r="K139" i="1" s="1"/>
  <c r="H152" i="1"/>
  <c r="K152" i="1" s="1"/>
  <c r="K447" i="1" s="1"/>
  <c r="K448" i="1" s="1"/>
  <c r="H160" i="1"/>
  <c r="K160" i="1" s="1"/>
  <c r="H168" i="1"/>
  <c r="K168" i="1" s="1"/>
  <c r="H176" i="1"/>
  <c r="K176" i="1" s="1"/>
  <c r="H184" i="1"/>
  <c r="K184" i="1" s="1"/>
  <c r="H192" i="1"/>
  <c r="K192" i="1" s="1"/>
  <c r="H200" i="1"/>
  <c r="K200" i="1" s="1"/>
  <c r="H208" i="1"/>
  <c r="K208" i="1" s="1"/>
  <c r="H216" i="1"/>
  <c r="K216" i="1" s="1"/>
  <c r="H224" i="1"/>
  <c r="K224" i="1" s="1"/>
  <c r="H232" i="1"/>
  <c r="K232" i="1" s="1"/>
  <c r="H240" i="1"/>
  <c r="K240" i="1" s="1"/>
  <c r="H248" i="1"/>
  <c r="K248" i="1" s="1"/>
  <c r="H256" i="1"/>
  <c r="K256" i="1" s="1"/>
  <c r="A264" i="1"/>
  <c r="D268" i="1"/>
  <c r="B270" i="1"/>
  <c r="I270" i="1" s="1"/>
  <c r="E299" i="1"/>
  <c r="B302" i="1"/>
  <c r="I302" i="1" s="1"/>
  <c r="H304" i="1"/>
  <c r="K304" i="1" s="1"/>
  <c r="G19" i="1"/>
  <c r="H34" i="1"/>
  <c r="K34" i="1" s="1"/>
  <c r="H50" i="1"/>
  <c r="K50" i="1" s="1"/>
  <c r="H66" i="1"/>
  <c r="K66" i="1" s="1"/>
  <c r="H74" i="1"/>
  <c r="K74" i="1" s="1"/>
  <c r="H82" i="1"/>
  <c r="K82" i="1" s="1"/>
  <c r="H90" i="1"/>
  <c r="K90" i="1" s="1"/>
  <c r="H98" i="1"/>
  <c r="K98" i="1" s="1"/>
  <c r="H106" i="1"/>
  <c r="K106" i="1" s="1"/>
  <c r="H122" i="1"/>
  <c r="K122" i="1" s="1"/>
  <c r="H138" i="1"/>
  <c r="K138" i="1" s="1"/>
  <c r="G12" i="1"/>
  <c r="G13" i="1"/>
  <c r="G21" i="1"/>
  <c r="H28" i="1"/>
  <c r="K28" i="1" s="1"/>
  <c r="H36" i="1"/>
  <c r="K36" i="1" s="1"/>
  <c r="H44" i="1"/>
  <c r="K44" i="1" s="1"/>
  <c r="H52" i="1"/>
  <c r="K52" i="1" s="1"/>
  <c r="H60" i="1"/>
  <c r="K60" i="1" s="1"/>
  <c r="H68" i="1"/>
  <c r="K68" i="1" s="1"/>
  <c r="H76" i="1"/>
  <c r="K76" i="1" s="1"/>
  <c r="H84" i="1"/>
  <c r="K84" i="1" s="1"/>
  <c r="H92" i="1"/>
  <c r="K92" i="1" s="1"/>
  <c r="H100" i="1"/>
  <c r="K100" i="1" s="1"/>
  <c r="H108" i="1"/>
  <c r="K108" i="1" s="1"/>
  <c r="H116" i="1"/>
  <c r="K116" i="1" s="1"/>
  <c r="H124" i="1"/>
  <c r="K124" i="1" s="1"/>
  <c r="H132" i="1"/>
  <c r="K132" i="1" s="1"/>
  <c r="H140" i="1"/>
  <c r="K140" i="1" s="1"/>
  <c r="A152" i="1"/>
  <c r="G153" i="1"/>
  <c r="A160" i="1"/>
  <c r="G161" i="1"/>
  <c r="A168" i="1"/>
  <c r="G169" i="1"/>
  <c r="A176" i="1"/>
  <c r="G177" i="1"/>
  <c r="A184" i="1"/>
  <c r="G185" i="1"/>
  <c r="A192" i="1"/>
  <c r="G193" i="1"/>
  <c r="A200" i="1"/>
  <c r="G201" i="1"/>
  <c r="A208" i="1"/>
  <c r="G209" i="1"/>
  <c r="A216" i="1"/>
  <c r="G217" i="1"/>
  <c r="A224" i="1"/>
  <c r="G225" i="1"/>
  <c r="A232" i="1"/>
  <c r="G233" i="1"/>
  <c r="A240" i="1"/>
  <c r="G241" i="1"/>
  <c r="A248" i="1"/>
  <c r="G249" i="1"/>
  <c r="A256" i="1"/>
  <c r="G257" i="1"/>
  <c r="H272" i="1"/>
  <c r="K272" i="1" s="1"/>
  <c r="G273" i="1"/>
  <c r="E275" i="1"/>
  <c r="D300" i="1"/>
  <c r="I314" i="1"/>
  <c r="I346" i="1"/>
  <c r="G14" i="1"/>
  <c r="G22" i="1"/>
  <c r="H29" i="1"/>
  <c r="K29" i="1" s="1"/>
  <c r="H37" i="1"/>
  <c r="K37" i="1" s="1"/>
  <c r="H45" i="1"/>
  <c r="K45" i="1" s="1"/>
  <c r="H53" i="1"/>
  <c r="K53" i="1" s="1"/>
  <c r="H61" i="1"/>
  <c r="K61" i="1" s="1"/>
  <c r="H69" i="1"/>
  <c r="K69" i="1" s="1"/>
  <c r="H77" i="1"/>
  <c r="K77" i="1" s="1"/>
  <c r="H85" i="1"/>
  <c r="K85" i="1" s="1"/>
  <c r="H93" i="1"/>
  <c r="K93" i="1" s="1"/>
  <c r="H101" i="1"/>
  <c r="K101" i="1" s="1"/>
  <c r="H109" i="1"/>
  <c r="K109" i="1" s="1"/>
  <c r="H117" i="1"/>
  <c r="K117" i="1" s="1"/>
  <c r="H125" i="1"/>
  <c r="K125" i="1" s="1"/>
  <c r="H133" i="1"/>
  <c r="K133" i="1" s="1"/>
  <c r="H141" i="1"/>
  <c r="K141" i="1" s="1"/>
  <c r="F146" i="1"/>
  <c r="F154" i="1"/>
  <c r="F162" i="1"/>
  <c r="F170" i="1"/>
  <c r="F178" i="1"/>
  <c r="F186" i="1"/>
  <c r="F194" i="1"/>
  <c r="F202" i="1"/>
  <c r="F210" i="1"/>
  <c r="F218" i="1"/>
  <c r="F226" i="1"/>
  <c r="F234" i="1"/>
  <c r="F242" i="1"/>
  <c r="F250" i="1"/>
  <c r="F258" i="1"/>
  <c r="A272" i="1"/>
  <c r="D276" i="1"/>
  <c r="B278" i="1"/>
  <c r="I278" i="1" s="1"/>
  <c r="E291" i="1"/>
  <c r="B294" i="1"/>
  <c r="I294" i="1" s="1"/>
  <c r="H296" i="1"/>
  <c r="K296" i="1" s="1"/>
  <c r="I326" i="1"/>
  <c r="I358" i="1"/>
  <c r="I378" i="1"/>
  <c r="I442" i="1"/>
  <c r="F264" i="4"/>
  <c r="F266" i="1"/>
  <c r="C267" i="4"/>
  <c r="C269" i="1"/>
  <c r="I269" i="1" s="1"/>
  <c r="F272" i="4"/>
  <c r="F274" i="1"/>
  <c r="C275" i="4"/>
  <c r="C277" i="1"/>
  <c r="I277" i="1" s="1"/>
  <c r="F280" i="4"/>
  <c r="F282" i="1"/>
  <c r="C283" i="4"/>
  <c r="C285" i="1"/>
  <c r="I285" i="1" s="1"/>
  <c r="A286" i="4"/>
  <c r="A288" i="1"/>
  <c r="G287" i="4"/>
  <c r="G289" i="1"/>
  <c r="F288" i="4"/>
  <c r="F290" i="1"/>
  <c r="C291" i="4"/>
  <c r="C293" i="1"/>
  <c r="I293" i="1" s="1"/>
  <c r="A294" i="4"/>
  <c r="A296" i="1"/>
  <c r="G295" i="4"/>
  <c r="G297" i="1"/>
  <c r="F296" i="4"/>
  <c r="F298" i="1"/>
  <c r="C299" i="4"/>
  <c r="C301" i="1"/>
  <c r="I301" i="1" s="1"/>
  <c r="A302" i="4"/>
  <c r="A304" i="1"/>
  <c r="G303" i="4"/>
  <c r="G305" i="1"/>
  <c r="F304" i="4"/>
  <c r="F306" i="1"/>
  <c r="C307" i="4"/>
  <c r="C309" i="1"/>
  <c r="I309" i="1" s="1"/>
  <c r="A310" i="4"/>
  <c r="A312" i="1"/>
  <c r="G311" i="4"/>
  <c r="G313" i="1"/>
  <c r="F312" i="4"/>
  <c r="F314" i="1"/>
  <c r="C315" i="4"/>
  <c r="C317" i="1"/>
  <c r="I317" i="1" s="1"/>
  <c r="A318" i="4"/>
  <c r="A320" i="1"/>
  <c r="G319" i="4"/>
  <c r="G321" i="1"/>
  <c r="F320" i="4"/>
  <c r="F322" i="1"/>
  <c r="C323" i="4"/>
  <c r="C325" i="1"/>
  <c r="I325" i="1" s="1"/>
  <c r="A326" i="4"/>
  <c r="A328" i="1"/>
  <c r="G327" i="4"/>
  <c r="G329" i="1"/>
  <c r="F328" i="4"/>
  <c r="F330" i="1"/>
  <c r="C331" i="4"/>
  <c r="C333" i="1"/>
  <c r="A334" i="4"/>
  <c r="A336" i="1"/>
  <c r="G335" i="4"/>
  <c r="G337" i="1"/>
  <c r="F336" i="4"/>
  <c r="F338" i="1"/>
  <c r="C339" i="4"/>
  <c r="C341" i="1"/>
  <c r="I341" i="1" s="1"/>
  <c r="A342" i="4"/>
  <c r="A344" i="1"/>
  <c r="G343" i="4"/>
  <c r="G345" i="1"/>
  <c r="F344" i="4"/>
  <c r="F346" i="1"/>
  <c r="C347" i="4"/>
  <c r="C349" i="1"/>
  <c r="I349" i="1" s="1"/>
  <c r="A350" i="4"/>
  <c r="A352" i="1"/>
  <c r="G351" i="4"/>
  <c r="G353" i="1"/>
  <c r="F352" i="4"/>
  <c r="F354" i="1"/>
  <c r="C355" i="4"/>
  <c r="C357" i="1"/>
  <c r="I357" i="1" s="1"/>
  <c r="A358" i="4"/>
  <c r="A360" i="1"/>
  <c r="G359" i="4"/>
  <c r="G361" i="1"/>
  <c r="F360" i="4"/>
  <c r="F362" i="1"/>
  <c r="C363" i="4"/>
  <c r="C365" i="1"/>
  <c r="I365" i="1" s="1"/>
  <c r="B364" i="4"/>
  <c r="B366" i="1"/>
  <c r="I366" i="1" s="1"/>
  <c r="A366" i="4"/>
  <c r="A368" i="1"/>
  <c r="G367" i="4"/>
  <c r="G369" i="1"/>
  <c r="F368" i="4"/>
  <c r="F370" i="1"/>
  <c r="C371" i="4"/>
  <c r="C373" i="1"/>
  <c r="I373" i="1" s="1"/>
  <c r="B372" i="4"/>
  <c r="B374" i="1"/>
  <c r="I374" i="1" s="1"/>
  <c r="A374" i="4"/>
  <c r="A376" i="1"/>
  <c r="G375" i="4"/>
  <c r="G377" i="1"/>
  <c r="F376" i="4"/>
  <c r="F378" i="1"/>
  <c r="C379" i="4"/>
  <c r="C381" i="1"/>
  <c r="I381" i="1" s="1"/>
  <c r="B380" i="4"/>
  <c r="B382" i="1"/>
  <c r="I382" i="1" s="1"/>
  <c r="A382" i="4"/>
  <c r="A384" i="1"/>
  <c r="G383" i="4"/>
  <c r="G385" i="1"/>
  <c r="F384" i="4"/>
  <c r="F386" i="1"/>
  <c r="C387" i="4"/>
  <c r="C389" i="1"/>
  <c r="I389" i="1" s="1"/>
  <c r="B388" i="4"/>
  <c r="B390" i="1"/>
  <c r="I390" i="1" s="1"/>
  <c r="A390" i="4"/>
  <c r="A392" i="1"/>
  <c r="G391" i="4"/>
  <c r="G393" i="1"/>
  <c r="F392" i="4"/>
  <c r="F394" i="1"/>
  <c r="C395" i="4"/>
  <c r="C397" i="1"/>
  <c r="I397" i="1" s="1"/>
  <c r="B396" i="4"/>
  <c r="B398" i="1"/>
  <c r="I398" i="1" s="1"/>
  <c r="A398" i="4"/>
  <c r="A400" i="1"/>
  <c r="G399" i="4"/>
  <c r="G401" i="1"/>
  <c r="F400" i="4"/>
  <c r="F402" i="1"/>
  <c r="C403" i="4"/>
  <c r="C405" i="1"/>
  <c r="I405" i="1" s="1"/>
  <c r="B404" i="4"/>
  <c r="B406" i="1"/>
  <c r="I406" i="1" s="1"/>
  <c r="A406" i="4"/>
  <c r="A408" i="1"/>
  <c r="G407" i="4"/>
  <c r="G409" i="1"/>
  <c r="F408" i="4"/>
  <c r="F410" i="1"/>
  <c r="C411" i="4"/>
  <c r="C413" i="1"/>
  <c r="I413" i="1" s="1"/>
  <c r="B412" i="4"/>
  <c r="B414" i="1"/>
  <c r="I414" i="1" s="1"/>
  <c r="A414" i="4"/>
  <c r="A416" i="1"/>
  <c r="G415" i="4"/>
  <c r="G417" i="1"/>
  <c r="F416" i="4"/>
  <c r="F418" i="1"/>
  <c r="C419" i="4"/>
  <c r="C421" i="1"/>
  <c r="I421" i="1" s="1"/>
  <c r="B420" i="4"/>
  <c r="B422" i="1"/>
  <c r="I422" i="1" s="1"/>
  <c r="A422" i="4"/>
  <c r="A424" i="1"/>
  <c r="G423" i="4"/>
  <c r="G425" i="1"/>
  <c r="F424" i="4"/>
  <c r="F426" i="1"/>
  <c r="C427" i="4"/>
  <c r="C429" i="1"/>
  <c r="I429" i="1" s="1"/>
  <c r="B428" i="4"/>
  <c r="B430" i="1"/>
  <c r="I430" i="1" s="1"/>
  <c r="A430" i="4"/>
  <c r="A432" i="1"/>
  <c r="G431" i="4"/>
  <c r="G433" i="1"/>
  <c r="F432" i="4"/>
  <c r="F434" i="1"/>
  <c r="C435" i="4"/>
  <c r="C437" i="1"/>
  <c r="I437" i="1" s="1"/>
  <c r="B436" i="4"/>
  <c r="B438" i="1"/>
  <c r="I438" i="1" s="1"/>
  <c r="A438" i="4"/>
  <c r="A440" i="1"/>
  <c r="G439" i="4"/>
  <c r="G441" i="1"/>
  <c r="H31" i="1"/>
  <c r="K31" i="1" s="1"/>
  <c r="H63" i="1"/>
  <c r="K63" i="1" s="1"/>
  <c r="H79" i="1"/>
  <c r="K79" i="1" s="1"/>
  <c r="H103" i="1"/>
  <c r="K103" i="1" s="1"/>
  <c r="H111" i="1"/>
  <c r="K111" i="1" s="1"/>
  <c r="H135" i="1"/>
  <c r="K135" i="1" s="1"/>
  <c r="D148" i="1"/>
</calcChain>
</file>

<file path=xl/sharedStrings.xml><?xml version="1.0" encoding="utf-8"?>
<sst xmlns="http://schemas.openxmlformats.org/spreadsheetml/2006/main" count="24" uniqueCount="17">
  <si>
    <t>Name:</t>
  </si>
  <si>
    <t>Date:</t>
  </si>
  <si>
    <t>Address:</t>
  </si>
  <si>
    <t>Phone:</t>
  </si>
  <si>
    <t>Email:</t>
  </si>
  <si>
    <t>Tree Authority Nursery Availability 1.15.2021</t>
  </si>
  <si>
    <t>Hasan Malik (215) 694 9607</t>
  </si>
  <si>
    <t>602 Minsi Trail Perkasie, PA 18944</t>
  </si>
  <si>
    <t>Fruit Trees</t>
  </si>
  <si>
    <t>Scroll down to Native/Landscape Trees</t>
  </si>
  <si>
    <t>Order</t>
  </si>
  <si>
    <t>Total</t>
  </si>
  <si>
    <t xml:space="preserve">Fruit Tree Total </t>
  </si>
  <si>
    <t>Native and Landscape Trees:</t>
  </si>
  <si>
    <t>Landscape Tree Total</t>
  </si>
  <si>
    <t>Grand Total (plus tax)</t>
  </si>
  <si>
    <t>Tree Authority Nursery Availability 1.11.2021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</si>
</sst>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2">
    <font>
      <sz val="10"/>
      <color rgb="FF000000"/>
      <name val="Arial"/>
    </font>
    <font>
      <sz val="11"/>
      <color rgb="FF000000"/>
      <name val="Arial"/>
    </font>
    <font>
      <sz val="11"/>
      <color theme="1"/>
      <name val="Calibri"/>
    </font>
    <font>
      <sz val="10"/>
      <color theme="1"/>
      <name val="Arial"/>
    </font>
    <font>
      <b/>
      <sz val="14"/>
      <color rgb="FF000000"/>
      <name val="Arial"/>
    </font>
    <font>
      <sz val="11"/>
      <name val="Calibri"/>
    </font>
    <font>
      <sz val="12"/>
      <color theme="1"/>
      <name val="Arial"/>
    </font>
    <font>
      <sz val="12"/>
      <color rgb="FF000000"/>
      <name val="Arial"/>
    </font>
    <font>
      <b/>
      <sz val="36"/>
      <color rgb="FF000000"/>
      <name val="Arial"/>
    </font>
    <font>
      <b/>
      <sz val="10"/>
      <color theme="1"/>
      <name val="Arial"/>
    </font>
    <font>
      <sz val="10"/>
      <color rgb="FFD5C6A1"/>
      <name val="Arial"/>
    </font>
    <font>
      <sz val="11"/>
      <color rgb="FFD5C6A1"/>
      <name val="Inconsolata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291F07"/>
        <bgColor rgb="FF291F07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D5C6A1"/>
      </top>
      <bottom style="thin">
        <color rgb="FFD5C6A1"/>
      </bottom>
      <diagonal/>
    </border>
    <border>
      <left/>
      <right style="thin">
        <color rgb="FFD5C6A1"/>
      </right>
      <top style="thin">
        <color rgb="FFD5C6A1"/>
      </top>
      <bottom style="thin">
        <color rgb="FFD5C6A1"/>
      </bottom>
      <diagonal/>
    </border>
    <border>
      <left style="thin">
        <color rgb="FFD5C6A1"/>
      </left>
      <right style="thin">
        <color rgb="FFD5C6A1"/>
      </right>
      <top style="thin">
        <color rgb="FFD5C6A1"/>
      </top>
      <bottom style="thin">
        <color rgb="FFD5C6A1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2" borderId="0" xfId="0" applyFont="1" applyFill="1" applyAlignment="1"/>
    <xf numFmtId="0" fontId="2" fillId="0" borderId="0" xfId="0" applyFont="1" applyAlignment="1"/>
    <xf numFmtId="0" fontId="3" fillId="0" borderId="0" xfId="0" applyFont="1" applyAlignment="1"/>
    <xf numFmtId="0" fontId="2" fillId="2" borderId="0" xfId="0" applyFont="1" applyFill="1" applyAlignment="1"/>
    <xf numFmtId="0" fontId="2" fillId="2" borderId="0" xfId="0" applyFont="1" applyFill="1" applyAlignment="1"/>
    <xf numFmtId="164" fontId="2" fillId="2" borderId="0" xfId="0" applyNumberFormat="1" applyFont="1" applyFill="1" applyAlignment="1"/>
    <xf numFmtId="164" fontId="2" fillId="3" borderId="0" xfId="0" applyNumberFormat="1" applyFont="1" applyFill="1" applyAlignment="1"/>
    <xf numFmtId="0" fontId="4" fillId="3" borderId="0" xfId="0" applyFont="1" applyFill="1" applyAlignment="1"/>
    <xf numFmtId="0" fontId="2" fillId="3" borderId="0" xfId="0" applyFont="1" applyFill="1" applyAlignment="1"/>
    <xf numFmtId="0" fontId="3" fillId="3" borderId="0" xfId="0" applyFont="1" applyFill="1"/>
    <xf numFmtId="0" fontId="4" fillId="2" borderId="1" xfId="0" applyFont="1" applyFill="1" applyBorder="1" applyAlignment="1"/>
    <xf numFmtId="0" fontId="5" fillId="0" borderId="0" xfId="0" applyFont="1" applyAlignment="1"/>
    <xf numFmtId="0" fontId="6" fillId="0" borderId="1" xfId="0" applyFont="1" applyBorder="1" applyAlignment="1"/>
    <xf numFmtId="0" fontId="2" fillId="0" borderId="0" xfId="0" applyFont="1" applyAlignment="1"/>
    <xf numFmtId="0" fontId="2" fillId="2" borderId="0" xfId="0" applyFont="1" applyFill="1"/>
    <xf numFmtId="0" fontId="7" fillId="2" borderId="1" xfId="0" applyFont="1" applyFill="1" applyBorder="1" applyAlignment="1"/>
    <xf numFmtId="0" fontId="8" fillId="2" borderId="1" xfId="0" applyFont="1" applyFill="1" applyBorder="1" applyAlignment="1"/>
    <xf numFmtId="0" fontId="2" fillId="0" borderId="1" xfId="0" applyFont="1" applyBorder="1" applyAlignment="1"/>
    <xf numFmtId="0" fontId="1" fillId="2" borderId="1" xfId="0" applyFont="1" applyFill="1" applyBorder="1" applyAlignment="1">
      <alignment horizontal="center"/>
    </xf>
    <xf numFmtId="0" fontId="9" fillId="0" borderId="0" xfId="0" applyFont="1"/>
    <xf numFmtId="0" fontId="9" fillId="0" borderId="0" xfId="0" applyFont="1" applyAlignment="1"/>
    <xf numFmtId="0" fontId="9" fillId="3" borderId="0" xfId="0" applyFont="1" applyFill="1" applyAlignment="1"/>
    <xf numFmtId="0" fontId="3" fillId="0" borderId="0" xfId="0" applyFont="1"/>
    <xf numFmtId="49" fontId="3" fillId="0" borderId="0" xfId="0" applyNumberFormat="1" applyFont="1"/>
    <xf numFmtId="3" fontId="3" fillId="0" borderId="0" xfId="0" applyNumberFormat="1" applyFont="1"/>
    <xf numFmtId="164" fontId="3" fillId="0" borderId="0" xfId="0" applyNumberFormat="1" applyFont="1"/>
    <xf numFmtId="4" fontId="3" fillId="0" borderId="0" xfId="0" applyNumberFormat="1" applyFont="1"/>
    <xf numFmtId="164" fontId="3" fillId="0" borderId="0" xfId="0" applyNumberFormat="1" applyFont="1"/>
    <xf numFmtId="0" fontId="8" fillId="2" borderId="2" xfId="0" applyFont="1" applyFill="1" applyBorder="1" applyAlignment="1"/>
    <xf numFmtId="0" fontId="8" fillId="2" borderId="3" xfId="0" applyFont="1" applyFill="1" applyBorder="1" applyAlignment="1"/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9" fillId="3" borderId="0" xfId="0" applyFont="1" applyFill="1"/>
    <xf numFmtId="164" fontId="9" fillId="0" borderId="0" xfId="0" applyNumberFormat="1" applyFont="1"/>
    <xf numFmtId="0" fontId="10" fillId="4" borderId="4" xfId="0" applyFont="1" applyFill="1" applyBorder="1" applyAlignment="1"/>
    <xf numFmtId="0" fontId="10" fillId="4" borderId="4" xfId="0" applyFont="1" applyFill="1" applyBorder="1"/>
    <xf numFmtId="49" fontId="10" fillId="4" borderId="4" xfId="0" applyNumberFormat="1" applyFont="1" applyFill="1" applyBorder="1"/>
    <xf numFmtId="3" fontId="10" fillId="4" borderId="4" xfId="0" applyNumberFormat="1" applyFont="1" applyFill="1" applyBorder="1"/>
    <xf numFmtId="164" fontId="10" fillId="4" borderId="4" xfId="0" applyNumberFormat="1" applyFont="1" applyFill="1" applyBorder="1"/>
    <xf numFmtId="4" fontId="10" fillId="4" borderId="4" xfId="0" applyNumberFormat="1" applyFont="1" applyFill="1" applyBorder="1"/>
    <xf numFmtId="0" fontId="11" fillId="4" borderId="4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K449"/>
  <sheetViews>
    <sheetView tabSelected="1" workbookViewId="0">
      <selection activeCell="J1" sqref="J1:J1048576"/>
    </sheetView>
  </sheetViews>
  <sheetFormatPr defaultColWidth="14.42578125" defaultRowHeight="15.75" customHeight="1"/>
  <cols>
    <col min="1" max="1" width="38.42578125" customWidth="1"/>
    <col min="2" max="2" width="33" customWidth="1"/>
    <col min="3" max="3" width="10.7109375" customWidth="1"/>
    <col min="4" max="4" width="9.7109375" customWidth="1"/>
    <col min="5" max="5" width="9.28515625" customWidth="1"/>
    <col min="6" max="6" width="9.140625" customWidth="1"/>
    <col min="7" max="7" width="10.7109375" customWidth="1"/>
    <col min="9" max="9" width="14.42578125" hidden="1"/>
  </cols>
  <sheetData>
    <row r="1" spans="1:11" ht="15.75" customHeight="1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/>
      <c r="G1" s="5"/>
      <c r="H1" s="6"/>
      <c r="I1" s="6"/>
      <c r="J1" s="7"/>
      <c r="K1" s="6"/>
    </row>
    <row r="2" spans="1:11" ht="15.75" customHeight="1">
      <c r="A2" s="8"/>
      <c r="B2" s="9"/>
      <c r="C2" s="10"/>
      <c r="D2" s="9"/>
      <c r="E2" s="9"/>
      <c r="F2" s="5"/>
      <c r="G2" s="5"/>
      <c r="H2" s="6"/>
      <c r="I2" s="6"/>
      <c r="J2" s="7"/>
      <c r="K2" s="6"/>
    </row>
    <row r="3" spans="1:11" ht="15.75" customHeight="1">
      <c r="A3" s="11" t="s">
        <v>5</v>
      </c>
      <c r="B3" s="12"/>
      <c r="D3" s="5"/>
      <c r="E3" s="5"/>
      <c r="F3" s="5"/>
      <c r="G3" s="5"/>
      <c r="H3" s="6"/>
      <c r="I3" s="6"/>
      <c r="J3" s="7"/>
      <c r="K3" s="6"/>
    </row>
    <row r="4" spans="1:11" ht="15.75" customHeight="1">
      <c r="A4" s="13" t="s">
        <v>6</v>
      </c>
      <c r="B4" s="14"/>
      <c r="D4" s="15"/>
      <c r="E4" s="5"/>
      <c r="F4" s="5"/>
      <c r="G4" s="5"/>
      <c r="H4" s="6"/>
      <c r="I4" s="6"/>
      <c r="J4" s="7"/>
      <c r="K4" s="6"/>
    </row>
    <row r="5" spans="1:11" ht="15.75" customHeight="1">
      <c r="A5" s="16" t="s">
        <v>7</v>
      </c>
      <c r="B5" s="14"/>
      <c r="D5" s="14"/>
      <c r="E5" s="5"/>
      <c r="F5" s="5"/>
      <c r="G5" s="5"/>
      <c r="H5" s="6"/>
      <c r="I5" s="6"/>
      <c r="J5" s="7"/>
      <c r="K5" s="6"/>
    </row>
    <row r="6" spans="1:11" ht="41.25" customHeight="1">
      <c r="A6" s="17" t="s">
        <v>8</v>
      </c>
      <c r="B6" s="14"/>
      <c r="D6" s="18"/>
      <c r="E6" s="19" t="s">
        <v>9</v>
      </c>
      <c r="F6" s="5"/>
      <c r="G6" s="5"/>
      <c r="H6" s="6"/>
      <c r="I6" s="6"/>
      <c r="J6" s="7"/>
      <c r="K6" s="6"/>
    </row>
    <row r="7" spans="1:11">
      <c r="B7" s="20" t="str">
        <f ca="1">'Fruit Trees'!A1</f>
        <v>Common Name</v>
      </c>
      <c r="C7" s="20" t="str">
        <f ca="1">'Fruit Trees'!C1</f>
        <v>Pot Size</v>
      </c>
      <c r="D7" s="20" t="str">
        <f ca="1">'Fruit Trees'!D1</f>
        <v>Caliper</v>
      </c>
      <c r="E7" s="20" t="str">
        <f ca="1">'Fruit Trees'!E1</f>
        <v>Height</v>
      </c>
      <c r="F7" s="20" t="str">
        <f ca="1">'Fruit Trees'!F1</f>
        <v xml:space="preserve">Quantity </v>
      </c>
      <c r="G7" s="20" t="str">
        <f ca="1">'Fruit Trees'!G1</f>
        <v>Projected</v>
      </c>
      <c r="H7" s="20" t="str">
        <f ca="1">'Fruit Trees'!H1</f>
        <v xml:space="preserve">Price </v>
      </c>
      <c r="I7" s="21"/>
      <c r="J7" s="22" t="s">
        <v>10</v>
      </c>
      <c r="K7" s="21" t="s">
        <v>11</v>
      </c>
    </row>
    <row r="8" spans="1:11">
      <c r="B8" s="23" t="str">
        <f ca="1">'Fruit Trees'!A2</f>
        <v>Apple - Ambrosia</v>
      </c>
      <c r="C8" s="23" t="str">
        <f ca="1">'Fruit Trees'!C2</f>
        <v>#5</v>
      </c>
      <c r="D8" s="24" t="str">
        <f ca="1">'Fruit Trees'!D2</f>
        <v>0.5-0.75"</v>
      </c>
      <c r="E8" s="23" t="str">
        <f ca="1">'Fruit Trees'!E2</f>
        <v>5-6'</v>
      </c>
      <c r="F8" s="25">
        <f ca="1">'Fruit Trees'!F2</f>
        <v>5</v>
      </c>
      <c r="G8" s="23">
        <f ca="1">'Fruit Trees'!G2</f>
        <v>20</v>
      </c>
      <c r="H8" s="26">
        <f ca="1">'Fruit Trees'!H2</f>
        <v>40</v>
      </c>
      <c r="I8" s="23" t="str">
        <f t="shared" ref="I8:I141" ca="1" si="0">B8&amp;" "&amp;C8&amp;-2020</f>
        <v>Apple - Ambrosia #5-2020</v>
      </c>
      <c r="J8" s="10"/>
      <c r="K8" s="26">
        <f t="shared" ref="K8:K141" ca="1" si="1">J8*H8</f>
        <v>0</v>
      </c>
    </row>
    <row r="9" spans="1:11">
      <c r="B9" s="23" t="str">
        <f ca="1">'Fruit Trees'!A3</f>
        <v>Apple - Arkansas Black</v>
      </c>
      <c r="C9" s="23" t="str">
        <f ca="1">'Fruit Trees'!C3</f>
        <v>#5</v>
      </c>
      <c r="D9" s="24" t="str">
        <f ca="1">'Fruit Trees'!D3</f>
        <v>0.75-1"</v>
      </c>
      <c r="E9" s="23" t="str">
        <f ca="1">'Fruit Trees'!E3</f>
        <v>4-5'</v>
      </c>
      <c r="F9" s="25">
        <f ca="1">'Fruit Trees'!F3</f>
        <v>80</v>
      </c>
      <c r="G9" s="23">
        <f ca="1">'Fruit Trees'!G3</f>
        <v>100</v>
      </c>
      <c r="H9" s="26">
        <f ca="1">'Fruit Trees'!H3</f>
        <v>40</v>
      </c>
      <c r="I9" s="23" t="str">
        <f t="shared" ca="1" si="0"/>
        <v>Apple - Arkansas Black #5-2020</v>
      </c>
      <c r="J9" s="10"/>
      <c r="K9" s="26">
        <f t="shared" ca="1" si="1"/>
        <v>0</v>
      </c>
    </row>
    <row r="10" spans="1:11">
      <c r="B10" s="23" t="str">
        <f ca="1">'Fruit Trees'!A4</f>
        <v>Apple - Aztec Fuji</v>
      </c>
      <c r="C10" s="23" t="str">
        <f ca="1">'Fruit Trees'!C4</f>
        <v>#5</v>
      </c>
      <c r="D10" s="24" t="str">
        <f ca="1">'Fruit Trees'!D4</f>
        <v>0.5-0.5"</v>
      </c>
      <c r="E10" s="23" t="str">
        <f ca="1">'Fruit Trees'!E4</f>
        <v>3-4'</v>
      </c>
      <c r="F10" s="25">
        <f ca="1">'Fruit Trees'!F4</f>
        <v>0</v>
      </c>
      <c r="G10" s="23">
        <f ca="1">'Fruit Trees'!G4</f>
        <v>10</v>
      </c>
      <c r="H10" s="26">
        <f ca="1">'Fruit Trees'!H4</f>
        <v>40</v>
      </c>
      <c r="I10" s="23" t="str">
        <f t="shared" ca="1" si="0"/>
        <v>Apple - Aztec Fuji #5-2020</v>
      </c>
      <c r="J10" s="10"/>
      <c r="K10" s="26">
        <f t="shared" ca="1" si="1"/>
        <v>0</v>
      </c>
    </row>
    <row r="11" spans="1:11">
      <c r="B11" s="23" t="str">
        <f ca="1">'Fruit Trees'!A5</f>
        <v>Apple - Baldwin</v>
      </c>
      <c r="C11" s="23" t="str">
        <f ca="1">'Fruit Trees'!C5</f>
        <v>#5</v>
      </c>
      <c r="D11" s="24" t="str">
        <f ca="1">'Fruit Trees'!D5</f>
        <v>0.75-1"</v>
      </c>
      <c r="E11" s="23" t="str">
        <f ca="1">'Fruit Trees'!E5</f>
        <v>7-8'</v>
      </c>
      <c r="F11" s="25">
        <f ca="1">'Fruit Trees'!F5</f>
        <v>13</v>
      </c>
      <c r="G11" s="23">
        <f ca="1">'Fruit Trees'!G5</f>
        <v>30</v>
      </c>
      <c r="H11" s="26">
        <f ca="1">'Fruit Trees'!H5</f>
        <v>40</v>
      </c>
      <c r="I11" s="23" t="str">
        <f t="shared" ca="1" si="0"/>
        <v>Apple - Baldwin #5-2020</v>
      </c>
      <c r="J11" s="10"/>
      <c r="K11" s="26">
        <f t="shared" ca="1" si="1"/>
        <v>0</v>
      </c>
    </row>
    <row r="12" spans="1:11">
      <c r="B12" s="23" t="str">
        <f ca="1">'Fruit Trees'!A6</f>
        <v>Apple - Crimson Crisp</v>
      </c>
      <c r="C12" s="23" t="str">
        <f ca="1">'Fruit Trees'!C6</f>
        <v>#5</v>
      </c>
      <c r="D12" s="24" t="str">
        <f ca="1">'Fruit Trees'!D6</f>
        <v>0.75-1"</v>
      </c>
      <c r="E12" s="23" t="str">
        <f ca="1">'Fruit Trees'!E6</f>
        <v>6-9'</v>
      </c>
      <c r="F12" s="25">
        <f ca="1">'Fruit Trees'!F6</f>
        <v>36</v>
      </c>
      <c r="G12" s="23">
        <f ca="1">'Fruit Trees'!G6</f>
        <v>50</v>
      </c>
      <c r="H12" s="26">
        <f ca="1">'Fruit Trees'!H6</f>
        <v>40</v>
      </c>
      <c r="I12" s="23" t="str">
        <f t="shared" ca="1" si="0"/>
        <v>Apple - Crimson Crisp #5-2020</v>
      </c>
      <c r="J12" s="10"/>
      <c r="K12" s="26">
        <f t="shared" ca="1" si="1"/>
        <v>0</v>
      </c>
    </row>
    <row r="13" spans="1:11">
      <c r="B13" s="23" t="str">
        <f ca="1">'Fruit Trees'!A7</f>
        <v>Apple - Crown Empire</v>
      </c>
      <c r="C13" s="23" t="str">
        <f ca="1">'Fruit Trees'!C7</f>
        <v>#5</v>
      </c>
      <c r="D13" s="24" t="str">
        <f ca="1">'Fruit Trees'!D7</f>
        <v>0.25-0.5"</v>
      </c>
      <c r="E13" s="23" t="str">
        <f ca="1">'Fruit Trees'!E7</f>
        <v>3-4'</v>
      </c>
      <c r="F13" s="25">
        <f ca="1">'Fruit Trees'!F7</f>
        <v>0</v>
      </c>
      <c r="G13" s="23">
        <f ca="1">'Fruit Trees'!G7</f>
        <v>5</v>
      </c>
      <c r="H13" s="26">
        <f ca="1">'Fruit Trees'!H7</f>
        <v>40</v>
      </c>
      <c r="I13" s="23" t="str">
        <f t="shared" ca="1" si="0"/>
        <v>Apple - Crown Empire #5-2020</v>
      </c>
      <c r="J13" s="10"/>
      <c r="K13" s="26">
        <f t="shared" ca="1" si="1"/>
        <v>0</v>
      </c>
    </row>
    <row r="14" spans="1:11">
      <c r="B14" s="23" t="str">
        <f ca="1">'Fruit Trees'!A8</f>
        <v>Apple - Daybreak Fuji</v>
      </c>
      <c r="C14" s="23" t="str">
        <f ca="1">'Fruit Trees'!C8</f>
        <v>#5</v>
      </c>
      <c r="D14" s="24" t="str">
        <f ca="1">'Fruit Trees'!D8</f>
        <v>0.75-1"</v>
      </c>
      <c r="E14" s="23" t="str">
        <f ca="1">'Fruit Trees'!E8</f>
        <v>6-7'</v>
      </c>
      <c r="F14" s="25">
        <f ca="1">'Fruit Trees'!F8</f>
        <v>4</v>
      </c>
      <c r="G14" s="23">
        <f ca="1">'Fruit Trees'!G8</f>
        <v>0</v>
      </c>
      <c r="H14" s="26">
        <f ca="1">'Fruit Trees'!H8</f>
        <v>40</v>
      </c>
      <c r="I14" s="23" t="str">
        <f t="shared" ca="1" si="0"/>
        <v>Apple - Daybreak Fuji #5-2020</v>
      </c>
      <c r="J14" s="10"/>
      <c r="K14" s="26">
        <f t="shared" ca="1" si="1"/>
        <v>0</v>
      </c>
    </row>
    <row r="15" spans="1:11">
      <c r="B15" s="23" t="str">
        <f ca="1">'Fruit Trees'!A9</f>
        <v>Apple - Enterprise</v>
      </c>
      <c r="C15" s="23" t="str">
        <f ca="1">'Fruit Trees'!C9</f>
        <v>#5</v>
      </c>
      <c r="D15" s="24" t="str">
        <f ca="1">'Fruit Trees'!D9</f>
        <v>0.5-1.25"</v>
      </c>
      <c r="E15" s="23" t="str">
        <f ca="1">'Fruit Trees'!E9</f>
        <v>6-8'</v>
      </c>
      <c r="F15" s="25">
        <f ca="1">'Fruit Trees'!F9</f>
        <v>39</v>
      </c>
      <c r="G15" s="23">
        <f ca="1">'Fruit Trees'!G9</f>
        <v>84</v>
      </c>
      <c r="H15" s="26">
        <f ca="1">'Fruit Trees'!H9</f>
        <v>40</v>
      </c>
      <c r="I15" s="23" t="str">
        <f t="shared" ca="1" si="0"/>
        <v>Apple - Enterprise #5-2020</v>
      </c>
      <c r="J15" s="10"/>
      <c r="K15" s="26">
        <f t="shared" ca="1" si="1"/>
        <v>0</v>
      </c>
    </row>
    <row r="16" spans="1:11">
      <c r="B16" s="23" t="str">
        <f ca="1">'Fruit Trees'!A10</f>
        <v>Apple - Enterprise</v>
      </c>
      <c r="C16" s="23" t="str">
        <f ca="1">'Fruit Trees'!C10</f>
        <v>#10</v>
      </c>
      <c r="D16" s="24" t="str">
        <f ca="1">'Fruit Trees'!D10</f>
        <v>0.5-1.5"</v>
      </c>
      <c r="E16" s="23" t="str">
        <f ca="1">'Fruit Trees'!E10</f>
        <v>6-7'</v>
      </c>
      <c r="F16" s="25">
        <f ca="1">'Fruit Trees'!F10</f>
        <v>4</v>
      </c>
      <c r="G16" s="23">
        <f ca="1">'Fruit Trees'!G10</f>
        <v>0</v>
      </c>
      <c r="H16" s="26">
        <f ca="1">'Fruit Trees'!H10</f>
        <v>65</v>
      </c>
      <c r="I16" s="23" t="str">
        <f t="shared" ca="1" si="0"/>
        <v>Apple - Enterprise #10-2020</v>
      </c>
      <c r="J16" s="10"/>
      <c r="K16" s="26">
        <f t="shared" ca="1" si="1"/>
        <v>0</v>
      </c>
    </row>
    <row r="17" spans="2:11">
      <c r="B17" s="23" t="str">
        <f ca="1">'Fruit Trees'!A11</f>
        <v>Apple - Enterprise (Dwarf)</v>
      </c>
      <c r="C17" s="23" t="str">
        <f ca="1">'Fruit Trees'!C11</f>
        <v>#5</v>
      </c>
      <c r="D17" s="24" t="str">
        <f ca="1">'Fruit Trees'!D11</f>
        <v>0.75-1"</v>
      </c>
      <c r="E17" s="23" t="str">
        <f ca="1">'Fruit Trees'!E11</f>
        <v>7-8'</v>
      </c>
      <c r="F17" s="25">
        <f ca="1">'Fruit Trees'!F11</f>
        <v>11</v>
      </c>
      <c r="G17" s="23">
        <f ca="1">'Fruit Trees'!G11</f>
        <v>0</v>
      </c>
      <c r="H17" s="26">
        <f ca="1">'Fruit Trees'!H11</f>
        <v>40</v>
      </c>
      <c r="I17" s="23" t="str">
        <f t="shared" ca="1" si="0"/>
        <v>Apple - Enterprise (Dwarf) #5-2020</v>
      </c>
      <c r="J17" s="10"/>
      <c r="K17" s="26">
        <f t="shared" ca="1" si="1"/>
        <v>0</v>
      </c>
    </row>
    <row r="18" spans="2:11">
      <c r="B18" s="23" t="str">
        <f ca="1">'Fruit Trees'!A12</f>
        <v>Apple - Freedom</v>
      </c>
      <c r="C18" s="23" t="str">
        <f ca="1">'Fruit Trees'!C12</f>
        <v>#5</v>
      </c>
      <c r="D18" s="24" t="str">
        <f ca="1">'Fruit Trees'!D12</f>
        <v>0.75-0.75"</v>
      </c>
      <c r="E18" s="23" t="str">
        <f ca="1">'Fruit Trees'!E12</f>
        <v>5-5'</v>
      </c>
      <c r="F18" s="25">
        <f ca="1">'Fruit Trees'!F12</f>
        <v>1</v>
      </c>
      <c r="G18" s="23">
        <f ca="1">'Fruit Trees'!G12</f>
        <v>50</v>
      </c>
      <c r="H18" s="26">
        <f ca="1">'Fruit Trees'!H12</f>
        <v>40</v>
      </c>
      <c r="I18" s="23" t="str">
        <f t="shared" ca="1" si="0"/>
        <v>Apple - Freedom #5-2020</v>
      </c>
      <c r="J18" s="10"/>
      <c r="K18" s="26">
        <f t="shared" ca="1" si="1"/>
        <v>0</v>
      </c>
    </row>
    <row r="19" spans="2:11">
      <c r="B19" s="23" t="str">
        <f ca="1">'Fruit Trees'!A13</f>
        <v>Apple - Fuji</v>
      </c>
      <c r="C19" s="23" t="str">
        <f ca="1">'Fruit Trees'!C13</f>
        <v>#5</v>
      </c>
      <c r="D19" s="24" t="str">
        <f ca="1">'Fruit Trees'!D13</f>
        <v>1-1.25"</v>
      </c>
      <c r="E19" s="23" t="str">
        <f ca="1">'Fruit Trees'!E13</f>
        <v>6-8'</v>
      </c>
      <c r="F19" s="25">
        <f ca="1">'Fruit Trees'!F13</f>
        <v>53</v>
      </c>
      <c r="G19" s="23">
        <f ca="1">'Fruit Trees'!G13</f>
        <v>100</v>
      </c>
      <c r="H19" s="26">
        <f ca="1">'Fruit Trees'!H13</f>
        <v>40</v>
      </c>
      <c r="I19" s="23" t="str">
        <f t="shared" ca="1" si="0"/>
        <v>Apple - Fuji #5-2020</v>
      </c>
      <c r="J19" s="10"/>
      <c r="K19" s="26">
        <f t="shared" ca="1" si="1"/>
        <v>0</v>
      </c>
    </row>
    <row r="20" spans="2:11">
      <c r="B20" s="23" t="str">
        <f ca="1">'Fruit Trees'!A14</f>
        <v>Apple - Fuji</v>
      </c>
      <c r="C20" s="23" t="str">
        <f ca="1">'Fruit Trees'!C14</f>
        <v>#10</v>
      </c>
      <c r="D20" s="24" t="str">
        <f ca="1">'Fruit Trees'!D14</f>
        <v>1-1.25"</v>
      </c>
      <c r="E20" s="23" t="str">
        <f ca="1">'Fruit Trees'!E14</f>
        <v>7-8'</v>
      </c>
      <c r="F20" s="25">
        <f ca="1">'Fruit Trees'!F14</f>
        <v>9</v>
      </c>
      <c r="G20" s="23">
        <f ca="1">'Fruit Trees'!G14</f>
        <v>0</v>
      </c>
      <c r="H20" s="26">
        <f ca="1">'Fruit Trees'!H14</f>
        <v>65</v>
      </c>
      <c r="I20" s="23" t="str">
        <f t="shared" ca="1" si="0"/>
        <v>Apple - Fuji #10-2020</v>
      </c>
      <c r="J20" s="10"/>
      <c r="K20" s="26">
        <f t="shared" ca="1" si="1"/>
        <v>0</v>
      </c>
    </row>
    <row r="21" spans="2:11">
      <c r="B21" s="23" t="str">
        <f ca="1">'Fruit Trees'!A15</f>
        <v>Apple - Fuji Espalier 3-Tier</v>
      </c>
      <c r="C21" s="23" t="str">
        <f ca="1">'Fruit Trees'!C15</f>
        <v>#15</v>
      </c>
      <c r="D21" s="24" t="str">
        <f ca="1">'Fruit Trees'!D15</f>
        <v>0.75-1"</v>
      </c>
      <c r="E21" s="23" t="str">
        <f ca="1">'Fruit Trees'!E15</f>
        <v>6-7'</v>
      </c>
      <c r="F21" s="25">
        <f ca="1">'Fruit Trees'!F15</f>
        <v>0</v>
      </c>
      <c r="G21" s="23">
        <f ca="1">'Fruit Trees'!G15</f>
        <v>5</v>
      </c>
      <c r="H21" s="26">
        <f ca="1">'Fruit Trees'!H15</f>
        <v>175</v>
      </c>
      <c r="I21" s="23" t="str">
        <f t="shared" ca="1" si="0"/>
        <v>Apple - Fuji Espalier 3-Tier #15-2020</v>
      </c>
      <c r="J21" s="10"/>
      <c r="K21" s="26">
        <f t="shared" ca="1" si="1"/>
        <v>0</v>
      </c>
    </row>
    <row r="22" spans="2:11">
      <c r="B22" s="23" t="str">
        <f ca="1">'Fruit Trees'!A16</f>
        <v>Apple - Gala</v>
      </c>
      <c r="C22" s="23" t="str">
        <f ca="1">'Fruit Trees'!C16</f>
        <v>#5</v>
      </c>
      <c r="D22" s="24" t="str">
        <f ca="1">'Fruit Trees'!D16</f>
        <v>0.5-1"</v>
      </c>
      <c r="E22" s="23" t="str">
        <f ca="1">'Fruit Trees'!E16</f>
        <v>5-7'</v>
      </c>
      <c r="F22" s="25">
        <f ca="1">'Fruit Trees'!F16</f>
        <v>16</v>
      </c>
      <c r="G22" s="23">
        <f ca="1">'Fruit Trees'!G16</f>
        <v>100</v>
      </c>
      <c r="H22" s="26">
        <f ca="1">'Fruit Trees'!H16</f>
        <v>40</v>
      </c>
      <c r="I22" s="23" t="str">
        <f t="shared" ca="1" si="0"/>
        <v>Apple - Gala #5-2020</v>
      </c>
      <c r="J22" s="10"/>
      <c r="K22" s="26">
        <f t="shared" ca="1" si="1"/>
        <v>0</v>
      </c>
    </row>
    <row r="23" spans="2:11">
      <c r="B23" s="23" t="str">
        <f ca="1">'Fruit Trees'!A17</f>
        <v>Apple - Gala</v>
      </c>
      <c r="C23" s="23" t="str">
        <f ca="1">'Fruit Trees'!C17</f>
        <v>#10</v>
      </c>
      <c r="D23" s="24" t="str">
        <f ca="1">'Fruit Trees'!D17</f>
        <v>1-1"</v>
      </c>
      <c r="E23" s="23" t="str">
        <f ca="1">'Fruit Trees'!E17</f>
        <v>7-7'</v>
      </c>
      <c r="F23" s="25">
        <f ca="1">'Fruit Trees'!F17</f>
        <v>1</v>
      </c>
      <c r="G23" s="23">
        <f ca="1">'Fruit Trees'!G17</f>
        <v>0</v>
      </c>
      <c r="H23" s="26">
        <f ca="1">'Fruit Trees'!H17</f>
        <v>65</v>
      </c>
      <c r="I23" s="23" t="str">
        <f t="shared" ca="1" si="0"/>
        <v>Apple - Gala #10-2020</v>
      </c>
      <c r="J23" s="10"/>
      <c r="K23" s="26">
        <f t="shared" ca="1" si="1"/>
        <v>0</v>
      </c>
    </row>
    <row r="24" spans="2:11" ht="12.75">
      <c r="B24" s="23" t="str">
        <f ca="1">'Fruit Trees'!A18</f>
        <v>Apple - Gala Espalier 3 tier</v>
      </c>
      <c r="C24" s="23" t="str">
        <f ca="1">'Fruit Trees'!C18</f>
        <v>#15</v>
      </c>
      <c r="D24" s="24" t="str">
        <f ca="1">'Fruit Trees'!D18</f>
        <v>0.75-1"</v>
      </c>
      <c r="E24" s="23" t="str">
        <f ca="1">'Fruit Trees'!E18</f>
        <v>6-7'</v>
      </c>
      <c r="F24" s="25">
        <f ca="1">'Fruit Trees'!F18</f>
        <v>0</v>
      </c>
      <c r="G24" s="23">
        <f ca="1">'Fruit Trees'!G18</f>
        <v>5</v>
      </c>
      <c r="H24" s="26">
        <f ca="1">'Fruit Trees'!H18</f>
        <v>175</v>
      </c>
      <c r="I24" s="23" t="str">
        <f t="shared" ca="1" si="0"/>
        <v>Apple - Gala Espalier 3 tier #15-2020</v>
      </c>
      <c r="J24" s="10"/>
      <c r="K24" s="26">
        <f t="shared" ca="1" si="1"/>
        <v>0</v>
      </c>
    </row>
    <row r="25" spans="2:11" ht="12.75">
      <c r="B25" s="23" t="str">
        <f ca="1">'Fruit Trees'!A19</f>
        <v>Apple - Galarina</v>
      </c>
      <c r="C25" s="23" t="str">
        <f ca="1">'Fruit Trees'!C19</f>
        <v>#5</v>
      </c>
      <c r="D25" s="24" t="str">
        <f ca="1">'Fruit Trees'!D19</f>
        <v>0-1"</v>
      </c>
      <c r="E25" s="23" t="str">
        <f ca="1">'Fruit Trees'!E19</f>
        <v>0-6'</v>
      </c>
      <c r="F25" s="25">
        <f ca="1">'Fruit Trees'!F19</f>
        <v>0</v>
      </c>
      <c r="G25" s="23">
        <f ca="1">'Fruit Trees'!G19</f>
        <v>85</v>
      </c>
      <c r="H25" s="26">
        <f ca="1">'Fruit Trees'!H19</f>
        <v>40</v>
      </c>
      <c r="I25" s="23" t="str">
        <f t="shared" ca="1" si="0"/>
        <v>Apple - Galarina #5-2020</v>
      </c>
      <c r="J25" s="10"/>
      <c r="K25" s="26">
        <f t="shared" ca="1" si="1"/>
        <v>0</v>
      </c>
    </row>
    <row r="26" spans="2:11" ht="12.75">
      <c r="B26" s="23" t="str">
        <f ca="1">'Fruit Trees'!A20</f>
        <v>Apple - Gold Rush</v>
      </c>
      <c r="C26" s="23" t="str">
        <f ca="1">'Fruit Trees'!C20</f>
        <v>#5</v>
      </c>
      <c r="D26" s="24" t="str">
        <f ca="1">'Fruit Trees'!D20</f>
        <v>0.5-0.75"</v>
      </c>
      <c r="E26" s="23" t="str">
        <f ca="1">'Fruit Trees'!E20</f>
        <v>4-5'</v>
      </c>
      <c r="F26" s="25">
        <f ca="1">'Fruit Trees'!F20</f>
        <v>0</v>
      </c>
      <c r="G26" s="23">
        <f ca="1">'Fruit Trees'!G20</f>
        <v>20</v>
      </c>
      <c r="H26" s="26">
        <f ca="1">'Fruit Trees'!H20</f>
        <v>40</v>
      </c>
      <c r="I26" s="23" t="str">
        <f t="shared" ca="1" si="0"/>
        <v>Apple - Gold Rush #5-2020</v>
      </c>
      <c r="J26" s="10"/>
      <c r="K26" s="26">
        <f t="shared" ca="1" si="1"/>
        <v>0</v>
      </c>
    </row>
    <row r="27" spans="2:11" ht="12.75">
      <c r="B27" s="23" t="str">
        <f ca="1">'Fruit Trees'!A21</f>
        <v>Apple - Gold Rush</v>
      </c>
      <c r="C27" s="23" t="str">
        <f ca="1">'Fruit Trees'!C21</f>
        <v>#5</v>
      </c>
      <c r="D27" s="24" t="str">
        <f ca="1">'Fruit Trees'!D21</f>
        <v>0.75-1"</v>
      </c>
      <c r="E27" s="23" t="str">
        <f ca="1">'Fruit Trees'!E21</f>
        <v>5-7'</v>
      </c>
      <c r="F27" s="25">
        <f ca="1">'Fruit Trees'!F21</f>
        <v>4</v>
      </c>
      <c r="G27" s="23">
        <f ca="1">'Fruit Trees'!G21</f>
        <v>20</v>
      </c>
      <c r="H27" s="26">
        <f ca="1">'Fruit Trees'!H21</f>
        <v>40</v>
      </c>
      <c r="I27" s="23" t="str">
        <f t="shared" ca="1" si="0"/>
        <v>Apple - Gold Rush #5-2020</v>
      </c>
      <c r="J27" s="10"/>
      <c r="K27" s="26">
        <f t="shared" ca="1" si="1"/>
        <v>0</v>
      </c>
    </row>
    <row r="28" spans="2:11" ht="12.75">
      <c r="B28" s="23" t="str">
        <f ca="1">'Fruit Trees'!A22</f>
        <v>Apple - Golden Delicious</v>
      </c>
      <c r="C28" s="23" t="str">
        <f ca="1">'Fruit Trees'!C22</f>
        <v>#5</v>
      </c>
      <c r="D28" s="24" t="str">
        <f ca="1">'Fruit Trees'!D22</f>
        <v>0.75-0.75"</v>
      </c>
      <c r="E28" s="23" t="str">
        <f ca="1">'Fruit Trees'!E22</f>
        <v>5-5'</v>
      </c>
      <c r="F28" s="25">
        <f ca="1">'Fruit Trees'!F22</f>
        <v>1</v>
      </c>
      <c r="G28" s="23">
        <f ca="1">'Fruit Trees'!G22</f>
        <v>0</v>
      </c>
      <c r="H28" s="26">
        <f ca="1">'Fruit Trees'!H22</f>
        <v>40</v>
      </c>
      <c r="I28" s="23" t="str">
        <f t="shared" ca="1" si="0"/>
        <v>Apple - Golden Delicious #5-2020</v>
      </c>
      <c r="J28" s="10"/>
      <c r="K28" s="26">
        <f t="shared" ca="1" si="1"/>
        <v>0</v>
      </c>
    </row>
    <row r="29" spans="2:11" ht="12.75">
      <c r="B29" s="23" t="str">
        <f ca="1">'Fruit Trees'!A23</f>
        <v>Apple - Golden Delicious</v>
      </c>
      <c r="C29" s="23" t="str">
        <f ca="1">'Fruit Trees'!C23</f>
        <v>#10</v>
      </c>
      <c r="D29" s="24" t="str">
        <f ca="1">'Fruit Trees'!D23</f>
        <v>1-1"</v>
      </c>
      <c r="E29" s="23" t="str">
        <f ca="1">'Fruit Trees'!E23</f>
        <v>7-8'</v>
      </c>
      <c r="F29" s="25">
        <f ca="1">'Fruit Trees'!F23</f>
        <v>2</v>
      </c>
      <c r="G29" s="23">
        <f ca="1">'Fruit Trees'!G23</f>
        <v>0</v>
      </c>
      <c r="H29" s="26">
        <f ca="1">'Fruit Trees'!H23</f>
        <v>65</v>
      </c>
      <c r="I29" s="23" t="str">
        <f t="shared" ca="1" si="0"/>
        <v>Apple - Golden Delicious #10-2020</v>
      </c>
      <c r="J29" s="10"/>
      <c r="K29" s="26">
        <f t="shared" ca="1" si="1"/>
        <v>0</v>
      </c>
    </row>
    <row r="30" spans="2:11" ht="12.75">
      <c r="B30" s="23" t="str">
        <f ca="1">'Fruit Trees'!A24</f>
        <v>Apple - Granny Smith</v>
      </c>
      <c r="C30" s="23" t="str">
        <f ca="1">'Fruit Trees'!C24</f>
        <v>#5</v>
      </c>
      <c r="D30" s="24" t="str">
        <f ca="1">'Fruit Trees'!D24</f>
        <v>0.75-1"</v>
      </c>
      <c r="E30" s="23" t="str">
        <f ca="1">'Fruit Trees'!E24</f>
        <v>5-8'</v>
      </c>
      <c r="F30" s="25">
        <f ca="1">'Fruit Trees'!F24</f>
        <v>65</v>
      </c>
      <c r="G30" s="23">
        <f ca="1">'Fruit Trees'!G24</f>
        <v>100</v>
      </c>
      <c r="H30" s="26">
        <f ca="1">'Fruit Trees'!H24</f>
        <v>40</v>
      </c>
      <c r="I30" s="23" t="str">
        <f t="shared" ca="1" si="0"/>
        <v>Apple - Granny Smith #5-2020</v>
      </c>
      <c r="J30" s="10"/>
      <c r="K30" s="26">
        <f t="shared" ca="1" si="1"/>
        <v>0</v>
      </c>
    </row>
    <row r="31" spans="2:11" ht="12.75">
      <c r="B31" s="23" t="str">
        <f ca="1">'Fruit Trees'!A25</f>
        <v>Apple - Honeycrisp</v>
      </c>
      <c r="C31" s="23" t="str">
        <f ca="1">'Fruit Trees'!C25</f>
        <v>#5</v>
      </c>
      <c r="D31" s="24" t="str">
        <f ca="1">'Fruit Trees'!D25</f>
        <v>0-1"</v>
      </c>
      <c r="E31" s="23" t="str">
        <f ca="1">'Fruit Trees'!E25</f>
        <v>0-7'</v>
      </c>
      <c r="F31" s="25">
        <f ca="1">'Fruit Trees'!F25</f>
        <v>-3</v>
      </c>
      <c r="G31" s="23">
        <f ca="1">'Fruit Trees'!G25</f>
        <v>45</v>
      </c>
      <c r="H31" s="26">
        <f ca="1">'Fruit Trees'!H25</f>
        <v>40</v>
      </c>
      <c r="I31" s="23" t="str">
        <f t="shared" ca="1" si="0"/>
        <v>Apple - Honeycrisp #5-2020</v>
      </c>
      <c r="J31" s="10"/>
      <c r="K31" s="26">
        <f t="shared" ca="1" si="1"/>
        <v>0</v>
      </c>
    </row>
    <row r="32" spans="2:11" ht="12.75">
      <c r="B32" s="23" t="str">
        <f ca="1">'Fruit Trees'!A26</f>
        <v>Apple - Initial</v>
      </c>
      <c r="C32" s="23" t="str">
        <f ca="1">'Fruit Trees'!C26</f>
        <v>#5</v>
      </c>
      <c r="D32" s="24" t="str">
        <f ca="1">'Fruit Trees'!D26</f>
        <v>0.5-0.5"</v>
      </c>
      <c r="E32" s="23" t="str">
        <f ca="1">'Fruit Trees'!E26</f>
        <v>3-4'</v>
      </c>
      <c r="F32" s="25">
        <f ca="1">'Fruit Trees'!F26</f>
        <v>0</v>
      </c>
      <c r="G32" s="23">
        <f ca="1">'Fruit Trees'!G26</f>
        <v>20</v>
      </c>
      <c r="H32" s="26">
        <f ca="1">'Fruit Trees'!H26</f>
        <v>40</v>
      </c>
      <c r="I32" s="23" t="str">
        <f t="shared" ca="1" si="0"/>
        <v>Apple - Initial #5-2020</v>
      </c>
      <c r="J32" s="10"/>
      <c r="K32" s="26">
        <f t="shared" ca="1" si="1"/>
        <v>0</v>
      </c>
    </row>
    <row r="33" spans="2:11" ht="12.75">
      <c r="B33" s="23" t="str">
        <f ca="1">'Fruit Trees'!A27</f>
        <v>Apple - Liberty</v>
      </c>
      <c r="C33" s="23" t="str">
        <f ca="1">'Fruit Trees'!C27</f>
        <v>#5</v>
      </c>
      <c r="D33" s="24" t="str">
        <f ca="1">'Fruit Trees'!D27</f>
        <v>0.75-1"</v>
      </c>
      <c r="E33" s="23" t="str">
        <f ca="1">'Fruit Trees'!E27</f>
        <v>5-7'</v>
      </c>
      <c r="F33" s="25">
        <f ca="1">'Fruit Trees'!F27</f>
        <v>-6</v>
      </c>
      <c r="G33" s="23">
        <f ca="1">'Fruit Trees'!G27</f>
        <v>100</v>
      </c>
      <c r="H33" s="26">
        <f ca="1">'Fruit Trees'!H27</f>
        <v>40</v>
      </c>
      <c r="I33" s="23" t="str">
        <f t="shared" ca="1" si="0"/>
        <v>Apple - Liberty #5-2020</v>
      </c>
      <c r="J33" s="10"/>
      <c r="K33" s="26">
        <f t="shared" ca="1" si="1"/>
        <v>0</v>
      </c>
    </row>
    <row r="34" spans="2:11" ht="12.75">
      <c r="B34" s="23" t="str">
        <f ca="1">'Fruit Trees'!A28</f>
        <v>Apple - Macoun</v>
      </c>
      <c r="C34" s="23" t="str">
        <f ca="1">'Fruit Trees'!C28</f>
        <v>#5</v>
      </c>
      <c r="D34" s="24" t="str">
        <f ca="1">'Fruit Trees'!D28</f>
        <v>0.5-0.5"</v>
      </c>
      <c r="E34" s="23" t="str">
        <f ca="1">'Fruit Trees'!E28</f>
        <v>3-4'</v>
      </c>
      <c r="F34" s="25">
        <f ca="1">'Fruit Trees'!F28</f>
        <v>0</v>
      </c>
      <c r="G34" s="23">
        <f ca="1">'Fruit Trees'!G28</f>
        <v>20</v>
      </c>
      <c r="H34" s="26">
        <f ca="1">'Fruit Trees'!H28</f>
        <v>40</v>
      </c>
      <c r="I34" s="23" t="str">
        <f t="shared" ca="1" si="0"/>
        <v>Apple - Macoun #5-2020</v>
      </c>
      <c r="J34" s="10"/>
      <c r="K34" s="26">
        <f t="shared" ca="1" si="1"/>
        <v>0</v>
      </c>
    </row>
    <row r="35" spans="2:11" ht="12.75">
      <c r="B35" s="23" t="str">
        <f ca="1">'Fruit Trees'!A29</f>
        <v>Apple - McIntosh</v>
      </c>
      <c r="C35" s="23" t="str">
        <f ca="1">'Fruit Trees'!C29</f>
        <v>#5</v>
      </c>
      <c r="D35" s="24" t="str">
        <f ca="1">'Fruit Trees'!D29</f>
        <v>0.75-1"</v>
      </c>
      <c r="E35" s="23" t="str">
        <f ca="1">'Fruit Trees'!E29</f>
        <v>7-8'</v>
      </c>
      <c r="F35" s="25">
        <f ca="1">'Fruit Trees'!F29</f>
        <v>20</v>
      </c>
      <c r="G35" s="23">
        <f ca="1">'Fruit Trees'!G29</f>
        <v>100</v>
      </c>
      <c r="H35" s="26">
        <f ca="1">'Fruit Trees'!H29</f>
        <v>40</v>
      </c>
      <c r="I35" s="23" t="str">
        <f t="shared" ca="1" si="0"/>
        <v>Apple - McIntosh #5-2020</v>
      </c>
      <c r="J35" s="10"/>
      <c r="K35" s="26">
        <f t="shared" ca="1" si="1"/>
        <v>0</v>
      </c>
    </row>
    <row r="36" spans="2:11" ht="12.75">
      <c r="B36" s="23" t="str">
        <f ca="1">'Fruit Trees'!A30</f>
        <v>Apple - McIntosh</v>
      </c>
      <c r="C36" s="23" t="str">
        <f ca="1">'Fruit Trees'!C30</f>
        <v>#10</v>
      </c>
      <c r="D36" s="24" t="str">
        <f ca="1">'Fruit Trees'!D30</f>
        <v>1-1"</v>
      </c>
      <c r="E36" s="23" t="str">
        <f ca="1">'Fruit Trees'!E30</f>
        <v>7-8'</v>
      </c>
      <c r="F36" s="25">
        <f ca="1">'Fruit Trees'!F30</f>
        <v>9</v>
      </c>
      <c r="G36" s="23">
        <f ca="1">'Fruit Trees'!G30</f>
        <v>0</v>
      </c>
      <c r="H36" s="26">
        <f ca="1">'Fruit Trees'!H30</f>
        <v>65</v>
      </c>
      <c r="I36" s="23" t="str">
        <f t="shared" ca="1" si="0"/>
        <v>Apple - McIntosh #10-2020</v>
      </c>
      <c r="J36" s="10"/>
      <c r="K36" s="26">
        <f t="shared" ca="1" si="1"/>
        <v>0</v>
      </c>
    </row>
    <row r="37" spans="2:11" ht="12.75">
      <c r="B37" s="23" t="str">
        <f ca="1">'Fruit Trees'!A31</f>
        <v>Apple - Northern Spy</v>
      </c>
      <c r="C37" s="23" t="str">
        <f ca="1">'Fruit Trees'!C31</f>
        <v>#5</v>
      </c>
      <c r="D37" s="24" t="str">
        <f ca="1">'Fruit Trees'!D31</f>
        <v>0.38-0.75"</v>
      </c>
      <c r="E37" s="23" t="str">
        <f ca="1">'Fruit Trees'!E31</f>
        <v>3-5'</v>
      </c>
      <c r="F37" s="25">
        <f ca="1">'Fruit Trees'!F31</f>
        <v>0</v>
      </c>
      <c r="G37" s="23">
        <f ca="1">'Fruit Trees'!G31</f>
        <v>50</v>
      </c>
      <c r="H37" s="26">
        <f ca="1">'Fruit Trees'!H31</f>
        <v>40</v>
      </c>
      <c r="I37" s="23" t="str">
        <f t="shared" ca="1" si="0"/>
        <v>Apple - Northern Spy #5-2020</v>
      </c>
      <c r="J37" s="10"/>
      <c r="K37" s="26">
        <f t="shared" ca="1" si="1"/>
        <v>0</v>
      </c>
    </row>
    <row r="38" spans="2:11" ht="12.75">
      <c r="B38" s="23" t="str">
        <f ca="1">'Fruit Trees'!A32</f>
        <v>Apple - Nova Spy</v>
      </c>
      <c r="C38" s="23" t="str">
        <f ca="1">'Fruit Trees'!C32</f>
        <v>#5</v>
      </c>
      <c r="D38" s="24" t="str">
        <f ca="1">'Fruit Trees'!D32</f>
        <v>0.75-1"</v>
      </c>
      <c r="E38" s="23" t="str">
        <f ca="1">'Fruit Trees'!E32</f>
        <v>7-9'</v>
      </c>
      <c r="F38" s="25">
        <f ca="1">'Fruit Trees'!F32</f>
        <v>20</v>
      </c>
      <c r="G38" s="23">
        <f ca="1">'Fruit Trees'!G32</f>
        <v>50</v>
      </c>
      <c r="H38" s="26">
        <f ca="1">'Fruit Trees'!H32</f>
        <v>40</v>
      </c>
      <c r="I38" s="23" t="str">
        <f t="shared" ca="1" si="0"/>
        <v>Apple - Nova Spy #5-2020</v>
      </c>
      <c r="J38" s="10"/>
      <c r="K38" s="26">
        <f t="shared" ca="1" si="1"/>
        <v>0</v>
      </c>
    </row>
    <row r="39" spans="2:11" ht="12.75">
      <c r="B39" s="23" t="str">
        <f ca="1">'Fruit Trees'!A33</f>
        <v>Apple - Pink Lady</v>
      </c>
      <c r="C39" s="23" t="str">
        <f ca="1">'Fruit Trees'!C33</f>
        <v>#7</v>
      </c>
      <c r="D39" s="24" t="str">
        <f ca="1">'Fruit Trees'!D33</f>
        <v>0.75-1"</v>
      </c>
      <c r="E39" s="23" t="str">
        <f ca="1">'Fruit Trees'!E33</f>
        <v>5-7'</v>
      </c>
      <c r="F39" s="25">
        <f ca="1">'Fruit Trees'!F33</f>
        <v>3</v>
      </c>
      <c r="G39" s="23">
        <f ca="1">'Fruit Trees'!G33</f>
        <v>0</v>
      </c>
      <c r="H39" s="26">
        <f ca="1">'Fruit Trees'!H33</f>
        <v>55</v>
      </c>
      <c r="I39" s="23" t="str">
        <f t="shared" ca="1" si="0"/>
        <v>Apple - Pink Lady #7-2020</v>
      </c>
      <c r="J39" s="10"/>
      <c r="K39" s="26">
        <f t="shared" ca="1" si="1"/>
        <v>0</v>
      </c>
    </row>
    <row r="40" spans="2:11" ht="12.75">
      <c r="B40" s="23" t="str">
        <f ca="1">'Fruit Trees'!A34</f>
        <v>Apple - Querina</v>
      </c>
      <c r="C40" s="23" t="str">
        <f ca="1">'Fruit Trees'!C34</f>
        <v>#5</v>
      </c>
      <c r="D40" s="24" t="str">
        <f ca="1">'Fruit Trees'!D34</f>
        <v>0.75-1.25"</v>
      </c>
      <c r="E40" s="23" t="str">
        <f ca="1">'Fruit Trees'!E34</f>
        <v>7-8'</v>
      </c>
      <c r="F40" s="25">
        <f ca="1">'Fruit Trees'!F34</f>
        <v>59</v>
      </c>
      <c r="G40" s="23">
        <f ca="1">'Fruit Trees'!G34</f>
        <v>100</v>
      </c>
      <c r="H40" s="26">
        <f ca="1">'Fruit Trees'!H34</f>
        <v>40</v>
      </c>
      <c r="I40" s="23" t="str">
        <f t="shared" ca="1" si="0"/>
        <v>Apple - Querina #5-2020</v>
      </c>
      <c r="J40" s="10"/>
      <c r="K40" s="26">
        <f t="shared" ca="1" si="1"/>
        <v>0</v>
      </c>
    </row>
    <row r="41" spans="2:11" ht="12.75">
      <c r="B41" s="23" t="str">
        <f ca="1">'Fruit Trees'!A35</f>
        <v>Apple - Querina (standard)</v>
      </c>
      <c r="C41" s="23" t="str">
        <f ca="1">'Fruit Trees'!C35</f>
        <v>#5</v>
      </c>
      <c r="D41" s="24" t="str">
        <f ca="1">'Fruit Trees'!D35</f>
        <v>1-1"</v>
      </c>
      <c r="E41" s="23" t="str">
        <f ca="1">'Fruit Trees'!E35</f>
        <v>7-8'</v>
      </c>
      <c r="F41" s="25">
        <f ca="1">'Fruit Trees'!F35</f>
        <v>24</v>
      </c>
      <c r="G41" s="23">
        <f ca="1">'Fruit Trees'!G35</f>
        <v>0</v>
      </c>
      <c r="H41" s="26">
        <f ca="1">'Fruit Trees'!H35</f>
        <v>40</v>
      </c>
      <c r="I41" s="23" t="str">
        <f t="shared" ca="1" si="0"/>
        <v>Apple - Querina (standard) #5-2020</v>
      </c>
      <c r="J41" s="10"/>
      <c r="K41" s="26">
        <f t="shared" ca="1" si="1"/>
        <v>0</v>
      </c>
    </row>
    <row r="42" spans="2:11" ht="12.75">
      <c r="B42" s="23" t="str">
        <f ca="1">'Fruit Trees'!A36</f>
        <v>Apple - Querina (standard)</v>
      </c>
      <c r="C42" s="23" t="str">
        <f ca="1">'Fruit Trees'!C36</f>
        <v>#10</v>
      </c>
      <c r="D42" s="24" t="str">
        <f ca="1">'Fruit Trees'!D36</f>
        <v>1-1"</v>
      </c>
      <c r="E42" s="23" t="str">
        <f ca="1">'Fruit Trees'!E36</f>
        <v>7-8'</v>
      </c>
      <c r="F42" s="25">
        <f ca="1">'Fruit Trees'!F36</f>
        <v>7</v>
      </c>
      <c r="G42" s="23">
        <f ca="1">'Fruit Trees'!G36</f>
        <v>0</v>
      </c>
      <c r="H42" s="26">
        <f ca="1">'Fruit Trees'!H36</f>
        <v>65</v>
      </c>
      <c r="I42" s="23" t="str">
        <f t="shared" ca="1" si="0"/>
        <v>Apple - Querina (standard) #10-2020</v>
      </c>
      <c r="J42" s="10"/>
      <c r="K42" s="26">
        <f t="shared" ca="1" si="1"/>
        <v>0</v>
      </c>
    </row>
    <row r="43" spans="2:11" ht="12.75">
      <c r="B43" s="23" t="str">
        <f ca="1">'Fruit Trees'!A37</f>
        <v>Apple - Red Delicious</v>
      </c>
      <c r="C43" s="23" t="str">
        <f ca="1">'Fruit Trees'!C37</f>
        <v>#5</v>
      </c>
      <c r="D43" s="24" t="str">
        <f ca="1">'Fruit Trees'!D37</f>
        <v>0.75-1"</v>
      </c>
      <c r="E43" s="23" t="str">
        <f ca="1">'Fruit Trees'!E37</f>
        <v>7-8'</v>
      </c>
      <c r="F43" s="25">
        <f ca="1">'Fruit Trees'!F37</f>
        <v>10</v>
      </c>
      <c r="G43" s="23">
        <f ca="1">'Fruit Trees'!G37</f>
        <v>100</v>
      </c>
      <c r="H43" s="26">
        <f ca="1">'Fruit Trees'!H37</f>
        <v>40</v>
      </c>
      <c r="I43" s="23" t="str">
        <f t="shared" ca="1" si="0"/>
        <v>Apple - Red Delicious #5-2020</v>
      </c>
      <c r="J43" s="10"/>
      <c r="K43" s="26">
        <f t="shared" ca="1" si="1"/>
        <v>0</v>
      </c>
    </row>
    <row r="44" spans="2:11" ht="12.75">
      <c r="B44" s="23" t="str">
        <f ca="1">'Fruit Trees'!A38</f>
        <v>Apple - Spur Winter Banana</v>
      </c>
      <c r="C44" s="23" t="str">
        <f ca="1">'Fruit Trees'!C38</f>
        <v>#5</v>
      </c>
      <c r="D44" s="24" t="str">
        <f ca="1">'Fruit Trees'!D38</f>
        <v>0.75-1"</v>
      </c>
      <c r="E44" s="23" t="str">
        <f ca="1">'Fruit Trees'!E38</f>
        <v>5-5'</v>
      </c>
      <c r="F44" s="25">
        <f ca="1">'Fruit Trees'!F38</f>
        <v>5</v>
      </c>
      <c r="G44" s="23">
        <f ca="1">'Fruit Trees'!G38</f>
        <v>20</v>
      </c>
      <c r="H44" s="26">
        <f ca="1">'Fruit Trees'!H38</f>
        <v>40</v>
      </c>
      <c r="I44" s="23" t="str">
        <f t="shared" ca="1" si="0"/>
        <v>Apple - Spur Winter Banana #5-2020</v>
      </c>
      <c r="J44" s="10"/>
      <c r="K44" s="26">
        <f t="shared" ca="1" si="1"/>
        <v>0</v>
      </c>
    </row>
    <row r="45" spans="2:11" ht="12.75">
      <c r="B45" s="23" t="str">
        <f ca="1">'Fruit Trees'!A39</f>
        <v>Apple - Winesap</v>
      </c>
      <c r="C45" s="23" t="str">
        <f ca="1">'Fruit Trees'!C39</f>
        <v>#5</v>
      </c>
      <c r="D45" s="24" t="str">
        <f ca="1">'Fruit Trees'!D39</f>
        <v>0.5-0.75"</v>
      </c>
      <c r="E45" s="23" t="str">
        <f ca="1">'Fruit Trees'!E39</f>
        <v>5-7'</v>
      </c>
      <c r="F45" s="25">
        <f ca="1">'Fruit Trees'!F39</f>
        <v>24</v>
      </c>
      <c r="G45" s="23">
        <f ca="1">'Fruit Trees'!G39</f>
        <v>100</v>
      </c>
      <c r="H45" s="26">
        <f ca="1">'Fruit Trees'!H39</f>
        <v>40</v>
      </c>
      <c r="I45" s="23" t="str">
        <f t="shared" ca="1" si="0"/>
        <v>Apple - Winesap #5-2020</v>
      </c>
      <c r="J45" s="10"/>
      <c r="K45" s="26">
        <f t="shared" ca="1" si="1"/>
        <v>0</v>
      </c>
    </row>
    <row r="46" spans="2:11" ht="12.75">
      <c r="B46" s="23" t="str">
        <f ca="1">'Fruit Trees'!A40</f>
        <v>Apple - Winesap</v>
      </c>
      <c r="C46" s="23" t="str">
        <f ca="1">'Fruit Trees'!C40</f>
        <v>#10</v>
      </c>
      <c r="D46" s="24" t="str">
        <f ca="1">'Fruit Trees'!D40</f>
        <v>0.75-0.75"</v>
      </c>
      <c r="E46" s="23" t="str">
        <f ca="1">'Fruit Trees'!E40</f>
        <v>7-7'</v>
      </c>
      <c r="F46" s="25">
        <f ca="1">'Fruit Trees'!F40</f>
        <v>1</v>
      </c>
      <c r="G46" s="23">
        <f ca="1">'Fruit Trees'!G40</f>
        <v>0</v>
      </c>
      <c r="H46" s="26">
        <f ca="1">'Fruit Trees'!H40</f>
        <v>65</v>
      </c>
      <c r="I46" s="23" t="str">
        <f t="shared" ca="1" si="0"/>
        <v>Apple - Winesap #10-2020</v>
      </c>
      <c r="J46" s="10"/>
      <c r="K46" s="26">
        <f t="shared" ca="1" si="1"/>
        <v>0</v>
      </c>
    </row>
    <row r="47" spans="2:11" ht="12.75">
      <c r="B47" s="23" t="str">
        <f ca="1">'Fruit Trees'!A41</f>
        <v>Apple - Yellow Delicious</v>
      </c>
      <c r="C47" s="23" t="str">
        <f ca="1">'Fruit Trees'!C41</f>
        <v>#5</v>
      </c>
      <c r="D47" s="24" t="str">
        <f ca="1">'Fruit Trees'!D41</f>
        <v>0.5-0.5"</v>
      </c>
      <c r="E47" s="23" t="str">
        <f ca="1">'Fruit Trees'!E41</f>
        <v>4-5'</v>
      </c>
      <c r="F47" s="25">
        <f ca="1">'Fruit Trees'!F41</f>
        <v>0</v>
      </c>
      <c r="G47" s="23">
        <f ca="1">'Fruit Trees'!G41</f>
        <v>50</v>
      </c>
      <c r="H47" s="26">
        <f ca="1">'Fruit Trees'!H41</f>
        <v>40</v>
      </c>
      <c r="I47" s="23" t="str">
        <f t="shared" ca="1" si="0"/>
        <v>Apple - Yellow Delicious #5-2020</v>
      </c>
      <c r="J47" s="10"/>
      <c r="K47" s="26">
        <f t="shared" ca="1" si="1"/>
        <v>0</v>
      </c>
    </row>
    <row r="48" spans="2:11" ht="12.75">
      <c r="B48" s="23" t="str">
        <f ca="1">'Fruit Trees'!A42</f>
        <v>Apricot - Flavor Giant</v>
      </c>
      <c r="C48" s="23" t="str">
        <f ca="1">'Fruit Trees'!C42</f>
        <v>#5</v>
      </c>
      <c r="D48" s="24" t="str">
        <f ca="1">'Fruit Trees'!D42</f>
        <v>0.75-0.75"</v>
      </c>
      <c r="E48" s="23" t="str">
        <f ca="1">'Fruit Trees'!E42</f>
        <v>7-7'</v>
      </c>
      <c r="F48" s="25">
        <f ca="1">'Fruit Trees'!F42</f>
        <v>1</v>
      </c>
      <c r="G48" s="23">
        <f ca="1">'Fruit Trees'!G42</f>
        <v>0</v>
      </c>
      <c r="H48" s="26">
        <f ca="1">'Fruit Trees'!H42</f>
        <v>40</v>
      </c>
      <c r="I48" s="23" t="str">
        <f t="shared" ca="1" si="0"/>
        <v>Apricot - Flavor Giant #5-2020</v>
      </c>
      <c r="J48" s="10"/>
      <c r="K48" s="26">
        <f t="shared" ca="1" si="1"/>
        <v>0</v>
      </c>
    </row>
    <row r="49" spans="2:11" ht="12.75">
      <c r="B49" s="23" t="str">
        <f ca="1">'Fruit Trees'!A43</f>
        <v>Apricot - Flavor Giant</v>
      </c>
      <c r="C49" s="23" t="str">
        <f ca="1">'Fruit Trees'!C43</f>
        <v>#7</v>
      </c>
      <c r="D49" s="24" t="str">
        <f ca="1">'Fruit Trees'!D43</f>
        <v>0.5-1"</v>
      </c>
      <c r="E49" s="23" t="str">
        <f ca="1">'Fruit Trees'!E43</f>
        <v>6-10'</v>
      </c>
      <c r="F49" s="25">
        <f ca="1">'Fruit Trees'!F43</f>
        <v>32</v>
      </c>
      <c r="G49" s="23">
        <f ca="1">'Fruit Trees'!G43</f>
        <v>0</v>
      </c>
      <c r="H49" s="26">
        <f ca="1">'Fruit Trees'!H43</f>
        <v>60</v>
      </c>
      <c r="I49" s="23" t="str">
        <f t="shared" ca="1" si="0"/>
        <v>Apricot - Flavor Giant #7-2020</v>
      </c>
      <c r="J49" s="10"/>
      <c r="K49" s="26">
        <f t="shared" ca="1" si="1"/>
        <v>0</v>
      </c>
    </row>
    <row r="50" spans="2:11" ht="12.75">
      <c r="B50" s="23" t="str">
        <f ca="1">'Fruit Trees'!A44</f>
        <v>Apricot - Golden Amber</v>
      </c>
      <c r="C50" s="23" t="str">
        <f ca="1">'Fruit Trees'!C44</f>
        <v>#5</v>
      </c>
      <c r="D50" s="24" t="str">
        <f ca="1">'Fruit Trees'!D44</f>
        <v>1-1"</v>
      </c>
      <c r="E50" s="23" t="str">
        <f ca="1">'Fruit Trees'!E44</f>
        <v>7-9'</v>
      </c>
      <c r="F50" s="25">
        <f ca="1">'Fruit Trees'!F44</f>
        <v>6</v>
      </c>
      <c r="G50" s="23">
        <f ca="1">'Fruit Trees'!G44</f>
        <v>0</v>
      </c>
      <c r="H50" s="26">
        <f ca="1">'Fruit Trees'!H44</f>
        <v>40</v>
      </c>
      <c r="I50" s="23" t="str">
        <f t="shared" ca="1" si="0"/>
        <v>Apricot - Golden Amber #5-2020</v>
      </c>
      <c r="J50" s="10"/>
      <c r="K50" s="26">
        <f t="shared" ca="1" si="1"/>
        <v>0</v>
      </c>
    </row>
    <row r="51" spans="2:11" ht="12.75">
      <c r="B51" s="23" t="str">
        <f ca="1">'Fruit Trees'!A45</f>
        <v>Apricot - Harlayne</v>
      </c>
      <c r="C51" s="23" t="str">
        <f ca="1">'Fruit Trees'!C45</f>
        <v>#5</v>
      </c>
      <c r="D51" s="24" t="str">
        <f ca="1">'Fruit Trees'!D45</f>
        <v>0.75-0.75"</v>
      </c>
      <c r="E51" s="23" t="str">
        <f ca="1">'Fruit Trees'!E45</f>
        <v>5-7'</v>
      </c>
      <c r="F51" s="25">
        <f ca="1">'Fruit Trees'!F45</f>
        <v>6</v>
      </c>
      <c r="G51" s="23">
        <f ca="1">'Fruit Trees'!G45</f>
        <v>50</v>
      </c>
      <c r="H51" s="26">
        <f ca="1">'Fruit Trees'!H45</f>
        <v>40</v>
      </c>
      <c r="I51" s="23" t="str">
        <f t="shared" ca="1" si="0"/>
        <v>Apricot - Harlayne #5-2020</v>
      </c>
      <c r="J51" s="10"/>
      <c r="K51" s="26">
        <f t="shared" ca="1" si="1"/>
        <v>0</v>
      </c>
    </row>
    <row r="52" spans="2:11" ht="12.75">
      <c r="B52" s="23" t="str">
        <f ca="1">'Fruit Trees'!A46</f>
        <v>Apricot - Moorpark</v>
      </c>
      <c r="C52" s="23" t="str">
        <f ca="1">'Fruit Trees'!C46</f>
        <v>#5</v>
      </c>
      <c r="D52" s="24" t="str">
        <f ca="1">'Fruit Trees'!D46</f>
        <v>0.5-0.75"</v>
      </c>
      <c r="E52" s="23" t="str">
        <f ca="1">'Fruit Trees'!E46</f>
        <v>6-7'</v>
      </c>
      <c r="F52" s="25">
        <f ca="1">'Fruit Trees'!F46</f>
        <v>2</v>
      </c>
      <c r="G52" s="23">
        <f ca="1">'Fruit Trees'!G46</f>
        <v>0</v>
      </c>
      <c r="H52" s="26">
        <f ca="1">'Fruit Trees'!H46</f>
        <v>40</v>
      </c>
      <c r="I52" s="23" t="str">
        <f t="shared" ca="1" si="0"/>
        <v>Apricot - Moorpark #5-2020</v>
      </c>
      <c r="J52" s="10"/>
      <c r="K52" s="26">
        <f t="shared" ca="1" si="1"/>
        <v>0</v>
      </c>
    </row>
    <row r="53" spans="2:11" ht="12.75">
      <c r="B53" s="23" t="str">
        <f ca="1">'Fruit Trees'!A47</f>
        <v>Apricot - Moorpark</v>
      </c>
      <c r="C53" s="23" t="str">
        <f ca="1">'Fruit Trees'!C47</f>
        <v>#7</v>
      </c>
      <c r="D53" s="24" t="str">
        <f ca="1">'Fruit Trees'!D47</f>
        <v>0.75-1"</v>
      </c>
      <c r="E53" s="23" t="str">
        <f ca="1">'Fruit Trees'!E47</f>
        <v>6-7'</v>
      </c>
      <c r="F53" s="25">
        <f ca="1">'Fruit Trees'!F47</f>
        <v>4</v>
      </c>
      <c r="G53" s="23">
        <f ca="1">'Fruit Trees'!G47</f>
        <v>0</v>
      </c>
      <c r="H53" s="26">
        <f ca="1">'Fruit Trees'!H47</f>
        <v>60</v>
      </c>
      <c r="I53" s="23" t="str">
        <f t="shared" ca="1" si="0"/>
        <v>Apricot - Moorpark #7-2020</v>
      </c>
      <c r="J53" s="10"/>
      <c r="K53" s="26">
        <f t="shared" ca="1" si="1"/>
        <v>0</v>
      </c>
    </row>
    <row r="54" spans="2:11" ht="12.75">
      <c r="B54" s="23" t="str">
        <f ca="1">'Fruit Trees'!A48</f>
        <v>Apricot - OrangeRed</v>
      </c>
      <c r="C54" s="23" t="str">
        <f ca="1">'Fruit Trees'!C48</f>
        <v>#5</v>
      </c>
      <c r="D54" s="24" t="str">
        <f ca="1">'Fruit Trees'!D48</f>
        <v>0.75-1"</v>
      </c>
      <c r="E54" s="23" t="str">
        <f ca="1">'Fruit Trees'!E48</f>
        <v>5-10'</v>
      </c>
      <c r="F54" s="25">
        <f ca="1">'Fruit Trees'!F48</f>
        <v>11</v>
      </c>
      <c r="G54" s="23">
        <f ca="1">'Fruit Trees'!G48</f>
        <v>50</v>
      </c>
      <c r="H54" s="26">
        <f ca="1">'Fruit Trees'!H48</f>
        <v>40</v>
      </c>
      <c r="I54" s="23" t="str">
        <f t="shared" ca="1" si="0"/>
        <v>Apricot - OrangeRed #5-2020</v>
      </c>
      <c r="J54" s="10"/>
      <c r="K54" s="26">
        <f t="shared" ca="1" si="1"/>
        <v>0</v>
      </c>
    </row>
    <row r="55" spans="2:11" ht="12.75">
      <c r="B55" s="23" t="str">
        <f ca="1">'Fruit Trees'!A49</f>
        <v>Apricot - OrangeRed</v>
      </c>
      <c r="C55" s="23" t="str">
        <f ca="1">'Fruit Trees'!C49</f>
        <v>#7</v>
      </c>
      <c r="D55" s="24" t="str">
        <f ca="1">'Fruit Trees'!D49</f>
        <v>0.75-1"</v>
      </c>
      <c r="E55" s="23" t="str">
        <f ca="1">'Fruit Trees'!E49</f>
        <v>5-10'</v>
      </c>
      <c r="F55" s="25">
        <f ca="1">'Fruit Trees'!F49</f>
        <v>3</v>
      </c>
      <c r="G55" s="23">
        <f ca="1">'Fruit Trees'!G49</f>
        <v>0</v>
      </c>
      <c r="H55" s="26">
        <f ca="1">'Fruit Trees'!H49</f>
        <v>60</v>
      </c>
      <c r="I55" s="23" t="str">
        <f t="shared" ca="1" si="0"/>
        <v>Apricot - OrangeRed #7-2020</v>
      </c>
      <c r="J55" s="10"/>
      <c r="K55" s="26">
        <f t="shared" ca="1" si="1"/>
        <v>0</v>
      </c>
    </row>
    <row r="56" spans="2:11" ht="12.75">
      <c r="B56" s="23" t="str">
        <f ca="1">'Fruit Trees'!A50</f>
        <v>Apricot - Royal</v>
      </c>
      <c r="C56" s="23" t="str">
        <f ca="1">'Fruit Trees'!C50</f>
        <v>#5</v>
      </c>
      <c r="D56" s="24" t="str">
        <f ca="1">'Fruit Trees'!D50</f>
        <v>0.5-0.75"</v>
      </c>
      <c r="E56" s="23" t="str">
        <f ca="1">'Fruit Trees'!E50</f>
        <v>2-6'</v>
      </c>
      <c r="F56" s="25">
        <f ca="1">'Fruit Trees'!F50</f>
        <v>3</v>
      </c>
      <c r="G56" s="23">
        <f ca="1">'Fruit Trees'!G50</f>
        <v>0</v>
      </c>
      <c r="H56" s="26">
        <f ca="1">'Fruit Trees'!H50</f>
        <v>40</v>
      </c>
      <c r="I56" s="23" t="str">
        <f t="shared" ca="1" si="0"/>
        <v>Apricot - Royal #5-2020</v>
      </c>
      <c r="J56" s="10"/>
      <c r="K56" s="26">
        <f t="shared" ca="1" si="1"/>
        <v>0</v>
      </c>
    </row>
    <row r="57" spans="2:11" ht="12.75">
      <c r="B57" s="23" t="str">
        <f ca="1">'Fruit Trees'!A51</f>
        <v>Asian Pear - Hosui</v>
      </c>
      <c r="C57" s="23" t="str">
        <f ca="1">'Fruit Trees'!C51</f>
        <v>#5</v>
      </c>
      <c r="D57" s="24" t="str">
        <f ca="1">'Fruit Trees'!D51</f>
        <v>0.5-0.75"</v>
      </c>
      <c r="E57" s="23" t="str">
        <f ca="1">'Fruit Trees'!E51</f>
        <v>3-5'</v>
      </c>
      <c r="F57" s="25">
        <f ca="1">'Fruit Trees'!F51</f>
        <v>0</v>
      </c>
      <c r="G57" s="23">
        <f ca="1">'Fruit Trees'!G51</f>
        <v>100</v>
      </c>
      <c r="H57" s="26">
        <f ca="1">'Fruit Trees'!H51</f>
        <v>40</v>
      </c>
      <c r="I57" s="23" t="str">
        <f t="shared" ca="1" si="0"/>
        <v>Asian Pear - Hosui #5-2020</v>
      </c>
      <c r="J57" s="10"/>
      <c r="K57" s="26">
        <f t="shared" ca="1" si="1"/>
        <v>0</v>
      </c>
    </row>
    <row r="58" spans="2:11" ht="12.75">
      <c r="B58" s="23" t="str">
        <f ca="1">'Fruit Trees'!A52</f>
        <v>Asian Pear - Kosui</v>
      </c>
      <c r="C58" s="23" t="str">
        <f ca="1">'Fruit Trees'!C52</f>
        <v>#5</v>
      </c>
      <c r="D58" s="24" t="str">
        <f ca="1">'Fruit Trees'!D52</f>
        <v>0.5-0.75"</v>
      </c>
      <c r="E58" s="23" t="str">
        <f ca="1">'Fruit Trees'!E52</f>
        <v>3-5'</v>
      </c>
      <c r="F58" s="25">
        <f ca="1">'Fruit Trees'!F52</f>
        <v>0</v>
      </c>
      <c r="G58" s="23">
        <f ca="1">'Fruit Trees'!G52</f>
        <v>100</v>
      </c>
      <c r="H58" s="26">
        <f ca="1">'Fruit Trees'!H52</f>
        <v>40</v>
      </c>
      <c r="I58" s="23" t="str">
        <f t="shared" ca="1" si="0"/>
        <v>Asian Pear - Kosui #5-2020</v>
      </c>
      <c r="J58" s="10"/>
      <c r="K58" s="26">
        <f t="shared" ca="1" si="1"/>
        <v>0</v>
      </c>
    </row>
    <row r="59" spans="2:11" ht="12.75">
      <c r="B59" s="23" t="str">
        <f ca="1">'Fruit Trees'!A53</f>
        <v>Asian Pear - Kosui</v>
      </c>
      <c r="C59" s="23" t="str">
        <f ca="1">'Fruit Trees'!C53</f>
        <v>#7</v>
      </c>
      <c r="D59" s="24" t="str">
        <f ca="1">'Fruit Trees'!D53</f>
        <v>0.75-1"</v>
      </c>
      <c r="E59" s="23" t="str">
        <f ca="1">'Fruit Trees'!E53</f>
        <v>7-8'</v>
      </c>
      <c r="F59" s="25">
        <f ca="1">'Fruit Trees'!F53</f>
        <v>12</v>
      </c>
      <c r="G59" s="23">
        <f ca="1">'Fruit Trees'!G53</f>
        <v>0</v>
      </c>
      <c r="H59" s="26">
        <f ca="1">'Fruit Trees'!H53</f>
        <v>60</v>
      </c>
      <c r="I59" s="23" t="str">
        <f t="shared" ca="1" si="0"/>
        <v>Asian Pear - Kosui #7-2020</v>
      </c>
      <c r="J59" s="10"/>
      <c r="K59" s="26">
        <f t="shared" ca="1" si="1"/>
        <v>0</v>
      </c>
    </row>
    <row r="60" spans="2:11" ht="12.75">
      <c r="B60" s="23" t="str">
        <f ca="1">'Fruit Trees'!A54</f>
        <v>Asian Pear - Olympic</v>
      </c>
      <c r="C60" s="23" t="str">
        <f ca="1">'Fruit Trees'!C54</f>
        <v>#5</v>
      </c>
      <c r="D60" s="24" t="str">
        <f ca="1">'Fruit Trees'!D54</f>
        <v>0.75-1"</v>
      </c>
      <c r="E60" s="23" t="str">
        <f ca="1">'Fruit Trees'!E54</f>
        <v>5-6'</v>
      </c>
      <c r="F60" s="25">
        <f ca="1">'Fruit Trees'!F54</f>
        <v>7</v>
      </c>
      <c r="G60" s="23">
        <f ca="1">'Fruit Trees'!G54</f>
        <v>100</v>
      </c>
      <c r="H60" s="26">
        <f ca="1">'Fruit Trees'!H54</f>
        <v>40</v>
      </c>
      <c r="I60" s="23" t="str">
        <f t="shared" ca="1" si="0"/>
        <v>Asian Pear - Olympic #5-2020</v>
      </c>
      <c r="J60" s="10"/>
      <c r="K60" s="26">
        <f t="shared" ca="1" si="1"/>
        <v>0</v>
      </c>
    </row>
    <row r="61" spans="2:11" ht="12.75">
      <c r="B61" s="23" t="str">
        <f ca="1">'Fruit Trees'!A55</f>
        <v>Asian Pear - Shinko</v>
      </c>
      <c r="C61" s="23" t="str">
        <f ca="1">'Fruit Trees'!C55</f>
        <v>#5</v>
      </c>
      <c r="D61" s="24" t="str">
        <f ca="1">'Fruit Trees'!D55</f>
        <v>0-0.5"</v>
      </c>
      <c r="E61" s="23" t="str">
        <f ca="1">'Fruit Trees'!E55</f>
        <v>0-5'</v>
      </c>
      <c r="F61" s="25">
        <f ca="1">'Fruit Trees'!F55</f>
        <v>-3</v>
      </c>
      <c r="G61" s="23">
        <f ca="1">'Fruit Trees'!G55</f>
        <v>100</v>
      </c>
      <c r="H61" s="26">
        <f ca="1">'Fruit Trees'!H55</f>
        <v>40</v>
      </c>
      <c r="I61" s="23" t="str">
        <f t="shared" ca="1" si="0"/>
        <v>Asian Pear - Shinko #5-2020</v>
      </c>
      <c r="J61" s="10"/>
      <c r="K61" s="26">
        <f t="shared" ca="1" si="1"/>
        <v>0</v>
      </c>
    </row>
    <row r="62" spans="2:11" ht="12.75">
      <c r="B62" s="23" t="str">
        <f ca="1">'Fruit Trees'!A56</f>
        <v>Asian Pear - Shinko</v>
      </c>
      <c r="C62" s="23" t="str">
        <f ca="1">'Fruit Trees'!C56</f>
        <v>#7</v>
      </c>
      <c r="D62" s="24" t="str">
        <f ca="1">'Fruit Trees'!D56</f>
        <v>0.5-1"</v>
      </c>
      <c r="E62" s="23" t="str">
        <f ca="1">'Fruit Trees'!E56</f>
        <v>5-7'</v>
      </c>
      <c r="F62" s="25">
        <f ca="1">'Fruit Trees'!F56</f>
        <v>8</v>
      </c>
      <c r="G62" s="23">
        <f ca="1">'Fruit Trees'!G56</f>
        <v>0</v>
      </c>
      <c r="H62" s="26">
        <f ca="1">'Fruit Trees'!H56</f>
        <v>60</v>
      </c>
      <c r="I62" s="23" t="str">
        <f t="shared" ca="1" si="0"/>
        <v>Asian Pear - Shinko #7-2020</v>
      </c>
      <c r="J62" s="10"/>
      <c r="K62" s="26">
        <f t="shared" ca="1" si="1"/>
        <v>0</v>
      </c>
    </row>
    <row r="63" spans="2:11" ht="12.75">
      <c r="B63" s="23" t="str">
        <f ca="1">'Fruit Trees'!A57</f>
        <v>Asian Pear - Shinseiki</v>
      </c>
      <c r="C63" s="23" t="str">
        <f ca="1">'Fruit Trees'!C57</f>
        <v>#5</v>
      </c>
      <c r="D63" s="24" t="str">
        <f ca="1">'Fruit Trees'!D57</f>
        <v>0.5-1"</v>
      </c>
      <c r="E63" s="23" t="str">
        <f ca="1">'Fruit Trees'!E57</f>
        <v>3-6'</v>
      </c>
      <c r="F63" s="25">
        <f ca="1">'Fruit Trees'!F57</f>
        <v>1</v>
      </c>
      <c r="G63" s="23">
        <f ca="1">'Fruit Trees'!G57</f>
        <v>110</v>
      </c>
      <c r="H63" s="26">
        <f ca="1">'Fruit Trees'!H57</f>
        <v>40</v>
      </c>
      <c r="I63" s="23" t="str">
        <f t="shared" ca="1" si="0"/>
        <v>Asian Pear - Shinseiki #5-2020</v>
      </c>
      <c r="J63" s="10"/>
      <c r="K63" s="26">
        <f t="shared" ca="1" si="1"/>
        <v>0</v>
      </c>
    </row>
    <row r="64" spans="2:11" ht="12.75">
      <c r="B64" s="23" t="str">
        <f ca="1">'Fruit Trees'!A58</f>
        <v>Blackberry - Arapaho</v>
      </c>
      <c r="C64" s="23" t="str">
        <f ca="1">'Fruit Trees'!C58</f>
        <v>#5</v>
      </c>
      <c r="D64" s="24" t="str">
        <f ca="1">'Fruit Trees'!D58</f>
        <v>Multi</v>
      </c>
      <c r="E64" s="23" t="str">
        <f ca="1">'Fruit Trees'!E58</f>
        <v>1-2'</v>
      </c>
      <c r="F64" s="25">
        <f ca="1">'Fruit Trees'!F58</f>
        <v>0</v>
      </c>
      <c r="G64" s="23">
        <f ca="1">'Fruit Trees'!G58</f>
        <v>72</v>
      </c>
      <c r="H64" s="26">
        <f ca="1">'Fruit Trees'!H58</f>
        <v>30</v>
      </c>
      <c r="I64" s="23" t="str">
        <f t="shared" ca="1" si="0"/>
        <v>Blackberry - Arapaho #5-2020</v>
      </c>
      <c r="J64" s="10"/>
      <c r="K64" s="26">
        <f t="shared" ca="1" si="1"/>
        <v>0</v>
      </c>
    </row>
    <row r="65" spans="2:11" ht="12.75">
      <c r="B65" s="23" t="str">
        <f ca="1">'Fruit Trees'!A59</f>
        <v>Blackberry - Navajo</v>
      </c>
      <c r="C65" s="23" t="str">
        <f ca="1">'Fruit Trees'!C59</f>
        <v>#5</v>
      </c>
      <c r="D65" s="27" t="str">
        <f ca="1">'Fruit Trees'!D59</f>
        <v>Multi</v>
      </c>
      <c r="E65" s="23" t="str">
        <f ca="1">'Fruit Trees'!E59</f>
        <v>2-3'</v>
      </c>
      <c r="F65" s="25">
        <f ca="1">'Fruit Trees'!F59</f>
        <v>69</v>
      </c>
      <c r="G65" s="23">
        <f ca="1">'Fruit Trees'!G59</f>
        <v>72</v>
      </c>
      <c r="H65" s="26">
        <f ca="1">'Fruit Trees'!H59</f>
        <v>30</v>
      </c>
      <c r="I65" s="23" t="str">
        <f t="shared" ca="1" si="0"/>
        <v>Blackberry - Navajo #5-2020</v>
      </c>
      <c r="J65" s="10"/>
      <c r="K65" s="26">
        <f t="shared" ca="1" si="1"/>
        <v>0</v>
      </c>
    </row>
    <row r="66" spans="2:11" ht="12.75">
      <c r="B66" s="23" t="str">
        <f ca="1">'Fruit Trees'!A60</f>
        <v>Blackberry - Ouchita</v>
      </c>
      <c r="C66" s="23" t="str">
        <f ca="1">'Fruit Trees'!C60</f>
        <v>#5</v>
      </c>
      <c r="D66" s="24" t="str">
        <f ca="1">'Fruit Trees'!D60</f>
        <v>Multi</v>
      </c>
      <c r="E66" s="23" t="str">
        <f ca="1">'Fruit Trees'!E60</f>
        <v>1-3'</v>
      </c>
      <c r="F66" s="25">
        <f ca="1">'Fruit Trees'!F60</f>
        <v>62</v>
      </c>
      <c r="G66" s="23">
        <f ca="1">'Fruit Trees'!G60</f>
        <v>72</v>
      </c>
      <c r="H66" s="26">
        <f ca="1">'Fruit Trees'!H60</f>
        <v>30</v>
      </c>
      <c r="I66" s="23" t="str">
        <f t="shared" ca="1" si="0"/>
        <v>Blackberry - Ouchita #5-2020</v>
      </c>
      <c r="J66" s="10"/>
      <c r="K66" s="26">
        <f t="shared" ca="1" si="1"/>
        <v>0</v>
      </c>
    </row>
    <row r="67" spans="2:11" ht="12.75">
      <c r="B67" s="23" t="str">
        <f ca="1">'Fruit Trees'!A61</f>
        <v>Blackberry - Prime-ark 'Freedom'</v>
      </c>
      <c r="C67" s="23" t="str">
        <f ca="1">'Fruit Trees'!C61</f>
        <v>#5</v>
      </c>
      <c r="D67" s="24" t="str">
        <f ca="1">'Fruit Trees'!D61</f>
        <v>Multi</v>
      </c>
      <c r="E67" s="23" t="str">
        <f ca="1">'Fruit Trees'!E61</f>
        <v>1-2'</v>
      </c>
      <c r="F67" s="25">
        <f ca="1">'Fruit Trees'!F61</f>
        <v>55</v>
      </c>
      <c r="G67" s="23">
        <f ca="1">'Fruit Trees'!G61</f>
        <v>72</v>
      </c>
      <c r="H67" s="26">
        <f ca="1">'Fruit Trees'!H61</f>
        <v>30</v>
      </c>
      <c r="I67" s="23" t="str">
        <f t="shared" ca="1" si="0"/>
        <v>Blackberry - Prime-ark 'Freedom' #5-2020</v>
      </c>
      <c r="J67" s="10"/>
      <c r="K67" s="26">
        <f t="shared" ca="1" si="1"/>
        <v>0</v>
      </c>
    </row>
    <row r="68" spans="2:11" ht="12.75">
      <c r="B68" s="23" t="str">
        <f ca="1">'Fruit Trees'!A62</f>
        <v>Blueberry - Blue Crop</v>
      </c>
      <c r="C68" s="23" t="str">
        <f ca="1">'Fruit Trees'!C62</f>
        <v>#5</v>
      </c>
      <c r="D68" s="24" t="str">
        <f ca="1">'Fruit Trees'!D62</f>
        <v>Multi</v>
      </c>
      <c r="E68" s="23" t="str">
        <f ca="1">'Fruit Trees'!E62</f>
        <v>0.5-3'</v>
      </c>
      <c r="F68" s="25">
        <f ca="1">'Fruit Trees'!F62</f>
        <v>6</v>
      </c>
      <c r="G68" s="23">
        <f ca="1">'Fruit Trees'!G62</f>
        <v>0</v>
      </c>
      <c r="H68" s="26">
        <f ca="1">'Fruit Trees'!H62</f>
        <v>25</v>
      </c>
      <c r="I68" s="23" t="str">
        <f t="shared" ca="1" si="0"/>
        <v>Blueberry - Blue Crop #5-2020</v>
      </c>
      <c r="J68" s="10"/>
      <c r="K68" s="26">
        <f t="shared" ca="1" si="1"/>
        <v>0</v>
      </c>
    </row>
    <row r="69" spans="2:11" ht="12.75">
      <c r="B69" s="23" t="str">
        <f ca="1">'Fruit Trees'!A63</f>
        <v>Blueberry - Duke</v>
      </c>
      <c r="C69" s="23" t="str">
        <f ca="1">'Fruit Trees'!C63</f>
        <v>#5</v>
      </c>
      <c r="D69" s="27" t="str">
        <f ca="1">'Fruit Trees'!D63</f>
        <v>Multi</v>
      </c>
      <c r="E69" s="23" t="str">
        <f ca="1">'Fruit Trees'!E63</f>
        <v>0-3'</v>
      </c>
      <c r="F69" s="25">
        <f ca="1">'Fruit Trees'!F63</f>
        <v>-6</v>
      </c>
      <c r="G69" s="23">
        <f ca="1">'Fruit Trees'!G63</f>
        <v>72</v>
      </c>
      <c r="H69" s="26">
        <f ca="1">'Fruit Trees'!H63</f>
        <v>25</v>
      </c>
      <c r="I69" s="23" t="str">
        <f t="shared" ca="1" si="0"/>
        <v>Blueberry - Duke #5-2020</v>
      </c>
      <c r="J69" s="10"/>
      <c r="K69" s="26">
        <f t="shared" ca="1" si="1"/>
        <v>0</v>
      </c>
    </row>
    <row r="70" spans="2:11" ht="12.75">
      <c r="B70" s="23" t="str">
        <f ca="1">'Fruit Trees'!A64</f>
        <v>Cherry (Sour) - Montmorency</v>
      </c>
      <c r="C70" s="23" t="str">
        <f ca="1">'Fruit Trees'!C64</f>
        <v>#5</v>
      </c>
      <c r="D70" s="24" t="str">
        <f ca="1">'Fruit Trees'!D64</f>
        <v>0.5-0.75"</v>
      </c>
      <c r="E70" s="23" t="str">
        <f ca="1">'Fruit Trees'!E64</f>
        <v>4-6'</v>
      </c>
      <c r="F70" s="25">
        <f ca="1">'Fruit Trees'!F64</f>
        <v>5</v>
      </c>
      <c r="G70" s="23">
        <f ca="1">'Fruit Trees'!G64</f>
        <v>150</v>
      </c>
      <c r="H70" s="26">
        <f ca="1">'Fruit Trees'!H64</f>
        <v>40</v>
      </c>
      <c r="I70" s="23" t="str">
        <f t="shared" ca="1" si="0"/>
        <v>Cherry (Sour) - Montmorency #5-2020</v>
      </c>
      <c r="J70" s="10"/>
      <c r="K70" s="26">
        <f t="shared" ca="1" si="1"/>
        <v>0</v>
      </c>
    </row>
    <row r="71" spans="2:11" ht="12.75">
      <c r="B71" s="23" t="str">
        <f ca="1">'Fruit Trees'!A65</f>
        <v>Chestnut - Chinese</v>
      </c>
      <c r="C71" s="23" t="str">
        <f ca="1">'Fruit Trees'!C65</f>
        <v>#5</v>
      </c>
      <c r="D71" s="24" t="str">
        <f ca="1">'Fruit Trees'!D65</f>
        <v>0.125-0.75"</v>
      </c>
      <c r="E71" s="23" t="str">
        <f ca="1">'Fruit Trees'!E65</f>
        <v>3-4.5'</v>
      </c>
      <c r="F71" s="25">
        <f ca="1">'Fruit Trees'!F65</f>
        <v>115</v>
      </c>
      <c r="G71" s="23">
        <f ca="1">'Fruit Trees'!G65</f>
        <v>0</v>
      </c>
      <c r="H71" s="26">
        <f ca="1">'Fruit Trees'!H65</f>
        <v>35</v>
      </c>
      <c r="I71" s="23" t="str">
        <f t="shared" ca="1" si="0"/>
        <v>Chestnut - Chinese #5-2020</v>
      </c>
      <c r="J71" s="10"/>
      <c r="K71" s="26">
        <f t="shared" ca="1" si="1"/>
        <v>0</v>
      </c>
    </row>
    <row r="72" spans="2:11" ht="12.75">
      <c r="B72" s="23" t="str">
        <f ca="1">'Fruit Trees'!A66</f>
        <v>Elderberry</v>
      </c>
      <c r="C72" s="23" t="str">
        <f ca="1">'Fruit Trees'!C66</f>
        <v>#5</v>
      </c>
      <c r="D72" s="24" t="str">
        <f ca="1">'Fruit Trees'!D66</f>
        <v>Multi</v>
      </c>
      <c r="E72" s="23" t="str">
        <f ca="1">'Fruit Trees'!E66</f>
        <v>2-3'</v>
      </c>
      <c r="F72" s="25">
        <f ca="1">'Fruit Trees'!F66</f>
        <v>3</v>
      </c>
      <c r="G72" s="23">
        <f ca="1">'Fruit Trees'!G66</f>
        <v>300</v>
      </c>
      <c r="H72" s="26">
        <f ca="1">'Fruit Trees'!H66</f>
        <v>30</v>
      </c>
      <c r="I72" s="23" t="str">
        <f t="shared" ca="1" si="0"/>
        <v>Elderberry #5-2020</v>
      </c>
      <c r="J72" s="10"/>
      <c r="K72" s="26">
        <f t="shared" ca="1" si="1"/>
        <v>0</v>
      </c>
    </row>
    <row r="73" spans="2:11" ht="12.75">
      <c r="B73" s="23" t="str">
        <f ca="1">'Fruit Trees'!A67</f>
        <v>Fig - Black Mission</v>
      </c>
      <c r="C73" s="23" t="str">
        <f ca="1">'Fruit Trees'!C67</f>
        <v>#5</v>
      </c>
      <c r="D73" s="27" t="str">
        <f ca="1">'Fruit Trees'!D67</f>
        <v>Multi</v>
      </c>
      <c r="E73" s="23" t="str">
        <f ca="1">'Fruit Trees'!E67</f>
        <v>1-2'</v>
      </c>
      <c r="F73" s="25">
        <f ca="1">'Fruit Trees'!F67</f>
        <v>43</v>
      </c>
      <c r="G73" s="23">
        <f ca="1">'Fruit Trees'!G67</f>
        <v>0</v>
      </c>
      <c r="H73" s="26">
        <f ca="1">'Fruit Trees'!H67</f>
        <v>30</v>
      </c>
      <c r="I73" s="23" t="str">
        <f t="shared" ca="1" si="0"/>
        <v>Fig - Black Mission #5-2020</v>
      </c>
      <c r="J73" s="10"/>
      <c r="K73" s="26">
        <f t="shared" ca="1" si="1"/>
        <v>0</v>
      </c>
    </row>
    <row r="74" spans="2:11" ht="12.75">
      <c r="B74" s="23" t="str">
        <f ca="1">'Fruit Trees'!A68</f>
        <v>Fig - Brown Turkey</v>
      </c>
      <c r="C74" s="23" t="str">
        <f ca="1">'Fruit Trees'!C68</f>
        <v>#5</v>
      </c>
      <c r="D74" s="27" t="str">
        <f ca="1">'Fruit Trees'!D68</f>
        <v>Multi</v>
      </c>
      <c r="E74" s="23" t="str">
        <f ca="1">'Fruit Trees'!E68</f>
        <v>0.5-1'</v>
      </c>
      <c r="F74" s="25">
        <f ca="1">'Fruit Trees'!F68</f>
        <v>5</v>
      </c>
      <c r="G74" s="23">
        <f ca="1">'Fruit Trees'!G68</f>
        <v>72</v>
      </c>
      <c r="H74" s="26">
        <f ca="1">'Fruit Trees'!H68</f>
        <v>30</v>
      </c>
      <c r="I74" s="23" t="str">
        <f t="shared" ca="1" si="0"/>
        <v>Fig - Brown Turkey #5-2020</v>
      </c>
      <c r="J74" s="10"/>
      <c r="K74" s="26">
        <f t="shared" ca="1" si="1"/>
        <v>0</v>
      </c>
    </row>
    <row r="75" spans="2:11" ht="12.75">
      <c r="B75" s="23" t="str">
        <f ca="1">'Fruit Trees'!A69</f>
        <v>Fig - Celeste</v>
      </c>
      <c r="C75" s="23" t="str">
        <f ca="1">'Fruit Trees'!C69</f>
        <v>#5</v>
      </c>
      <c r="D75" s="27" t="str">
        <f ca="1">'Fruit Trees'!D69</f>
        <v>Multi</v>
      </c>
      <c r="E75" s="23" t="str">
        <f ca="1">'Fruit Trees'!E69</f>
        <v>1-2'</v>
      </c>
      <c r="F75" s="25">
        <f ca="1">'Fruit Trees'!F69</f>
        <v>10</v>
      </c>
      <c r="G75" s="23">
        <f ca="1">'Fruit Trees'!G69</f>
        <v>72</v>
      </c>
      <c r="H75" s="26">
        <f ca="1">'Fruit Trees'!H69</f>
        <v>30</v>
      </c>
      <c r="I75" s="23" t="str">
        <f t="shared" ca="1" si="0"/>
        <v>Fig - Celeste #5-2020</v>
      </c>
      <c r="J75" s="10"/>
      <c r="K75" s="26">
        <f t="shared" ca="1" si="1"/>
        <v>0</v>
      </c>
    </row>
    <row r="76" spans="2:11" ht="12.75">
      <c r="B76" s="23" t="str">
        <f ca="1">'Fruit Trees'!A70</f>
        <v>Fig - Chicago Hardy</v>
      </c>
      <c r="C76" s="23" t="str">
        <f ca="1">'Fruit Trees'!C70</f>
        <v>#5</v>
      </c>
      <c r="D76" s="27" t="str">
        <f ca="1">'Fruit Trees'!D70</f>
        <v>Multi</v>
      </c>
      <c r="E76" s="23" t="str">
        <f ca="1">'Fruit Trees'!E70</f>
        <v>0.5-1'</v>
      </c>
      <c r="F76" s="25">
        <f ca="1">'Fruit Trees'!F70</f>
        <v>5</v>
      </c>
      <c r="G76" s="23">
        <f ca="1">'Fruit Trees'!G70</f>
        <v>144</v>
      </c>
      <c r="H76" s="26">
        <f ca="1">'Fruit Trees'!H70</f>
        <v>30</v>
      </c>
      <c r="I76" s="23" t="str">
        <f t="shared" ca="1" si="0"/>
        <v>Fig - Chicago Hardy #5-2020</v>
      </c>
      <c r="J76" s="10"/>
      <c r="K76" s="26">
        <f t="shared" ca="1" si="1"/>
        <v>0</v>
      </c>
    </row>
    <row r="77" spans="2:11" ht="12.75">
      <c r="B77" s="23" t="str">
        <f ca="1">'Fruit Trees'!A71</f>
        <v>Fig - Italian Honey</v>
      </c>
      <c r="C77" s="23" t="str">
        <f ca="1">'Fruit Trees'!C71</f>
        <v>#5</v>
      </c>
      <c r="D77" s="27" t="str">
        <f ca="1">'Fruit Trees'!D71</f>
        <v>Multi</v>
      </c>
      <c r="E77" s="23" t="str">
        <f ca="1">'Fruit Trees'!E71</f>
        <v>1-2'</v>
      </c>
      <c r="F77" s="25">
        <f ca="1">'Fruit Trees'!F71</f>
        <v>6</v>
      </c>
      <c r="G77" s="23">
        <f ca="1">'Fruit Trees'!G71</f>
        <v>0</v>
      </c>
      <c r="H77" s="26">
        <f ca="1">'Fruit Trees'!H71</f>
        <v>30</v>
      </c>
      <c r="I77" s="23" t="str">
        <f t="shared" ca="1" si="0"/>
        <v>Fig - Italian Honey #5-2020</v>
      </c>
      <c r="J77" s="10"/>
      <c r="K77" s="26">
        <f t="shared" ca="1" si="1"/>
        <v>0</v>
      </c>
    </row>
    <row r="78" spans="2:11" ht="12.75">
      <c r="B78" s="23" t="str">
        <f ca="1">'Fruit Trees'!A72</f>
        <v>Fig - LSU Purple</v>
      </c>
      <c r="C78" s="23" t="str">
        <f ca="1">'Fruit Trees'!C72</f>
        <v>#5</v>
      </c>
      <c r="D78" s="24" t="str">
        <f ca="1">'Fruit Trees'!D72</f>
        <v>Multi</v>
      </c>
      <c r="E78" s="23" t="str">
        <f ca="1">'Fruit Trees'!E72</f>
        <v>0.5-1'</v>
      </c>
      <c r="F78" s="25">
        <f ca="1">'Fruit Trees'!F72</f>
        <v>0</v>
      </c>
      <c r="G78" s="23">
        <f ca="1">'Fruit Trees'!G72</f>
        <v>72</v>
      </c>
      <c r="H78" s="26">
        <f ca="1">'Fruit Trees'!H72</f>
        <v>30</v>
      </c>
      <c r="I78" s="23" t="str">
        <f t="shared" ca="1" si="0"/>
        <v>Fig - LSU Purple #5-2020</v>
      </c>
      <c r="J78" s="10"/>
      <c r="K78" s="26">
        <f t="shared" ca="1" si="1"/>
        <v>0</v>
      </c>
    </row>
    <row r="79" spans="2:11" ht="12.75">
      <c r="B79" s="23" t="str">
        <f ca="1">'Fruit Trees'!A73</f>
        <v>Fig - Olympian</v>
      </c>
      <c r="C79" s="23" t="str">
        <f ca="1">'Fruit Trees'!C73</f>
        <v>#5</v>
      </c>
      <c r="D79" s="27" t="str">
        <f ca="1">'Fruit Trees'!D73</f>
        <v>Multi</v>
      </c>
      <c r="E79" s="23" t="str">
        <f ca="1">'Fruit Trees'!E73</f>
        <v>1-2'</v>
      </c>
      <c r="F79" s="25">
        <f ca="1">'Fruit Trees'!F73</f>
        <v>2</v>
      </c>
      <c r="G79" s="23">
        <f ca="1">'Fruit Trees'!G73</f>
        <v>72</v>
      </c>
      <c r="H79" s="26">
        <f ca="1">'Fruit Trees'!H73</f>
        <v>30</v>
      </c>
      <c r="I79" s="23" t="str">
        <f t="shared" ca="1" si="0"/>
        <v>Fig - Olympian #5-2020</v>
      </c>
      <c r="J79" s="10"/>
      <c r="K79" s="26">
        <f t="shared" ca="1" si="1"/>
        <v>0</v>
      </c>
    </row>
    <row r="80" spans="2:11" ht="12.75">
      <c r="B80" s="23" t="str">
        <f ca="1">'Fruit Trees'!A74</f>
        <v>Goji Berry</v>
      </c>
      <c r="C80" s="23" t="str">
        <f ca="1">'Fruit Trees'!C74</f>
        <v>#5</v>
      </c>
      <c r="D80" s="27" t="str">
        <f ca="1">'Fruit Trees'!D74</f>
        <v>Multi</v>
      </c>
      <c r="E80" s="23" t="str">
        <f ca="1">'Fruit Trees'!E74</f>
        <v>2-3'</v>
      </c>
      <c r="F80" s="25">
        <f ca="1">'Fruit Trees'!F74</f>
        <v>12</v>
      </c>
      <c r="G80" s="23">
        <f ca="1">'Fruit Trees'!G74</f>
        <v>0</v>
      </c>
      <c r="H80" s="26">
        <f ca="1">'Fruit Trees'!H74</f>
        <v>30</v>
      </c>
      <c r="I80" s="23" t="str">
        <f t="shared" ca="1" si="0"/>
        <v>Goji Berry #5-2020</v>
      </c>
      <c r="J80" s="10"/>
      <c r="K80" s="26">
        <f t="shared" ca="1" si="1"/>
        <v>0</v>
      </c>
    </row>
    <row r="81" spans="2:11" ht="12.75">
      <c r="B81" s="23" t="str">
        <f ca="1">'Fruit Trees'!A75</f>
        <v>Grape - Reliance Red</v>
      </c>
      <c r="C81" s="23" t="str">
        <f ca="1">'Fruit Trees'!C75</f>
        <v>#5</v>
      </c>
      <c r="D81" s="27" t="str">
        <f ca="1">'Fruit Trees'!D75</f>
        <v>Multi</v>
      </c>
      <c r="E81" s="23" t="str">
        <f ca="1">'Fruit Trees'!E75</f>
        <v>3-5'</v>
      </c>
      <c r="F81" s="25">
        <f ca="1">'Fruit Trees'!F75</f>
        <v>23</v>
      </c>
      <c r="G81" s="23">
        <f ca="1">'Fruit Trees'!G75</f>
        <v>0</v>
      </c>
      <c r="H81" s="26">
        <f ca="1">'Fruit Trees'!H75</f>
        <v>30</v>
      </c>
      <c r="I81" s="23" t="str">
        <f t="shared" ca="1" si="0"/>
        <v>Grape - Reliance Red #5-2020</v>
      </c>
      <c r="J81" s="10"/>
      <c r="K81" s="26">
        <f t="shared" ca="1" si="1"/>
        <v>0</v>
      </c>
    </row>
    <row r="82" spans="2:11" ht="12.75">
      <c r="B82" s="23" t="str">
        <f ca="1">'Fruit Trees'!A76</f>
        <v>Grape- Himrod</v>
      </c>
      <c r="C82" s="23" t="str">
        <f ca="1">'Fruit Trees'!C76</f>
        <v>#5</v>
      </c>
      <c r="D82" s="27" t="str">
        <f ca="1">'Fruit Trees'!D76</f>
        <v>Multi</v>
      </c>
      <c r="E82" s="23" t="str">
        <f ca="1">'Fruit Trees'!E76</f>
        <v>2-4'</v>
      </c>
      <c r="F82" s="25">
        <f ca="1">'Fruit Trees'!F76</f>
        <v>6</v>
      </c>
      <c r="G82" s="23">
        <f ca="1">'Fruit Trees'!G76</f>
        <v>0</v>
      </c>
      <c r="H82" s="26">
        <f ca="1">'Fruit Trees'!H76</f>
        <v>30</v>
      </c>
      <c r="I82" s="23" t="str">
        <f t="shared" ca="1" si="0"/>
        <v>Grape- Himrod #5-2020</v>
      </c>
      <c r="J82" s="10"/>
      <c r="K82" s="26">
        <f t="shared" ca="1" si="1"/>
        <v>0</v>
      </c>
    </row>
    <row r="83" spans="2:11" ht="12.75">
      <c r="B83" s="23" t="str">
        <f ca="1">'Fruit Trees'!A77</f>
        <v>Hardy Kiwi - Prolific</v>
      </c>
      <c r="C83" s="23" t="str">
        <f ca="1">'Fruit Trees'!C77</f>
        <v>#5</v>
      </c>
      <c r="D83" s="24" t="str">
        <f ca="1">'Fruit Trees'!D77</f>
        <v>0.5-0.5"</v>
      </c>
      <c r="E83" s="23" t="str">
        <f ca="1">'Fruit Trees'!E77</f>
        <v>3-4'</v>
      </c>
      <c r="F83" s="25">
        <f ca="1">'Fruit Trees'!F77</f>
        <v>0</v>
      </c>
      <c r="G83" s="23">
        <f ca="1">'Fruit Trees'!G77</f>
        <v>72</v>
      </c>
      <c r="H83" s="26">
        <f ca="1">'Fruit Trees'!H77</f>
        <v>35</v>
      </c>
      <c r="I83" s="23" t="str">
        <f t="shared" ca="1" si="0"/>
        <v>Hardy Kiwi - Prolific #5-2020</v>
      </c>
      <c r="J83" s="10"/>
      <c r="K83" s="26">
        <f t="shared" ca="1" si="1"/>
        <v>0</v>
      </c>
    </row>
    <row r="84" spans="2:11" ht="12.75">
      <c r="B84" s="23" t="str">
        <f ca="1">'Fruit Trees'!A78</f>
        <v>Hazelnut - Jefferson</v>
      </c>
      <c r="C84" s="23" t="str">
        <f ca="1">'Fruit Trees'!C78</f>
        <v>#10</v>
      </c>
      <c r="D84" s="24" t="str">
        <f ca="1">'Fruit Trees'!D78</f>
        <v>0.75-0.75"</v>
      </c>
      <c r="E84" s="23" t="str">
        <f ca="1">'Fruit Trees'!E78</f>
        <v>5-6'</v>
      </c>
      <c r="F84" s="25">
        <f ca="1">'Fruit Trees'!F78</f>
        <v>10</v>
      </c>
      <c r="G84" s="23">
        <f ca="1">'Fruit Trees'!G78</f>
        <v>0</v>
      </c>
      <c r="H84" s="26">
        <f ca="1">'Fruit Trees'!H78</f>
        <v>75</v>
      </c>
      <c r="I84" s="23" t="str">
        <f t="shared" ca="1" si="0"/>
        <v>Hazelnut - Jefferson #10-2020</v>
      </c>
      <c r="J84" s="10"/>
      <c r="K84" s="26">
        <f t="shared" ca="1" si="1"/>
        <v>0</v>
      </c>
    </row>
    <row r="85" spans="2:11" ht="12.75">
      <c r="B85" s="23" t="str">
        <f ca="1">'Fruit Trees'!A79</f>
        <v>Jujube - Li</v>
      </c>
      <c r="C85" s="23" t="str">
        <f ca="1">'Fruit Trees'!C79</f>
        <v>#7</v>
      </c>
      <c r="D85" s="24" t="str">
        <f ca="1">'Fruit Trees'!D79</f>
        <v>0.38-0.38"</v>
      </c>
      <c r="E85" s="23" t="str">
        <f ca="1">'Fruit Trees'!E79</f>
        <v>1-2'</v>
      </c>
      <c r="F85" s="25">
        <f ca="1">'Fruit Trees'!F79</f>
        <v>0</v>
      </c>
      <c r="G85" s="23">
        <f ca="1">'Fruit Trees'!G79</f>
        <v>50</v>
      </c>
      <c r="H85" s="26">
        <f ca="1">'Fruit Trees'!H79</f>
        <v>75</v>
      </c>
      <c r="I85" s="23" t="str">
        <f t="shared" ca="1" si="0"/>
        <v>Jujube - Li #7-2020</v>
      </c>
      <c r="J85" s="10"/>
      <c r="K85" s="26">
        <f t="shared" ca="1" si="1"/>
        <v>0</v>
      </c>
    </row>
    <row r="86" spans="2:11" ht="12.75">
      <c r="B86" s="23" t="str">
        <f ca="1">'Fruit Trees'!A80</f>
        <v xml:space="preserve">Mulberry - Everbearing </v>
      </c>
      <c r="C86" s="23" t="str">
        <f ca="1">'Fruit Trees'!C80</f>
        <v>#5</v>
      </c>
      <c r="D86" s="24" t="str">
        <f ca="1">'Fruit Trees'!D80</f>
        <v>0.25-0.25"</v>
      </c>
      <c r="E86" s="23" t="str">
        <f ca="1">'Fruit Trees'!E80</f>
        <v>2-3'</v>
      </c>
      <c r="F86" s="25">
        <f ca="1">'Fruit Trees'!F80</f>
        <v>53</v>
      </c>
      <c r="G86" s="23">
        <f ca="1">'Fruit Trees'!G80</f>
        <v>72</v>
      </c>
      <c r="H86" s="26">
        <f ca="1">'Fruit Trees'!H80</f>
        <v>30</v>
      </c>
      <c r="I86" s="23" t="str">
        <f t="shared" ca="1" si="0"/>
        <v>Mulberry - Everbearing  #5-2020</v>
      </c>
      <c r="J86" s="10"/>
      <c r="K86" s="26">
        <f t="shared" ca="1" si="1"/>
        <v>0</v>
      </c>
    </row>
    <row r="87" spans="2:11" ht="12.75">
      <c r="B87" s="23" t="str">
        <f ca="1">'Fruit Trees'!A81</f>
        <v>Mulberry - Red</v>
      </c>
      <c r="C87" s="23" t="str">
        <f ca="1">'Fruit Trees'!C81</f>
        <v>#5</v>
      </c>
      <c r="D87" s="24" t="str">
        <f ca="1">'Fruit Trees'!D81</f>
        <v>0.25-0.5"</v>
      </c>
      <c r="E87" s="23" t="str">
        <f ca="1">'Fruit Trees'!E81</f>
        <v>3-5'</v>
      </c>
      <c r="F87" s="25">
        <f ca="1">'Fruit Trees'!F81</f>
        <v>25</v>
      </c>
      <c r="G87" s="23">
        <f ca="1">'Fruit Trees'!G81</f>
        <v>50</v>
      </c>
      <c r="H87" s="26">
        <f ca="1">'Fruit Trees'!H81</f>
        <v>35</v>
      </c>
      <c r="I87" s="23" t="str">
        <f t="shared" ca="1" si="0"/>
        <v>Mulberry - Red #5-2020</v>
      </c>
      <c r="J87" s="10"/>
      <c r="K87" s="26">
        <f t="shared" ca="1" si="1"/>
        <v>0</v>
      </c>
    </row>
    <row r="88" spans="2:11" ht="12.75">
      <c r="B88" s="23" t="str">
        <f ca="1">'Fruit Trees'!A82</f>
        <v>Mulberry - White</v>
      </c>
      <c r="C88" s="23" t="str">
        <f ca="1">'Fruit Trees'!C82</f>
        <v>#5</v>
      </c>
      <c r="D88" s="24" t="str">
        <f ca="1">'Fruit Trees'!D82</f>
        <v>0.25-0.75"</v>
      </c>
      <c r="E88" s="23" t="str">
        <f ca="1">'Fruit Trees'!E82</f>
        <v>3-4.5'</v>
      </c>
      <c r="F88" s="25">
        <f ca="1">'Fruit Trees'!F82</f>
        <v>33</v>
      </c>
      <c r="G88" s="23">
        <f ca="1">'Fruit Trees'!G82</f>
        <v>50</v>
      </c>
      <c r="H88" s="26">
        <f ca="1">'Fruit Trees'!H82</f>
        <v>35</v>
      </c>
      <c r="I88" s="23" t="str">
        <f t="shared" ca="1" si="0"/>
        <v>Mulberry - White #5-2020</v>
      </c>
      <c r="J88" s="10"/>
      <c r="K88" s="26">
        <f t="shared" ca="1" si="1"/>
        <v>0</v>
      </c>
    </row>
    <row r="89" spans="2:11" ht="12.75">
      <c r="B89" s="23" t="str">
        <f ca="1">'Fruit Trees'!A83</f>
        <v>Nectarine - Fantasia</v>
      </c>
      <c r="C89" s="23" t="str">
        <f ca="1">'Fruit Trees'!C83</f>
        <v>#5</v>
      </c>
      <c r="D89" s="24" t="str">
        <f ca="1">'Fruit Trees'!D83</f>
        <v>0.75-1"</v>
      </c>
      <c r="E89" s="23" t="str">
        <f ca="1">'Fruit Trees'!E83</f>
        <v>6-7'</v>
      </c>
      <c r="F89" s="25">
        <f ca="1">'Fruit Trees'!F83</f>
        <v>131</v>
      </c>
      <c r="G89" s="23">
        <f ca="1">'Fruit Trees'!G83</f>
        <v>50</v>
      </c>
      <c r="H89" s="26">
        <f ca="1">'Fruit Trees'!H83</f>
        <v>40</v>
      </c>
      <c r="I89" s="23" t="str">
        <f t="shared" ca="1" si="0"/>
        <v>Nectarine - Fantasia #5-2020</v>
      </c>
      <c r="J89" s="10"/>
      <c r="K89" s="26">
        <f t="shared" ca="1" si="1"/>
        <v>0</v>
      </c>
    </row>
    <row r="90" spans="2:11" ht="12.75">
      <c r="B90" s="23" t="str">
        <f ca="1">'Fruit Trees'!A84</f>
        <v>Nectarine - Fantasia</v>
      </c>
      <c r="C90" s="23" t="str">
        <f ca="1">'Fruit Trees'!C84</f>
        <v>#7</v>
      </c>
      <c r="D90" s="24" t="str">
        <f ca="1">'Fruit Trees'!D84</f>
        <v>1.25-1.25"</v>
      </c>
      <c r="E90" s="23" t="str">
        <f ca="1">'Fruit Trees'!E84</f>
        <v>6-7'</v>
      </c>
      <c r="F90" s="25">
        <f ca="1">'Fruit Trees'!F84</f>
        <v>12</v>
      </c>
      <c r="G90" s="23">
        <f ca="1">'Fruit Trees'!G84</f>
        <v>0</v>
      </c>
      <c r="H90" s="26">
        <f ca="1">'Fruit Trees'!H84</f>
        <v>65</v>
      </c>
      <c r="I90" s="23" t="str">
        <f t="shared" ca="1" si="0"/>
        <v>Nectarine - Fantasia #7-2020</v>
      </c>
      <c r="J90" s="10"/>
      <c r="K90" s="26">
        <f t="shared" ca="1" si="1"/>
        <v>0</v>
      </c>
    </row>
    <row r="91" spans="2:11" ht="12.75">
      <c r="B91" s="23" t="str">
        <f ca="1">'Fruit Trees'!A85</f>
        <v>Nectarine - Flavortop</v>
      </c>
      <c r="C91" s="23" t="str">
        <f ca="1">'Fruit Trees'!C85</f>
        <v>#5</v>
      </c>
      <c r="D91" s="24" t="str">
        <f ca="1">'Fruit Trees'!D85</f>
        <v>0.75-1"</v>
      </c>
      <c r="E91" s="23" t="str">
        <f ca="1">'Fruit Trees'!E85</f>
        <v>5-8'</v>
      </c>
      <c r="F91" s="25">
        <f ca="1">'Fruit Trees'!F85</f>
        <v>10</v>
      </c>
      <c r="G91" s="23">
        <f ca="1">'Fruit Trees'!G85</f>
        <v>50</v>
      </c>
      <c r="H91" s="26">
        <f ca="1">'Fruit Trees'!H85</f>
        <v>40</v>
      </c>
      <c r="I91" s="23" t="str">
        <f t="shared" ca="1" si="0"/>
        <v>Nectarine - Flavortop #5-2020</v>
      </c>
      <c r="J91" s="10"/>
      <c r="K91" s="26">
        <f t="shared" ca="1" si="1"/>
        <v>0</v>
      </c>
    </row>
    <row r="92" spans="2:11" ht="12.75">
      <c r="B92" s="23" t="str">
        <f ca="1">'Fruit Trees'!A86</f>
        <v>Nectarine - Redgold</v>
      </c>
      <c r="C92" s="23" t="str">
        <f ca="1">'Fruit Trees'!C86</f>
        <v>#5</v>
      </c>
      <c r="D92" s="24" t="str">
        <f ca="1">'Fruit Trees'!D86</f>
        <v>0.75-1"</v>
      </c>
      <c r="E92" s="23" t="str">
        <f ca="1">'Fruit Trees'!E86</f>
        <v>4-5'</v>
      </c>
      <c r="F92" s="25">
        <f ca="1">'Fruit Trees'!F86</f>
        <v>13</v>
      </c>
      <c r="G92" s="23">
        <f ca="1">'Fruit Trees'!G86</f>
        <v>0</v>
      </c>
      <c r="H92" s="26">
        <f ca="1">'Fruit Trees'!H86</f>
        <v>40</v>
      </c>
      <c r="I92" s="23" t="str">
        <f t="shared" ca="1" si="0"/>
        <v>Nectarine - Redgold #5-2020</v>
      </c>
      <c r="J92" s="10"/>
      <c r="K92" s="26">
        <f t="shared" ca="1" si="1"/>
        <v>0</v>
      </c>
    </row>
    <row r="93" spans="2:11" ht="12.75">
      <c r="B93" s="23" t="str">
        <f ca="1">'Fruit Trees'!A87</f>
        <v>Nectarine - Sunglo</v>
      </c>
      <c r="C93" s="23" t="str">
        <f ca="1">'Fruit Trees'!C87</f>
        <v>#5</v>
      </c>
      <c r="D93" s="24" t="str">
        <f ca="1">'Fruit Trees'!D87</f>
        <v>0.75-1"</v>
      </c>
      <c r="E93" s="23" t="str">
        <f ca="1">'Fruit Trees'!E87</f>
        <v>7-8'</v>
      </c>
      <c r="F93" s="25">
        <f ca="1">'Fruit Trees'!F87</f>
        <v>13</v>
      </c>
      <c r="G93" s="23">
        <f ca="1">'Fruit Trees'!G87</f>
        <v>20</v>
      </c>
      <c r="H93" s="26">
        <f ca="1">'Fruit Trees'!H87</f>
        <v>40</v>
      </c>
      <c r="I93" s="23" t="str">
        <f t="shared" ca="1" si="0"/>
        <v>Nectarine - Sunglo #5-2020</v>
      </c>
      <c r="J93" s="10"/>
      <c r="K93" s="26">
        <f t="shared" ca="1" si="1"/>
        <v>0</v>
      </c>
    </row>
    <row r="94" spans="2:11" ht="12.75">
      <c r="B94" s="23" t="str">
        <f ca="1">'Fruit Trees'!A88</f>
        <v>Nectarine (white) - Arctic Glo</v>
      </c>
      <c r="C94" s="23" t="str">
        <f ca="1">'Fruit Trees'!C88</f>
        <v>#5</v>
      </c>
      <c r="D94" s="24" t="str">
        <f ca="1">'Fruit Trees'!D88</f>
        <v>0.75-1"</v>
      </c>
      <c r="E94" s="23" t="str">
        <f ca="1">'Fruit Trees'!E88</f>
        <v>6-7'</v>
      </c>
      <c r="F94" s="25">
        <f ca="1">'Fruit Trees'!F88</f>
        <v>11</v>
      </c>
      <c r="G94" s="23">
        <f ca="1">'Fruit Trees'!G88</f>
        <v>0</v>
      </c>
      <c r="H94" s="26">
        <f ca="1">'Fruit Trees'!H88</f>
        <v>40</v>
      </c>
      <c r="I94" s="23" t="str">
        <f t="shared" ca="1" si="0"/>
        <v>Nectarine (white) - Arctic Glo #5-2020</v>
      </c>
      <c r="J94" s="10"/>
      <c r="K94" s="26">
        <f t="shared" ca="1" si="1"/>
        <v>0</v>
      </c>
    </row>
    <row r="95" spans="2:11" ht="12.75">
      <c r="B95" s="23" t="str">
        <f ca="1">'Fruit Trees'!A89</f>
        <v>Nectarine (White) - Arctic Sweet</v>
      </c>
      <c r="C95" s="23" t="str">
        <f ca="1">'Fruit Trees'!C89</f>
        <v>#5</v>
      </c>
      <c r="D95" s="24" t="str">
        <f ca="1">'Fruit Trees'!D89</f>
        <v>0.5-0.75"</v>
      </c>
      <c r="E95" s="23" t="str">
        <f ca="1">'Fruit Trees'!E89</f>
        <v>4-5'</v>
      </c>
      <c r="F95" s="25">
        <f ca="1">'Fruit Trees'!F89</f>
        <v>0</v>
      </c>
      <c r="G95" s="23">
        <f ca="1">'Fruit Trees'!G89</f>
        <v>50</v>
      </c>
      <c r="H95" s="26">
        <f ca="1">'Fruit Trees'!H89</f>
        <v>40</v>
      </c>
      <c r="I95" s="23" t="str">
        <f t="shared" ca="1" si="0"/>
        <v>Nectarine (White) - Arctic Sweet #5-2020</v>
      </c>
      <c r="J95" s="10"/>
      <c r="K95" s="26">
        <f t="shared" ca="1" si="1"/>
        <v>0</v>
      </c>
    </row>
    <row r="96" spans="2:11" ht="12.75">
      <c r="B96" s="23" t="str">
        <f ca="1">'Fruit Trees'!A90</f>
        <v>Nectarine (White) - Arctic Sweet</v>
      </c>
      <c r="C96" s="23" t="str">
        <f ca="1">'Fruit Trees'!C90</f>
        <v>#7</v>
      </c>
      <c r="D96" s="24" t="str">
        <f ca="1">'Fruit Trees'!D90</f>
        <v>1-1.25"</v>
      </c>
      <c r="E96" s="23" t="str">
        <f ca="1">'Fruit Trees'!E90</f>
        <v>8-8'</v>
      </c>
      <c r="F96" s="25">
        <f ca="1">'Fruit Trees'!F90</f>
        <v>20</v>
      </c>
      <c r="G96" s="23">
        <f ca="1">'Fruit Trees'!G90</f>
        <v>0</v>
      </c>
      <c r="H96" s="26">
        <f ca="1">'Fruit Trees'!H90</f>
        <v>60</v>
      </c>
      <c r="I96" s="23" t="str">
        <f t="shared" ca="1" si="0"/>
        <v>Nectarine (White) - Arctic Sweet #7-2020</v>
      </c>
      <c r="J96" s="10"/>
      <c r="K96" s="26">
        <f t="shared" ca="1" si="1"/>
        <v>0</v>
      </c>
    </row>
    <row r="97" spans="2:11" ht="12.75">
      <c r="B97" s="23" t="str">
        <f ca="1">'Fruit Trees'!A91</f>
        <v>Pawpaw</v>
      </c>
      <c r="C97" s="23" t="str">
        <f ca="1">'Fruit Trees'!C91</f>
        <v>#5</v>
      </c>
      <c r="D97" s="24" t="str">
        <f ca="1">'Fruit Trees'!D91</f>
        <v>0.375-0.5"</v>
      </c>
      <c r="E97" s="23" t="str">
        <f ca="1">'Fruit Trees'!E91</f>
        <v>0.5-1'</v>
      </c>
      <c r="F97" s="25">
        <f ca="1">'Fruit Trees'!F91</f>
        <v>1</v>
      </c>
      <c r="G97" s="23">
        <f ca="1">'Fruit Trees'!G91</f>
        <v>200</v>
      </c>
      <c r="H97" s="26">
        <f ca="1">'Fruit Trees'!H91</f>
        <v>35</v>
      </c>
      <c r="I97" s="23" t="str">
        <f t="shared" ca="1" si="0"/>
        <v>Pawpaw #5-2020</v>
      </c>
      <c r="J97" s="10"/>
      <c r="K97" s="26">
        <f t="shared" ca="1" si="1"/>
        <v>0</v>
      </c>
    </row>
    <row r="98" spans="2:11" ht="12.75">
      <c r="B98" s="23" t="str">
        <f ca="1">'Fruit Trees'!A92</f>
        <v>Pawpaw - Allegheny</v>
      </c>
      <c r="C98" s="23" t="str">
        <f ca="1">'Fruit Trees'!C92</f>
        <v>#5</v>
      </c>
      <c r="D98" s="24" t="str">
        <f ca="1">'Fruit Trees'!D92</f>
        <v>0.375-0.375"</v>
      </c>
      <c r="E98" s="23" t="str">
        <f ca="1">'Fruit Trees'!E92</f>
        <v>1-2'</v>
      </c>
      <c r="F98" s="25">
        <f ca="1">'Fruit Trees'!F92</f>
        <v>4</v>
      </c>
      <c r="G98" s="23">
        <f ca="1">'Fruit Trees'!G92</f>
        <v>12</v>
      </c>
      <c r="H98" s="26">
        <f ca="1">'Fruit Trees'!H92</f>
        <v>75</v>
      </c>
      <c r="I98" s="23" t="str">
        <f t="shared" ca="1" si="0"/>
        <v>Pawpaw - Allegheny #5-2020</v>
      </c>
      <c r="J98" s="10"/>
      <c r="K98" s="26">
        <f t="shared" ca="1" si="1"/>
        <v>0</v>
      </c>
    </row>
    <row r="99" spans="2:11" ht="12.75">
      <c r="B99" s="23" t="str">
        <f ca="1">'Fruit Trees'!A93</f>
        <v>Pawpaw - Mango</v>
      </c>
      <c r="C99" s="23" t="str">
        <f ca="1">'Fruit Trees'!C93</f>
        <v>#5</v>
      </c>
      <c r="D99" s="24" t="str">
        <f ca="1">'Fruit Trees'!D93</f>
        <v>0.375-0.375"</v>
      </c>
      <c r="E99" s="23" t="str">
        <f ca="1">'Fruit Trees'!E93</f>
        <v>2-2'</v>
      </c>
      <c r="F99" s="25">
        <f ca="1">'Fruit Trees'!F93</f>
        <v>1</v>
      </c>
      <c r="G99" s="23">
        <f ca="1">'Fruit Trees'!G93</f>
        <v>30</v>
      </c>
      <c r="H99" s="26">
        <f ca="1">'Fruit Trees'!H93</f>
        <v>75</v>
      </c>
      <c r="I99" s="23" t="str">
        <f t="shared" ca="1" si="0"/>
        <v>Pawpaw - Mango #5-2020</v>
      </c>
      <c r="J99" s="10"/>
      <c r="K99" s="26">
        <f t="shared" ca="1" si="1"/>
        <v>0</v>
      </c>
    </row>
    <row r="100" spans="2:11" ht="12.75">
      <c r="B100" s="23" t="str">
        <f ca="1">'Fruit Trees'!A94</f>
        <v>Pawpaw - Pennsylvania Gold</v>
      </c>
      <c r="C100" s="23" t="str">
        <f ca="1">'Fruit Trees'!C94</f>
        <v>#5</v>
      </c>
      <c r="D100" s="24" t="str">
        <f ca="1">'Fruit Trees'!D94</f>
        <v>0.25-0.25"</v>
      </c>
      <c r="E100" s="23" t="str">
        <f ca="1">'Fruit Trees'!E94</f>
        <v>1-2'</v>
      </c>
      <c r="F100" s="25">
        <f ca="1">'Fruit Trees'!F94</f>
        <v>0</v>
      </c>
      <c r="G100" s="23">
        <f ca="1">'Fruit Trees'!G94</f>
        <v>30</v>
      </c>
      <c r="H100" s="26">
        <f ca="1">'Fruit Trees'!H94</f>
        <v>75</v>
      </c>
      <c r="I100" s="23" t="str">
        <f t="shared" ca="1" si="0"/>
        <v>Pawpaw - Pennsylvania Gold #5-2020</v>
      </c>
      <c r="J100" s="10"/>
      <c r="K100" s="26">
        <f t="shared" ca="1" si="1"/>
        <v>0</v>
      </c>
    </row>
    <row r="101" spans="2:11" ht="12.75">
      <c r="B101" s="23" t="str">
        <f ca="1">'Fruit Trees'!A95</f>
        <v>Pawpaw - Potomac</v>
      </c>
      <c r="C101" s="23" t="str">
        <f ca="1">'Fruit Trees'!C95</f>
        <v>#5</v>
      </c>
      <c r="D101" s="24" t="str">
        <f ca="1">'Fruit Trees'!D95</f>
        <v>0.375-0.5"</v>
      </c>
      <c r="E101" s="23" t="str">
        <f ca="1">'Fruit Trees'!E95</f>
        <v>1-3.5'</v>
      </c>
      <c r="F101" s="25">
        <f ca="1">'Fruit Trees'!F95</f>
        <v>9</v>
      </c>
      <c r="G101" s="23">
        <f ca="1">'Fruit Trees'!G95</f>
        <v>50</v>
      </c>
      <c r="H101" s="26">
        <f ca="1">'Fruit Trees'!H95</f>
        <v>75</v>
      </c>
      <c r="I101" s="23" t="str">
        <f t="shared" ca="1" si="0"/>
        <v>Pawpaw - Potomac #5-2020</v>
      </c>
      <c r="J101" s="10"/>
      <c r="K101" s="26">
        <f t="shared" ca="1" si="1"/>
        <v>0</v>
      </c>
    </row>
    <row r="102" spans="2:11" ht="12.75">
      <c r="B102" s="23" t="str">
        <f ca="1">'Fruit Trees'!A96</f>
        <v>Pawpaw - Rappahannock</v>
      </c>
      <c r="C102" s="23" t="str">
        <f ca="1">'Fruit Trees'!C96</f>
        <v>#5</v>
      </c>
      <c r="D102" s="24" t="str">
        <f ca="1">'Fruit Trees'!D96</f>
        <v>0.375-0.5"</v>
      </c>
      <c r="E102" s="23" t="str">
        <f ca="1">'Fruit Trees'!E96</f>
        <v>0.5-2'</v>
      </c>
      <c r="F102" s="25">
        <f ca="1">'Fruit Trees'!F96</f>
        <v>1</v>
      </c>
      <c r="G102" s="23">
        <f ca="1">'Fruit Trees'!G96</f>
        <v>31</v>
      </c>
      <c r="H102" s="26">
        <f ca="1">'Fruit Trees'!H96</f>
        <v>75</v>
      </c>
      <c r="I102" s="23" t="str">
        <f t="shared" ca="1" si="0"/>
        <v>Pawpaw - Rappahannock #5-2020</v>
      </c>
      <c r="J102" s="10"/>
      <c r="K102" s="26">
        <f t="shared" ca="1" si="1"/>
        <v>0</v>
      </c>
    </row>
    <row r="103" spans="2:11" ht="12.75">
      <c r="B103" s="23" t="str">
        <f ca="1">'Fruit Trees'!A97</f>
        <v>Pawpaw - Shenandoah</v>
      </c>
      <c r="C103" s="23" t="str">
        <f ca="1">'Fruit Trees'!C97</f>
        <v>#5</v>
      </c>
      <c r="D103" s="24" t="str">
        <f ca="1">'Fruit Trees'!D97</f>
        <v>0.375-0.5"</v>
      </c>
      <c r="E103" s="23" t="str">
        <f ca="1">'Fruit Trees'!E97</f>
        <v>1.5-2'</v>
      </c>
      <c r="F103" s="25">
        <f ca="1">'Fruit Trees'!F97</f>
        <v>3</v>
      </c>
      <c r="G103" s="23">
        <f ca="1">'Fruit Trees'!G97</f>
        <v>8</v>
      </c>
      <c r="H103" s="26">
        <f ca="1">'Fruit Trees'!H97</f>
        <v>75</v>
      </c>
      <c r="I103" s="23" t="str">
        <f t="shared" ca="1" si="0"/>
        <v>Pawpaw - Shenandoah #5-2020</v>
      </c>
      <c r="J103" s="10"/>
      <c r="K103" s="26">
        <f t="shared" ca="1" si="1"/>
        <v>0</v>
      </c>
    </row>
    <row r="104" spans="2:11" ht="12.75">
      <c r="B104" s="23" t="str">
        <f ca="1">'Fruit Trees'!A98</f>
        <v>Pawpaw - Shenandoah</v>
      </c>
      <c r="C104" s="23" t="str">
        <f ca="1">'Fruit Trees'!C98</f>
        <v>#7</v>
      </c>
      <c r="D104" s="24" t="str">
        <f ca="1">'Fruit Trees'!D98</f>
        <v>0.5-0.75"</v>
      </c>
      <c r="E104" s="23" t="str">
        <f ca="1">'Fruit Trees'!E98</f>
        <v>5-6'</v>
      </c>
      <c r="F104" s="25">
        <f ca="1">'Fruit Trees'!F98</f>
        <v>35</v>
      </c>
      <c r="G104" s="23">
        <f ca="1">'Fruit Trees'!G98</f>
        <v>0</v>
      </c>
      <c r="H104" s="26">
        <f ca="1">'Fruit Trees'!H98</f>
        <v>115</v>
      </c>
      <c r="I104" s="23" t="str">
        <f t="shared" ca="1" si="0"/>
        <v>Pawpaw - Shenandoah #7-2020</v>
      </c>
      <c r="J104" s="10"/>
      <c r="K104" s="26">
        <f t="shared" ca="1" si="1"/>
        <v>0</v>
      </c>
    </row>
    <row r="105" spans="2:11" ht="12.75">
      <c r="B105" s="23" t="str">
        <f ca="1">'Fruit Trees'!A99</f>
        <v>Pawpaw - Wabash</v>
      </c>
      <c r="C105" s="23" t="str">
        <f ca="1">'Fruit Trees'!C99</f>
        <v>#5</v>
      </c>
      <c r="D105" s="24" t="str">
        <f ca="1">'Fruit Trees'!D99</f>
        <v>0.375-0.5"</v>
      </c>
      <c r="E105" s="23" t="str">
        <f ca="1">'Fruit Trees'!E99</f>
        <v>1-3.5'</v>
      </c>
      <c r="F105" s="25">
        <f ca="1">'Fruit Trees'!F99</f>
        <v>12</v>
      </c>
      <c r="G105" s="23">
        <f ca="1">'Fruit Trees'!G99</f>
        <v>50</v>
      </c>
      <c r="H105" s="26">
        <f ca="1">'Fruit Trees'!H99</f>
        <v>75</v>
      </c>
      <c r="I105" s="23" t="str">
        <f t="shared" ca="1" si="0"/>
        <v>Pawpaw - Wabash #5-2020</v>
      </c>
      <c r="J105" s="10"/>
      <c r="K105" s="26">
        <f t="shared" ca="1" si="1"/>
        <v>0</v>
      </c>
    </row>
    <row r="106" spans="2:11" ht="12.75">
      <c r="B106" s="23" t="str">
        <f ca="1">'Fruit Trees'!A100</f>
        <v>Peach - Contender</v>
      </c>
      <c r="C106" s="23" t="str">
        <f ca="1">'Fruit Trees'!C100</f>
        <v>#5</v>
      </c>
      <c r="D106" s="24" t="str">
        <f ca="1">'Fruit Trees'!D100</f>
        <v>0.5-1"</v>
      </c>
      <c r="E106" s="23" t="str">
        <f ca="1">'Fruit Trees'!E100</f>
        <v>4-7'</v>
      </c>
      <c r="F106" s="25">
        <f ca="1">'Fruit Trees'!F100</f>
        <v>30</v>
      </c>
      <c r="G106" s="23">
        <f ca="1">'Fruit Trees'!G100</f>
        <v>0</v>
      </c>
      <c r="H106" s="26">
        <f ca="1">'Fruit Trees'!H100</f>
        <v>40</v>
      </c>
      <c r="I106" s="23" t="str">
        <f t="shared" ca="1" si="0"/>
        <v>Peach - Contender #5-2020</v>
      </c>
      <c r="J106" s="10"/>
      <c r="K106" s="26">
        <f t="shared" ca="1" si="1"/>
        <v>0</v>
      </c>
    </row>
    <row r="107" spans="2:11" ht="12.75">
      <c r="B107" s="23" t="str">
        <f ca="1">'Fruit Trees'!A101</f>
        <v>Peach - Elberta</v>
      </c>
      <c r="C107" s="23" t="str">
        <f ca="1">'Fruit Trees'!C101</f>
        <v>#5</v>
      </c>
      <c r="D107" s="24" t="str">
        <f ca="1">'Fruit Trees'!D101</f>
        <v>0.5-0.75"</v>
      </c>
      <c r="E107" s="23" t="str">
        <f ca="1">'Fruit Trees'!E101</f>
        <v>3-5'</v>
      </c>
      <c r="F107" s="25">
        <f ca="1">'Fruit Trees'!F101</f>
        <v>18</v>
      </c>
      <c r="G107" s="23">
        <f ca="1">'Fruit Trees'!G101</f>
        <v>0</v>
      </c>
      <c r="H107" s="26">
        <f ca="1">'Fruit Trees'!H101</f>
        <v>40</v>
      </c>
      <c r="I107" s="23" t="str">
        <f t="shared" ca="1" si="0"/>
        <v>Peach - Elberta #5-2020</v>
      </c>
      <c r="J107" s="10"/>
      <c r="K107" s="26">
        <f t="shared" ca="1" si="1"/>
        <v>0</v>
      </c>
    </row>
    <row r="108" spans="2:11" ht="12.75">
      <c r="B108" s="23" t="str">
        <f ca="1">'Fruit Trees'!A102</f>
        <v>Peach - Harvester</v>
      </c>
      <c r="C108" s="23" t="str">
        <f ca="1">'Fruit Trees'!C102</f>
        <v>#5</v>
      </c>
      <c r="D108" s="24" t="str">
        <f ca="1">'Fruit Trees'!D102</f>
        <v>0.75-1"</v>
      </c>
      <c r="E108" s="23" t="str">
        <f ca="1">'Fruit Trees'!E102</f>
        <v>6-7'</v>
      </c>
      <c r="F108" s="25">
        <f ca="1">'Fruit Trees'!F102</f>
        <v>41</v>
      </c>
      <c r="G108" s="23">
        <f ca="1">'Fruit Trees'!G102</f>
        <v>0</v>
      </c>
      <c r="H108" s="26">
        <f ca="1">'Fruit Trees'!H102</f>
        <v>40</v>
      </c>
      <c r="I108" s="23" t="str">
        <f t="shared" ca="1" si="0"/>
        <v>Peach - Harvester #5-2020</v>
      </c>
      <c r="J108" s="10"/>
      <c r="K108" s="26">
        <f t="shared" ca="1" si="1"/>
        <v>0</v>
      </c>
    </row>
    <row r="109" spans="2:11" ht="12.75">
      <c r="B109" s="23" t="str">
        <f ca="1">'Fruit Trees'!A103</f>
        <v>Peach (Donut White) - Galaxy</v>
      </c>
      <c r="C109" s="23" t="str">
        <f ca="1">'Fruit Trees'!C103</f>
        <v>#5</v>
      </c>
      <c r="D109" s="24" t="str">
        <f ca="1">'Fruit Trees'!D103</f>
        <v>0.5-0.75"</v>
      </c>
      <c r="E109" s="23" t="str">
        <f ca="1">'Fruit Trees'!E103</f>
        <v>4-5'</v>
      </c>
      <c r="F109" s="25">
        <f ca="1">'Fruit Trees'!F103</f>
        <v>13</v>
      </c>
      <c r="G109" s="23">
        <f ca="1">'Fruit Trees'!G103</f>
        <v>50</v>
      </c>
      <c r="H109" s="26">
        <f ca="1">'Fruit Trees'!H103</f>
        <v>45</v>
      </c>
      <c r="I109" s="23" t="str">
        <f t="shared" ca="1" si="0"/>
        <v>Peach (Donut White) - Galaxy #5-2020</v>
      </c>
      <c r="J109" s="10"/>
      <c r="K109" s="26">
        <f t="shared" ca="1" si="1"/>
        <v>0</v>
      </c>
    </row>
    <row r="110" spans="2:11" ht="12.75">
      <c r="B110" s="23" t="str">
        <f ca="1">'Fruit Trees'!A104</f>
        <v>Peach (Donut White) - Saturn</v>
      </c>
      <c r="C110" s="23" t="str">
        <f ca="1">'Fruit Trees'!C104</f>
        <v>#5</v>
      </c>
      <c r="D110" s="24" t="str">
        <f ca="1">'Fruit Trees'!D104</f>
        <v>0.75-1"</v>
      </c>
      <c r="E110" s="23" t="str">
        <f ca="1">'Fruit Trees'!E104</f>
        <v>6-7'</v>
      </c>
      <c r="F110" s="25">
        <f ca="1">'Fruit Trees'!F104</f>
        <v>45</v>
      </c>
      <c r="G110" s="23">
        <f ca="1">'Fruit Trees'!G104</f>
        <v>80</v>
      </c>
      <c r="H110" s="26">
        <f ca="1">'Fruit Trees'!H104</f>
        <v>45</v>
      </c>
      <c r="I110" s="23" t="str">
        <f t="shared" ca="1" si="0"/>
        <v>Peach (Donut White) - Saturn #5-2020</v>
      </c>
      <c r="J110" s="10"/>
      <c r="K110" s="26">
        <f t="shared" ca="1" si="1"/>
        <v>0</v>
      </c>
    </row>
    <row r="111" spans="2:11" ht="12.75">
      <c r="B111" s="23" t="str">
        <f ca="1">'Fruit Trees'!A105</f>
        <v>Peach (White) - Snow Giant</v>
      </c>
      <c r="C111" s="23" t="str">
        <f ca="1">'Fruit Trees'!C105</f>
        <v>#5</v>
      </c>
      <c r="D111" s="24" t="str">
        <f ca="1">'Fruit Trees'!D105</f>
        <v>0.75-1"</v>
      </c>
      <c r="E111" s="23" t="str">
        <f ca="1">'Fruit Trees'!E105</f>
        <v>5-6'</v>
      </c>
      <c r="F111" s="25">
        <f ca="1">'Fruit Trees'!F105</f>
        <v>31</v>
      </c>
      <c r="G111" s="23">
        <f ca="1">'Fruit Trees'!G105</f>
        <v>0</v>
      </c>
      <c r="H111" s="26">
        <f ca="1">'Fruit Trees'!H105</f>
        <v>40</v>
      </c>
      <c r="I111" s="23" t="str">
        <f t="shared" ca="1" si="0"/>
        <v>Peach (White) - Snow Giant #5-2020</v>
      </c>
      <c r="J111" s="10"/>
      <c r="K111" s="26">
        <f t="shared" ca="1" si="1"/>
        <v>0</v>
      </c>
    </row>
    <row r="112" spans="2:11" ht="12.75">
      <c r="B112" s="23" t="str">
        <f ca="1">'Fruit Trees'!A106</f>
        <v>Peach (White) - Sugar Giant</v>
      </c>
      <c r="C112" s="23" t="str">
        <f ca="1">'Fruit Trees'!C106</f>
        <v>#5</v>
      </c>
      <c r="D112" s="24" t="str">
        <f ca="1">'Fruit Trees'!D106</f>
        <v>0.75-1"</v>
      </c>
      <c r="E112" s="23" t="str">
        <f ca="1">'Fruit Trees'!E106</f>
        <v>5-5'</v>
      </c>
      <c r="F112" s="25">
        <f ca="1">'Fruit Trees'!F106</f>
        <v>39</v>
      </c>
      <c r="G112" s="23">
        <f ca="1">'Fruit Trees'!G106</f>
        <v>100</v>
      </c>
      <c r="H112" s="26">
        <f ca="1">'Fruit Trees'!H106</f>
        <v>40</v>
      </c>
      <c r="I112" s="23" t="str">
        <f t="shared" ca="1" si="0"/>
        <v>Peach (White) - Sugar Giant #5-2020</v>
      </c>
      <c r="J112" s="10"/>
      <c r="K112" s="26">
        <f t="shared" ca="1" si="1"/>
        <v>0</v>
      </c>
    </row>
    <row r="113" spans="2:11" ht="12.75">
      <c r="B113" s="23" t="str">
        <f ca="1">'Fruit Trees'!A107</f>
        <v>Peach (White) - White Lady</v>
      </c>
      <c r="C113" s="23" t="str">
        <f ca="1">'Fruit Trees'!C107</f>
        <v>#5</v>
      </c>
      <c r="D113" s="24" t="str">
        <f ca="1">'Fruit Trees'!D107</f>
        <v>1-1"</v>
      </c>
      <c r="E113" s="23" t="str">
        <f ca="1">'Fruit Trees'!E107</f>
        <v>6-7'</v>
      </c>
      <c r="F113" s="25">
        <f ca="1">'Fruit Trees'!F107</f>
        <v>78</v>
      </c>
      <c r="G113" s="23">
        <f ca="1">'Fruit Trees'!G107</f>
        <v>100</v>
      </c>
      <c r="H113" s="26">
        <f ca="1">'Fruit Trees'!H107</f>
        <v>40</v>
      </c>
      <c r="I113" s="23" t="str">
        <f t="shared" ca="1" si="0"/>
        <v>Peach (White) - White Lady #5-2020</v>
      </c>
      <c r="J113" s="10"/>
      <c r="K113" s="26">
        <f t="shared" ca="1" si="1"/>
        <v>0</v>
      </c>
    </row>
    <row r="114" spans="2:11" ht="12.75">
      <c r="B114" s="23" t="str">
        <f ca="1">'Fruit Trees'!A108</f>
        <v>Pear - Ayers</v>
      </c>
      <c r="C114" s="23" t="str">
        <f ca="1">'Fruit Trees'!C108</f>
        <v>#5</v>
      </c>
      <c r="D114" s="24" t="str">
        <f ca="1">'Fruit Trees'!D108</f>
        <v>0.75-1"</v>
      </c>
      <c r="E114" s="23" t="str">
        <f ca="1">'Fruit Trees'!E108</f>
        <v>7-8'</v>
      </c>
      <c r="F114" s="25">
        <f ca="1">'Fruit Trees'!F108</f>
        <v>29</v>
      </c>
      <c r="G114" s="23">
        <f ca="1">'Fruit Trees'!G108</f>
        <v>50</v>
      </c>
      <c r="H114" s="26">
        <f ca="1">'Fruit Trees'!H108</f>
        <v>40</v>
      </c>
      <c r="I114" s="23" t="str">
        <f t="shared" ca="1" si="0"/>
        <v>Pear - Ayers #5-2020</v>
      </c>
      <c r="J114" s="10"/>
      <c r="K114" s="26">
        <f t="shared" ca="1" si="1"/>
        <v>0</v>
      </c>
    </row>
    <row r="115" spans="2:11" ht="12.75">
      <c r="B115" s="23" t="str">
        <f ca="1">'Fruit Trees'!A109</f>
        <v>Pear - Bartlett</v>
      </c>
      <c r="C115" s="23" t="str">
        <f ca="1">'Fruit Trees'!C109</f>
        <v>#5</v>
      </c>
      <c r="D115" s="24" t="str">
        <f ca="1">'Fruit Trees'!D109</f>
        <v>0.5-0.75"</v>
      </c>
      <c r="E115" s="23" t="str">
        <f ca="1">'Fruit Trees'!E109</f>
        <v>5-8'</v>
      </c>
      <c r="F115" s="25">
        <f ca="1">'Fruit Trees'!F109</f>
        <v>65</v>
      </c>
      <c r="G115" s="23">
        <f ca="1">'Fruit Trees'!G109</f>
        <v>150</v>
      </c>
      <c r="H115" s="26">
        <f ca="1">'Fruit Trees'!H109</f>
        <v>40</v>
      </c>
      <c r="I115" s="23" t="str">
        <f t="shared" ca="1" si="0"/>
        <v>Pear - Bartlett #5-2020</v>
      </c>
      <c r="J115" s="10"/>
      <c r="K115" s="26">
        <f t="shared" ca="1" si="1"/>
        <v>0</v>
      </c>
    </row>
    <row r="116" spans="2:11" ht="12.75">
      <c r="B116" s="23" t="str">
        <f ca="1">'Fruit Trees'!A110</f>
        <v>Pear - Golden Russet Bosc</v>
      </c>
      <c r="C116" s="23" t="str">
        <f ca="1">'Fruit Trees'!C110</f>
        <v>#5</v>
      </c>
      <c r="D116" s="24" t="str">
        <f ca="1">'Fruit Trees'!D110</f>
        <v>0.75-1"</v>
      </c>
      <c r="E116" s="23" t="str">
        <f ca="1">'Fruit Trees'!E110</f>
        <v>7-8'</v>
      </c>
      <c r="F116" s="25">
        <f ca="1">'Fruit Trees'!F110</f>
        <v>25</v>
      </c>
      <c r="G116" s="23">
        <f ca="1">'Fruit Trees'!G110</f>
        <v>100</v>
      </c>
      <c r="H116" s="26">
        <f ca="1">'Fruit Trees'!H110</f>
        <v>40</v>
      </c>
      <c r="I116" s="23" t="str">
        <f t="shared" ca="1" si="0"/>
        <v>Pear - Golden Russet Bosc #5-2020</v>
      </c>
      <c r="J116" s="10"/>
      <c r="K116" s="26">
        <f t="shared" ca="1" si="1"/>
        <v>0</v>
      </c>
    </row>
    <row r="117" spans="2:11" ht="12.75">
      <c r="B117" s="23" t="str">
        <f ca="1">'Fruit Trees'!A111</f>
        <v>Pear - Harrow Crisp</v>
      </c>
      <c r="C117" s="23" t="str">
        <f ca="1">'Fruit Trees'!C111</f>
        <v>#5</v>
      </c>
      <c r="D117" s="24" t="str">
        <f ca="1">'Fruit Trees'!D111</f>
        <v>0.5-0.75"</v>
      </c>
      <c r="E117" s="23" t="str">
        <f ca="1">'Fruit Trees'!E111</f>
        <v>6-6'</v>
      </c>
      <c r="F117" s="25">
        <f ca="1">'Fruit Trees'!F111</f>
        <v>2</v>
      </c>
      <c r="G117" s="23">
        <f ca="1">'Fruit Trees'!G111</f>
        <v>0</v>
      </c>
      <c r="H117" s="26">
        <f ca="1">'Fruit Trees'!H111</f>
        <v>40</v>
      </c>
      <c r="I117" s="23" t="str">
        <f t="shared" ca="1" si="0"/>
        <v>Pear - Harrow Crisp #5-2020</v>
      </c>
      <c r="J117" s="10"/>
      <c r="K117" s="26">
        <f t="shared" ca="1" si="1"/>
        <v>0</v>
      </c>
    </row>
    <row r="118" spans="2:11" ht="12.75">
      <c r="B118" s="23" t="str">
        <f ca="1">'Fruit Trees'!A112</f>
        <v>Pear - Harrowsweet</v>
      </c>
      <c r="C118" s="23" t="str">
        <f ca="1">'Fruit Trees'!C112</f>
        <v>#5</v>
      </c>
      <c r="D118" s="24" t="str">
        <f ca="1">'Fruit Trees'!D112</f>
        <v>0.5-0.75"</v>
      </c>
      <c r="E118" s="23" t="str">
        <f ca="1">'Fruit Trees'!E112</f>
        <v>6-7'</v>
      </c>
      <c r="F118" s="25">
        <f ca="1">'Fruit Trees'!F112</f>
        <v>16</v>
      </c>
      <c r="G118" s="23">
        <f ca="1">'Fruit Trees'!G112</f>
        <v>50</v>
      </c>
      <c r="H118" s="26">
        <f ca="1">'Fruit Trees'!H112</f>
        <v>40</v>
      </c>
      <c r="I118" s="23" t="str">
        <f t="shared" ca="1" si="0"/>
        <v>Pear - Harrowsweet #5-2020</v>
      </c>
      <c r="J118" s="10"/>
      <c r="K118" s="26">
        <f t="shared" ca="1" si="1"/>
        <v>0</v>
      </c>
    </row>
    <row r="119" spans="2:11" ht="12.75">
      <c r="B119" s="23" t="str">
        <f ca="1">'Fruit Trees'!A113</f>
        <v>Pear - Kieffer</v>
      </c>
      <c r="C119" s="23" t="str">
        <f ca="1">'Fruit Trees'!C113</f>
        <v>#7</v>
      </c>
      <c r="D119" s="24" t="str">
        <f ca="1">'Fruit Trees'!D113</f>
        <v>0.5-0.5"</v>
      </c>
      <c r="E119" s="23" t="str">
        <f ca="1">'Fruit Trees'!E113</f>
        <v>7-7'</v>
      </c>
      <c r="F119" s="25">
        <f ca="1">'Fruit Trees'!F113</f>
        <v>2</v>
      </c>
      <c r="G119" s="23">
        <f ca="1">'Fruit Trees'!G113</f>
        <v>10</v>
      </c>
      <c r="H119" s="26">
        <f ca="1">'Fruit Trees'!H113</f>
        <v>55</v>
      </c>
      <c r="I119" s="23" t="str">
        <f t="shared" ca="1" si="0"/>
        <v>Pear - Kieffer #7-2020</v>
      </c>
      <c r="J119" s="10"/>
      <c r="K119" s="26">
        <f t="shared" ca="1" si="1"/>
        <v>0</v>
      </c>
    </row>
    <row r="120" spans="2:11" ht="12.75">
      <c r="B120" s="23" t="str">
        <f ca="1">'Fruit Trees'!A114</f>
        <v>Pear - Moonglow</v>
      </c>
      <c r="C120" s="23" t="str">
        <f ca="1">'Fruit Trees'!C114</f>
        <v>#5</v>
      </c>
      <c r="D120" s="24" t="str">
        <f ca="1">'Fruit Trees'!D114</f>
        <v>0.75-1"</v>
      </c>
      <c r="E120" s="23" t="str">
        <f ca="1">'Fruit Trees'!E114</f>
        <v>5-7'</v>
      </c>
      <c r="F120" s="25">
        <f ca="1">'Fruit Trees'!F114</f>
        <v>5</v>
      </c>
      <c r="G120" s="23">
        <f ca="1">'Fruit Trees'!G114</f>
        <v>50</v>
      </c>
      <c r="H120" s="26">
        <f ca="1">'Fruit Trees'!H114</f>
        <v>40</v>
      </c>
      <c r="I120" s="23" t="str">
        <f t="shared" ca="1" si="0"/>
        <v>Pear - Moonglow #5-2020</v>
      </c>
      <c r="J120" s="10"/>
      <c r="K120" s="26">
        <f t="shared" ca="1" si="1"/>
        <v>0</v>
      </c>
    </row>
    <row r="121" spans="2:11" ht="12.75">
      <c r="B121" s="23" t="str">
        <f ca="1">'Fruit Trees'!A115</f>
        <v>Pecan - Choctaw</v>
      </c>
      <c r="C121" s="23" t="str">
        <f ca="1">'Fruit Trees'!C115</f>
        <v>#5 tall plastic</v>
      </c>
      <c r="D121" s="24" t="str">
        <f ca="1">'Fruit Trees'!D115</f>
        <v>0.75-1"</v>
      </c>
      <c r="E121" s="23" t="str">
        <f ca="1">'Fruit Trees'!E115</f>
        <v>8-10'</v>
      </c>
      <c r="F121" s="25">
        <f ca="1">'Fruit Trees'!F115</f>
        <v>4</v>
      </c>
      <c r="G121" s="23">
        <f ca="1">'Fruit Trees'!G115</f>
        <v>0</v>
      </c>
      <c r="H121" s="26">
        <f ca="1">'Fruit Trees'!H115</f>
        <v>100</v>
      </c>
      <c r="I121" s="23" t="str">
        <f t="shared" ca="1" si="0"/>
        <v>Pecan - Choctaw #5 tall plastic-2020</v>
      </c>
      <c r="J121" s="10"/>
      <c r="K121" s="26">
        <f t="shared" ca="1" si="1"/>
        <v>0</v>
      </c>
    </row>
    <row r="122" spans="2:11" ht="12.75">
      <c r="B122" s="23" t="str">
        <f ca="1">'Fruit Trees'!A116</f>
        <v>Pecan - Moreland</v>
      </c>
      <c r="C122" s="23" t="str">
        <f ca="1">'Fruit Trees'!C116</f>
        <v>#5 tall plastic</v>
      </c>
      <c r="D122" s="24" t="str">
        <f ca="1">'Fruit Trees'!D116</f>
        <v>0.75-0.75"</v>
      </c>
      <c r="E122" s="23" t="str">
        <f ca="1">'Fruit Trees'!E116</f>
        <v>5-5'</v>
      </c>
      <c r="F122" s="25">
        <f ca="1">'Fruit Trees'!F116</f>
        <v>2</v>
      </c>
      <c r="G122" s="23">
        <f ca="1">'Fruit Trees'!G116</f>
        <v>0</v>
      </c>
      <c r="H122" s="26">
        <f ca="1">'Fruit Trees'!H116</f>
        <v>100</v>
      </c>
      <c r="I122" s="23" t="str">
        <f t="shared" ca="1" si="0"/>
        <v>Pecan - Moreland #5 tall plastic-2020</v>
      </c>
      <c r="J122" s="10"/>
      <c r="K122" s="26">
        <f t="shared" ca="1" si="1"/>
        <v>0</v>
      </c>
    </row>
    <row r="123" spans="2:11" ht="12.75">
      <c r="B123" s="23" t="str">
        <f ca="1">'Fruit Trees'!A117</f>
        <v>Pecan - Oconee</v>
      </c>
      <c r="C123" s="23" t="str">
        <f ca="1">'Fruit Trees'!C117</f>
        <v>#5 tall plastic</v>
      </c>
      <c r="D123" s="24" t="str">
        <f ca="1">'Fruit Trees'!D117</f>
        <v>1-1"</v>
      </c>
      <c r="E123" s="23" t="str">
        <f ca="1">'Fruit Trees'!E117</f>
        <v>8-9'</v>
      </c>
      <c r="F123" s="25">
        <f ca="1">'Fruit Trees'!F117</f>
        <v>5</v>
      </c>
      <c r="G123" s="23">
        <f ca="1">'Fruit Trees'!G117</f>
        <v>0</v>
      </c>
      <c r="H123" s="26">
        <f ca="1">'Fruit Trees'!H117</f>
        <v>100</v>
      </c>
      <c r="I123" s="23" t="str">
        <f t="shared" ca="1" si="0"/>
        <v>Pecan - Oconee #5 tall plastic-2020</v>
      </c>
      <c r="J123" s="10"/>
      <c r="K123" s="26">
        <f t="shared" ca="1" si="1"/>
        <v>0</v>
      </c>
    </row>
    <row r="124" spans="2:11" ht="12.75">
      <c r="B124" s="23" t="str">
        <f ca="1">'Fruit Trees'!A118</f>
        <v>Pecan - Pawnee</v>
      </c>
      <c r="C124" s="23" t="str">
        <f ca="1">'Fruit Trees'!C118</f>
        <v>#5 Tall Plastic</v>
      </c>
      <c r="D124" s="24" t="str">
        <f ca="1">'Fruit Trees'!D118</f>
        <v>0.75-1"</v>
      </c>
      <c r="E124" s="23" t="str">
        <f ca="1">'Fruit Trees'!E118</f>
        <v>6-8'</v>
      </c>
      <c r="F124" s="25">
        <f ca="1">'Fruit Trees'!F118</f>
        <v>3</v>
      </c>
      <c r="G124" s="23">
        <f ca="1">'Fruit Trees'!G118</f>
        <v>0</v>
      </c>
      <c r="H124" s="26">
        <f ca="1">'Fruit Trees'!H118</f>
        <v>100</v>
      </c>
      <c r="I124" s="23" t="str">
        <f t="shared" ca="1" si="0"/>
        <v>Pecan - Pawnee #5 Tall Plastic-2020</v>
      </c>
      <c r="J124" s="10"/>
      <c r="K124" s="26">
        <f t="shared" ca="1" si="1"/>
        <v>0</v>
      </c>
    </row>
    <row r="125" spans="2:11" ht="12.75">
      <c r="B125" s="23" t="str">
        <f ca="1">'Fruit Trees'!A119</f>
        <v>Persimmon - Fuyu</v>
      </c>
      <c r="C125" s="23" t="str">
        <f ca="1">'Fruit Trees'!C119</f>
        <v>#5</v>
      </c>
      <c r="D125" s="24" t="str">
        <f ca="1">'Fruit Trees'!D119</f>
        <v>0-0.5"</v>
      </c>
      <c r="E125" s="23" t="str">
        <f ca="1">'Fruit Trees'!E119</f>
        <v>0-5'</v>
      </c>
      <c r="F125" s="25">
        <f ca="1">'Fruit Trees'!F119</f>
        <v>0</v>
      </c>
      <c r="G125" s="23">
        <f ca="1">'Fruit Trees'!G119</f>
        <v>150</v>
      </c>
      <c r="H125" s="26">
        <f ca="1">'Fruit Trees'!H119</f>
        <v>75</v>
      </c>
      <c r="I125" s="23" t="str">
        <f t="shared" ca="1" si="0"/>
        <v>Persimmon - Fuyu #5-2020</v>
      </c>
      <c r="J125" s="10"/>
      <c r="K125" s="26">
        <f t="shared" ca="1" si="1"/>
        <v>0</v>
      </c>
    </row>
    <row r="126" spans="2:11" ht="12.75">
      <c r="B126" s="23" t="str">
        <f ca="1">'Fruit Trees'!A120</f>
        <v>Persimmon - Rosseyanka</v>
      </c>
      <c r="C126" s="23" t="str">
        <f ca="1">'Fruit Trees'!C120</f>
        <v>#5</v>
      </c>
      <c r="D126" s="24" t="str">
        <f ca="1">'Fruit Trees'!D120</f>
        <v>0.75-1"</v>
      </c>
      <c r="E126" s="23" t="str">
        <f ca="1">'Fruit Trees'!E120</f>
        <v>7-8'</v>
      </c>
      <c r="F126" s="25">
        <f ca="1">'Fruit Trees'!F120</f>
        <v>1</v>
      </c>
      <c r="G126" s="23">
        <f ca="1">'Fruit Trees'!G120</f>
        <v>0</v>
      </c>
      <c r="H126" s="26">
        <f ca="1">'Fruit Trees'!H120</f>
        <v>60</v>
      </c>
      <c r="I126" s="23" t="str">
        <f t="shared" ca="1" si="0"/>
        <v>Persimmon - Rosseyanka #5-2020</v>
      </c>
      <c r="J126" s="10"/>
      <c r="K126" s="26">
        <f t="shared" ca="1" si="1"/>
        <v>0</v>
      </c>
    </row>
    <row r="127" spans="2:11" ht="12.75">
      <c r="B127" s="23" t="str">
        <f ca="1">'Fruit Trees'!A121</f>
        <v>Persimmon - Rosseyanka</v>
      </c>
      <c r="C127" s="23" t="str">
        <f ca="1">'Fruit Trees'!C121</f>
        <v>#10</v>
      </c>
      <c r="D127" s="24" t="str">
        <f ca="1">'Fruit Trees'!D121</f>
        <v>0.25-0.75"</v>
      </c>
      <c r="E127" s="23" t="str">
        <f ca="1">'Fruit Trees'!E121</f>
        <v>5-7'</v>
      </c>
      <c r="F127" s="25">
        <f ca="1">'Fruit Trees'!F121</f>
        <v>9</v>
      </c>
      <c r="G127" s="23">
        <f ca="1">'Fruit Trees'!G121</f>
        <v>0</v>
      </c>
      <c r="H127" s="26">
        <f ca="1">'Fruit Trees'!H121</f>
        <v>95</v>
      </c>
      <c r="I127" s="23" t="str">
        <f t="shared" ca="1" si="0"/>
        <v>Persimmon - Rosseyanka #10-2020</v>
      </c>
      <c r="J127" s="10"/>
      <c r="K127" s="26">
        <f t="shared" ca="1" si="1"/>
        <v>0</v>
      </c>
    </row>
    <row r="128" spans="2:11" ht="12.75">
      <c r="B128" s="23" t="str">
        <f ca="1">'Fruit Trees'!A122</f>
        <v>Persimmon - Rosseyanka</v>
      </c>
      <c r="C128" s="23" t="str">
        <f ca="1">'Fruit Trees'!C122</f>
        <v>#15</v>
      </c>
      <c r="D128" s="24" t="str">
        <f ca="1">'Fruit Trees'!D122</f>
        <v>0.25-0.75"</v>
      </c>
      <c r="E128" s="23" t="str">
        <f ca="1">'Fruit Trees'!E122</f>
        <v>5-7'</v>
      </c>
      <c r="F128" s="25">
        <f ca="1">'Fruit Trees'!F122</f>
        <v>1</v>
      </c>
      <c r="G128" s="23">
        <f ca="1">'Fruit Trees'!G122</f>
        <v>0</v>
      </c>
      <c r="H128" s="26">
        <f ca="1">'Fruit Trees'!H122</f>
        <v>115</v>
      </c>
      <c r="I128" s="23" t="str">
        <f t="shared" ca="1" si="0"/>
        <v>Persimmon - Rosseyanka #15-2020</v>
      </c>
      <c r="J128" s="10"/>
      <c r="K128" s="26">
        <f t="shared" ca="1" si="1"/>
        <v>0</v>
      </c>
    </row>
    <row r="129" spans="1:11" ht="12.75">
      <c r="B129" s="23" t="str">
        <f ca="1">'Fruit Trees'!A123</f>
        <v>Persimmon - Rosseyanka</v>
      </c>
      <c r="C129" s="23" t="str">
        <f ca="1">'Fruit Trees'!C123</f>
        <v>#25</v>
      </c>
      <c r="D129" s="24" t="str">
        <f ca="1">'Fruit Trees'!D123</f>
        <v>0.5-1"</v>
      </c>
      <c r="E129" s="23" t="str">
        <f ca="1">'Fruit Trees'!E123</f>
        <v>7-10'</v>
      </c>
      <c r="F129" s="25">
        <f ca="1">'Fruit Trees'!F123</f>
        <v>2</v>
      </c>
      <c r="G129" s="23">
        <f ca="1">'Fruit Trees'!G123</f>
        <v>0</v>
      </c>
      <c r="H129" s="26">
        <f ca="1">'Fruit Trees'!H123</f>
        <v>150</v>
      </c>
      <c r="I129" s="23" t="str">
        <f t="shared" ca="1" si="0"/>
        <v>Persimmon - Rosseyanka #25-2020</v>
      </c>
      <c r="J129" s="10"/>
      <c r="K129" s="26">
        <f t="shared" ca="1" si="1"/>
        <v>0</v>
      </c>
    </row>
    <row r="130" spans="1:11" ht="12.75">
      <c r="B130" s="23" t="str">
        <f ca="1">'Fruit Trees'!A124</f>
        <v>Plum - Green Gage</v>
      </c>
      <c r="C130" s="23" t="str">
        <f ca="1">'Fruit Trees'!C124</f>
        <v>#5</v>
      </c>
      <c r="D130" s="24" t="str">
        <f ca="1">'Fruit Trees'!D124</f>
        <v>0.75-1"</v>
      </c>
      <c r="E130" s="23" t="str">
        <f ca="1">'Fruit Trees'!E124</f>
        <v>6-7'</v>
      </c>
      <c r="F130" s="25">
        <f ca="1">'Fruit Trees'!F124</f>
        <v>11</v>
      </c>
      <c r="G130" s="23">
        <f ca="1">'Fruit Trees'!G124</f>
        <v>50</v>
      </c>
      <c r="H130" s="26">
        <f ca="1">'Fruit Trees'!H124</f>
        <v>40</v>
      </c>
      <c r="I130" s="23" t="str">
        <f t="shared" ca="1" si="0"/>
        <v>Plum - Green Gage #5-2020</v>
      </c>
      <c r="J130" s="10"/>
      <c r="K130" s="26">
        <f t="shared" ca="1" si="1"/>
        <v>0</v>
      </c>
    </row>
    <row r="131" spans="1:11" ht="12.75">
      <c r="B131" s="23" t="str">
        <f ca="1">'Fruit Trees'!A125</f>
        <v>Plum - Methley</v>
      </c>
      <c r="C131" s="23" t="str">
        <f ca="1">'Fruit Trees'!C125</f>
        <v>#5</v>
      </c>
      <c r="D131" s="24" t="str">
        <f ca="1">'Fruit Trees'!D125</f>
        <v>0.25-0.5"</v>
      </c>
      <c r="E131" s="23" t="str">
        <f ca="1">'Fruit Trees'!E125</f>
        <v>6-7'</v>
      </c>
      <c r="F131" s="25">
        <f ca="1">'Fruit Trees'!F125</f>
        <v>1</v>
      </c>
      <c r="G131" s="23">
        <f ca="1">'Fruit Trees'!G125</f>
        <v>150</v>
      </c>
      <c r="H131" s="26">
        <f ca="1">'Fruit Trees'!H125</f>
        <v>40</v>
      </c>
      <c r="I131" s="23" t="str">
        <f t="shared" ca="1" si="0"/>
        <v>Plum - Methley #5-2020</v>
      </c>
      <c r="J131" s="10"/>
      <c r="K131" s="26">
        <f t="shared" ca="1" si="1"/>
        <v>0</v>
      </c>
    </row>
    <row r="132" spans="1:11" ht="12.75">
      <c r="B132" s="23" t="str">
        <f ca="1">'Fruit Trees'!A126</f>
        <v>Plum - NY9</v>
      </c>
      <c r="C132" s="23" t="str">
        <f ca="1">'Fruit Trees'!C126</f>
        <v>#5</v>
      </c>
      <c r="D132" s="24" t="str">
        <f ca="1">'Fruit Trees'!D126</f>
        <v>0.5-0.75"</v>
      </c>
      <c r="E132" s="23" t="str">
        <f ca="1">'Fruit Trees'!E126</f>
        <v>5-7'</v>
      </c>
      <c r="F132" s="25">
        <f ca="1">'Fruit Trees'!F126</f>
        <v>60</v>
      </c>
      <c r="G132" s="23">
        <f ca="1">'Fruit Trees'!G126</f>
        <v>50</v>
      </c>
      <c r="H132" s="26">
        <f ca="1">'Fruit Trees'!H126</f>
        <v>40</v>
      </c>
      <c r="I132" s="23" t="str">
        <f t="shared" ca="1" si="0"/>
        <v>Plum - NY9 #5-2020</v>
      </c>
      <c r="J132" s="10"/>
      <c r="K132" s="26">
        <f t="shared" ca="1" si="1"/>
        <v>0</v>
      </c>
    </row>
    <row r="133" spans="1:11" ht="12.75">
      <c r="B133" s="23" t="str">
        <f ca="1">'Fruit Trees'!A127</f>
        <v>Plum - Santa Rosa</v>
      </c>
      <c r="C133" s="23" t="str">
        <f ca="1">'Fruit Trees'!C127</f>
        <v>#5</v>
      </c>
      <c r="D133" s="24" t="str">
        <f ca="1">'Fruit Trees'!D127</f>
        <v>1-1.25"</v>
      </c>
      <c r="E133" s="23" t="str">
        <f ca="1">'Fruit Trees'!E127</f>
        <v>6-7'</v>
      </c>
      <c r="F133" s="25">
        <f ca="1">'Fruit Trees'!F127</f>
        <v>3</v>
      </c>
      <c r="G133" s="23">
        <f ca="1">'Fruit Trees'!G127</f>
        <v>275</v>
      </c>
      <c r="H133" s="26">
        <f ca="1">'Fruit Trees'!H127</f>
        <v>40</v>
      </c>
      <c r="I133" s="23" t="str">
        <f t="shared" ca="1" si="0"/>
        <v>Plum - Santa Rosa #5-2020</v>
      </c>
      <c r="J133" s="10"/>
      <c r="K133" s="26">
        <f t="shared" ca="1" si="1"/>
        <v>0</v>
      </c>
    </row>
    <row r="134" spans="1:11" ht="12.75">
      <c r="B134" s="23" t="str">
        <f ca="1">'Fruit Trees'!A128</f>
        <v>Plum (cherry) - Sweet Pixie 2</v>
      </c>
      <c r="C134" s="23" t="str">
        <f ca="1">'Fruit Trees'!C128</f>
        <v>#5</v>
      </c>
      <c r="D134" s="24" t="str">
        <f ca="1">'Fruit Trees'!D128</f>
        <v>1-1.25"</v>
      </c>
      <c r="E134" s="23" t="str">
        <f ca="1">'Fruit Trees'!E128</f>
        <v>7-8'</v>
      </c>
      <c r="F134" s="25">
        <f ca="1">'Fruit Trees'!F128</f>
        <v>7</v>
      </c>
      <c r="G134" s="23">
        <f ca="1">'Fruit Trees'!G128</f>
        <v>30</v>
      </c>
      <c r="H134" s="26">
        <f ca="1">'Fruit Trees'!H128</f>
        <v>55</v>
      </c>
      <c r="I134" s="23" t="str">
        <f t="shared" ca="1" si="0"/>
        <v>Plum (cherry) - Sweet Pixie 2 #5-2020</v>
      </c>
      <c r="J134" s="10"/>
      <c r="K134" s="26">
        <f t="shared" ca="1" si="1"/>
        <v>0</v>
      </c>
    </row>
    <row r="135" spans="1:11" ht="12.75">
      <c r="B135" s="23" t="str">
        <f ca="1">'Fruit Trees'!A129</f>
        <v>Plumcot - Spring Satin</v>
      </c>
      <c r="C135" s="23" t="str">
        <f ca="1">'Fruit Trees'!C129</f>
        <v>#5</v>
      </c>
      <c r="D135" s="24" t="str">
        <f ca="1">'Fruit Trees'!D129</f>
        <v>0.75-1"</v>
      </c>
      <c r="E135" s="23" t="str">
        <f ca="1">'Fruit Trees'!E129</f>
        <v>8-9'</v>
      </c>
      <c r="F135" s="25">
        <f ca="1">'Fruit Trees'!F129</f>
        <v>9</v>
      </c>
      <c r="G135" s="23">
        <f ca="1">'Fruit Trees'!G129</f>
        <v>30</v>
      </c>
      <c r="H135" s="26">
        <f ca="1">'Fruit Trees'!H129</f>
        <v>40</v>
      </c>
      <c r="I135" s="23" t="str">
        <f t="shared" ca="1" si="0"/>
        <v>Plumcot - Spring Satin #5-2020</v>
      </c>
      <c r="J135" s="10"/>
      <c r="K135" s="26">
        <f t="shared" ca="1" si="1"/>
        <v>0</v>
      </c>
    </row>
    <row r="136" spans="1:11" ht="12.75">
      <c r="B136" s="23" t="str">
        <f ca="1">'Fruit Trees'!A130</f>
        <v>Pluot - Dapple Dandy</v>
      </c>
      <c r="C136" s="23" t="str">
        <f ca="1">'Fruit Trees'!C130</f>
        <v>#7</v>
      </c>
      <c r="D136" s="24" t="str">
        <f ca="1">'Fruit Trees'!D130</f>
        <v>0.75-1"</v>
      </c>
      <c r="E136" s="23" t="str">
        <f ca="1">'Fruit Trees'!E130</f>
        <v>5-6'</v>
      </c>
      <c r="F136" s="25">
        <f ca="1">'Fruit Trees'!F130</f>
        <v>0</v>
      </c>
      <c r="G136" s="23">
        <f ca="1">'Fruit Trees'!G130</f>
        <v>50</v>
      </c>
      <c r="H136" s="26">
        <f ca="1">'Fruit Trees'!H130</f>
        <v>75</v>
      </c>
      <c r="I136" s="23" t="str">
        <f t="shared" ca="1" si="0"/>
        <v>Pluot - Dapple Dandy #7-2020</v>
      </c>
      <c r="J136" s="10"/>
      <c r="K136" s="26">
        <f t="shared" ca="1" si="1"/>
        <v>0</v>
      </c>
    </row>
    <row r="137" spans="1:11" ht="12.75">
      <c r="B137" s="23" t="str">
        <f ca="1">'Fruit Trees'!A131</f>
        <v>Pluot - Dapple Dandy</v>
      </c>
      <c r="C137" s="23" t="str">
        <f ca="1">'Fruit Trees'!C131</f>
        <v>#10</v>
      </c>
      <c r="D137" s="24" t="str">
        <f ca="1">'Fruit Trees'!D131</f>
        <v>1-1.5"</v>
      </c>
      <c r="E137" s="23" t="str">
        <f ca="1">'Fruit Trees'!E131</f>
        <v>9-10'</v>
      </c>
      <c r="F137" s="25">
        <f ca="1">'Fruit Trees'!F131</f>
        <v>23</v>
      </c>
      <c r="G137" s="23">
        <f ca="1">'Fruit Trees'!G131</f>
        <v>0</v>
      </c>
      <c r="H137" s="26">
        <f ca="1">'Fruit Trees'!H131</f>
        <v>65</v>
      </c>
      <c r="I137" s="23" t="str">
        <f t="shared" ca="1" si="0"/>
        <v>Pluot - Dapple Dandy #10-2020</v>
      </c>
      <c r="J137" s="10"/>
      <c r="K137" s="26">
        <f t="shared" ca="1" si="1"/>
        <v>0</v>
      </c>
    </row>
    <row r="138" spans="1:11" ht="12.75">
      <c r="B138" s="23" t="str">
        <f ca="1">'Fruit Trees'!A132</f>
        <v>Pluot - Flavor King</v>
      </c>
      <c r="C138" s="23" t="str">
        <f ca="1">'Fruit Trees'!C132</f>
        <v>#5</v>
      </c>
      <c r="D138" s="24" t="str">
        <f ca="1">'Fruit Trees'!D132</f>
        <v>0.5-0.75"</v>
      </c>
      <c r="E138" s="23" t="str">
        <f ca="1">'Fruit Trees'!E132</f>
        <v>4-5'</v>
      </c>
      <c r="F138" s="25">
        <f ca="1">'Fruit Trees'!F132</f>
        <v>0</v>
      </c>
      <c r="G138" s="23">
        <f ca="1">'Fruit Trees'!G132</f>
        <v>30</v>
      </c>
      <c r="H138" s="26">
        <f ca="1">'Fruit Trees'!H132</f>
        <v>45</v>
      </c>
      <c r="I138" s="23" t="str">
        <f t="shared" ca="1" si="0"/>
        <v>Pluot - Flavor King #5-2020</v>
      </c>
      <c r="J138" s="10"/>
      <c r="K138" s="26">
        <f t="shared" ca="1" si="1"/>
        <v>0</v>
      </c>
    </row>
    <row r="139" spans="1:11" ht="12.75">
      <c r="B139" s="23" t="str">
        <f ca="1">'Fruit Trees'!A133</f>
        <v>Pluot - Flavor Queen</v>
      </c>
      <c r="C139" s="23" t="str">
        <f ca="1">'Fruit Trees'!C133</f>
        <v>#5</v>
      </c>
      <c r="D139" s="24" t="str">
        <f ca="1">'Fruit Trees'!D133</f>
        <v>0.5-0.75"</v>
      </c>
      <c r="E139" s="23" t="str">
        <f ca="1">'Fruit Trees'!E133</f>
        <v>4-5'</v>
      </c>
      <c r="F139" s="25">
        <f ca="1">'Fruit Trees'!F133</f>
        <v>0</v>
      </c>
      <c r="G139" s="23">
        <f ca="1">'Fruit Trees'!G133</f>
        <v>30</v>
      </c>
      <c r="H139" s="26">
        <f ca="1">'Fruit Trees'!H133</f>
        <v>45</v>
      </c>
      <c r="I139" s="23" t="str">
        <f t="shared" ca="1" si="0"/>
        <v>Pluot - Flavor Queen #5-2020</v>
      </c>
      <c r="J139" s="10"/>
      <c r="K139" s="26">
        <f t="shared" ca="1" si="1"/>
        <v>0</v>
      </c>
    </row>
    <row r="140" spans="1:11" ht="12.75">
      <c r="B140" s="23" t="str">
        <f ca="1">'Fruit Trees'!A134</f>
        <v xml:space="preserve">Raspberry - Fall Gold </v>
      </c>
      <c r="C140" s="23" t="str">
        <f ca="1">'Fruit Trees'!C134</f>
        <v>#5</v>
      </c>
      <c r="D140" s="27" t="str">
        <f ca="1">'Fruit Trees'!D134</f>
        <v>Multi</v>
      </c>
      <c r="E140" s="23" t="str">
        <f ca="1">'Fruit Trees'!E134</f>
        <v>2-3'</v>
      </c>
      <c r="F140" s="25">
        <f ca="1">'Fruit Trees'!F134</f>
        <v>32</v>
      </c>
      <c r="G140" s="23">
        <f ca="1">'Fruit Trees'!G134</f>
        <v>0</v>
      </c>
      <c r="H140" s="26">
        <f ca="1">'Fruit Trees'!H134</f>
        <v>30</v>
      </c>
      <c r="I140" s="23" t="str">
        <f t="shared" ca="1" si="0"/>
        <v>Raspberry - Fall Gold  #5-2020</v>
      </c>
      <c r="J140" s="10"/>
      <c r="K140" s="26">
        <f t="shared" ca="1" si="1"/>
        <v>0</v>
      </c>
    </row>
    <row r="141" spans="1:11" ht="12.75">
      <c r="B141" s="23" t="str">
        <f ca="1">'Fruit Trees'!A135</f>
        <v>Raspberry- Heritage</v>
      </c>
      <c r="C141" s="23" t="str">
        <f ca="1">'Fruit Trees'!C135</f>
        <v>#5</v>
      </c>
      <c r="D141" s="27" t="str">
        <f ca="1">'Fruit Trees'!D135</f>
        <v>Multi</v>
      </c>
      <c r="E141" s="23" t="str">
        <f ca="1">'Fruit Trees'!E135</f>
        <v>3-3'</v>
      </c>
      <c r="F141" s="25">
        <f ca="1">'Fruit Trees'!F135</f>
        <v>5</v>
      </c>
      <c r="G141" s="23">
        <f ca="1">'Fruit Trees'!G135</f>
        <v>0</v>
      </c>
      <c r="H141" s="26">
        <f ca="1">'Fruit Trees'!H135</f>
        <v>30</v>
      </c>
      <c r="I141" s="23" t="str">
        <f t="shared" ca="1" si="0"/>
        <v>Raspberry- Heritage #5-2020</v>
      </c>
      <c r="J141" s="10"/>
      <c r="K141" s="26">
        <f t="shared" ca="1" si="1"/>
        <v>0</v>
      </c>
    </row>
    <row r="142" spans="1:11" ht="12.75">
      <c r="A142" s="23" t="str">
        <f ca="1">'Fruit Trees'!A136</f>
        <v>Russian Pomegrante - Salavatski</v>
      </c>
      <c r="B142" s="23" t="str">
        <f ca="1">'Fruit Trees'!C136</f>
        <v>#5</v>
      </c>
      <c r="C142" s="27" t="str">
        <f ca="1">'Fruit Trees'!D136</f>
        <v>Multi</v>
      </c>
      <c r="D142" s="23" t="str">
        <f ca="1">'Fruit Trees'!E136</f>
        <v>0-1'</v>
      </c>
      <c r="E142" s="25">
        <f ca="1">'Fruit Trees'!F136</f>
        <v>0</v>
      </c>
      <c r="F142" s="23">
        <f ca="1">'Fruit Trees'!G136</f>
        <v>72</v>
      </c>
      <c r="G142" s="26">
        <f ca="1">'Fruit Trees'!H136</f>
        <v>30</v>
      </c>
      <c r="J142" s="10"/>
      <c r="K142" s="26">
        <f ca="1">J142*G142</f>
        <v>0</v>
      </c>
    </row>
    <row r="143" spans="1:11" ht="12.75">
      <c r="A143" s="23" t="str">
        <f ca="1">'Fruit Trees'!A137</f>
        <v>Walnut - Mesa Carpathian</v>
      </c>
      <c r="B143" s="23" t="str">
        <f ca="1">'Fruit Trees'!C137</f>
        <v>#15</v>
      </c>
      <c r="C143" s="24" t="str">
        <f ca="1">'Fruit Trees'!D137</f>
        <v>0-1"</v>
      </c>
      <c r="D143" s="23" t="str">
        <f ca="1">'Fruit Trees'!E137</f>
        <v>0-4'</v>
      </c>
      <c r="E143" s="25">
        <f ca="1">'Fruit Trees'!F137</f>
        <v>0</v>
      </c>
      <c r="F143" s="23">
        <f ca="1">'Fruit Trees'!G137</f>
        <v>10</v>
      </c>
      <c r="G143" s="26">
        <f ca="1">'Fruit Trees'!H137</f>
        <v>110</v>
      </c>
      <c r="J143" s="22" t="s">
        <v>12</v>
      </c>
      <c r="K143" s="28">
        <f ca="1">SUM(K3:K142)</f>
        <v>0</v>
      </c>
    </row>
    <row r="144" spans="1:11" ht="45">
      <c r="A144" s="29" t="s">
        <v>13</v>
      </c>
      <c r="B144" s="30"/>
      <c r="D144" s="18"/>
      <c r="E144" s="18"/>
      <c r="F144" s="31"/>
      <c r="G144" s="31"/>
      <c r="H144" s="32"/>
      <c r="J144" s="9"/>
    </row>
    <row r="145" spans="1:11" ht="12.75">
      <c r="A145" s="20" t="str">
        <f ca="1">'Landscape Trees '!A1</f>
        <v>Latin Name</v>
      </c>
      <c r="B145" s="20" t="str">
        <f ca="1">'Landscape Trees '!C1</f>
        <v>Common Name</v>
      </c>
      <c r="C145" s="20" t="str">
        <f ca="1">'Landscape Trees '!D1</f>
        <v>Pot Size</v>
      </c>
      <c r="D145" s="20" t="str">
        <f ca="1">'Landscape Trees '!E1</f>
        <v xml:space="preserve">Caliper </v>
      </c>
      <c r="E145" s="20" t="str">
        <f ca="1">'Landscape Trees '!F1</f>
        <v>Height</v>
      </c>
      <c r="F145" s="20" t="str">
        <f ca="1">'Landscape Trees '!G1</f>
        <v xml:space="preserve">Quantity </v>
      </c>
      <c r="G145" s="20" t="str">
        <f ca="1">'Landscape Trees '!H1</f>
        <v>Projected</v>
      </c>
      <c r="H145" s="20" t="str">
        <f ca="1">'Landscape Trees '!I1</f>
        <v>Price</v>
      </c>
      <c r="J145" s="22" t="s">
        <v>10</v>
      </c>
      <c r="K145" s="21" t="s">
        <v>11</v>
      </c>
    </row>
    <row r="146" spans="1:11" ht="12.75">
      <c r="A146" s="23" t="str">
        <f ca="1">'Landscape Trees '!A2</f>
        <v>Acer buergerianum</v>
      </c>
      <c r="B146" s="23" t="str">
        <f ca="1">'Landscape Trees '!C2</f>
        <v>Trident Maple</v>
      </c>
      <c r="C146" s="23" t="str">
        <f ca="1">'Landscape Trees '!D2</f>
        <v>#5</v>
      </c>
      <c r="D146" s="24" t="str">
        <f ca="1">'Landscape Trees '!E2</f>
        <v>0.25-0.5"</v>
      </c>
      <c r="E146" s="23" t="str">
        <f ca="1">'Landscape Trees '!F2</f>
        <v>3-6'</v>
      </c>
      <c r="F146" s="25">
        <f ca="1">'Landscape Trees '!G2</f>
        <v>9</v>
      </c>
      <c r="G146" s="23">
        <f ca="1">'Landscape Trees '!H2</f>
        <v>0</v>
      </c>
      <c r="H146" s="26">
        <f ca="1">'Landscape Trees '!I2</f>
        <v>35</v>
      </c>
      <c r="I146" s="23" t="str">
        <f t="shared" ref="I146:I443" ca="1" si="2">B146&amp;" "&amp;C146&amp;-2020</f>
        <v>Trident Maple #5-2020</v>
      </c>
      <c r="J146" s="10"/>
      <c r="K146" s="26">
        <f t="shared" ref="K146:K446" ca="1" si="3">J146*H146</f>
        <v>0</v>
      </c>
    </row>
    <row r="147" spans="1:11" ht="12.75">
      <c r="A147" s="23" t="str">
        <f ca="1">'Landscape Trees '!A3</f>
        <v>Acer campestre</v>
      </c>
      <c r="B147" s="23" t="str">
        <f ca="1">'Landscape Trees '!C3</f>
        <v>Hedge Maple</v>
      </c>
      <c r="C147" s="23" t="str">
        <f ca="1">'Landscape Trees '!D3</f>
        <v>#5</v>
      </c>
      <c r="D147" s="24" t="str">
        <f ca="1">'Landscape Trees '!E3</f>
        <v>1-1.25"</v>
      </c>
      <c r="E147" s="23" t="str">
        <f ca="1">'Landscape Trees '!F3</f>
        <v>6-7'</v>
      </c>
      <c r="F147" s="25">
        <f ca="1">'Landscape Trees '!G3</f>
        <v>12</v>
      </c>
      <c r="G147" s="23">
        <f ca="1">'Landscape Trees '!H3</f>
        <v>0</v>
      </c>
      <c r="H147" s="26">
        <f ca="1">'Landscape Trees '!I3</f>
        <v>35</v>
      </c>
      <c r="I147" s="23" t="str">
        <f t="shared" ca="1" si="2"/>
        <v>Hedge Maple #5-2020</v>
      </c>
      <c r="J147" s="10"/>
      <c r="K147" s="26">
        <f t="shared" ca="1" si="3"/>
        <v>0</v>
      </c>
    </row>
    <row r="148" spans="1:11" ht="12.75">
      <c r="A148" s="23" t="str">
        <f ca="1">'Landscape Trees '!A4</f>
        <v>Acer griseum</v>
      </c>
      <c r="B148" s="23" t="str">
        <f ca="1">'Landscape Trees '!C4</f>
        <v>Paperbark Maple</v>
      </c>
      <c r="C148" s="23" t="str">
        <f ca="1">'Landscape Trees '!D4</f>
        <v>#5</v>
      </c>
      <c r="D148" s="24" t="str">
        <f ca="1">'Landscape Trees '!E4</f>
        <v>0.75-1"</v>
      </c>
      <c r="E148" s="23" t="str">
        <f ca="1">'Landscape Trees '!F4</f>
        <v>4-5'</v>
      </c>
      <c r="F148" s="25">
        <f ca="1">'Landscape Trees '!G4</f>
        <v>25</v>
      </c>
      <c r="G148" s="23">
        <f ca="1">'Landscape Trees '!H4</f>
        <v>0</v>
      </c>
      <c r="H148" s="26">
        <f ca="1">'Landscape Trees '!I4</f>
        <v>50</v>
      </c>
      <c r="I148" s="23" t="str">
        <f t="shared" ca="1" si="2"/>
        <v>Paperbark Maple #5-2020</v>
      </c>
      <c r="J148" s="10"/>
      <c r="K148" s="26">
        <f t="shared" ca="1" si="3"/>
        <v>0</v>
      </c>
    </row>
    <row r="149" spans="1:11" ht="12.75">
      <c r="A149" s="23" t="str">
        <f ca="1">'Landscape Trees '!A5</f>
        <v>Acer griseum</v>
      </c>
      <c r="B149" s="23" t="str">
        <f ca="1">'Landscape Trees '!C5</f>
        <v>Paperbark Maple</v>
      </c>
      <c r="C149" s="23" t="str">
        <f ca="1">'Landscape Trees '!D5</f>
        <v>#15</v>
      </c>
      <c r="D149" s="24" t="str">
        <f ca="1">'Landscape Trees '!E5</f>
        <v>1.25-1.75"</v>
      </c>
      <c r="E149" s="23" t="str">
        <f ca="1">'Landscape Trees '!F5</f>
        <v>8-10'</v>
      </c>
      <c r="F149" s="25">
        <f ca="1">'Landscape Trees '!G5</f>
        <v>3</v>
      </c>
      <c r="G149" s="23">
        <f ca="1">'Landscape Trees '!H5</f>
        <v>0</v>
      </c>
      <c r="H149" s="26">
        <f ca="1">'Landscape Trees '!I5</f>
        <v>175</v>
      </c>
      <c r="I149" s="23" t="str">
        <f t="shared" ca="1" si="2"/>
        <v>Paperbark Maple #15-2020</v>
      </c>
      <c r="J149" s="10"/>
      <c r="K149" s="26">
        <f t="shared" ca="1" si="3"/>
        <v>0</v>
      </c>
    </row>
    <row r="150" spans="1:11" ht="12.75">
      <c r="A150" s="23" t="str">
        <f ca="1">'Landscape Trees '!A6</f>
        <v>Acer griseum</v>
      </c>
      <c r="B150" s="23" t="str">
        <f ca="1">'Landscape Trees '!C6</f>
        <v>Paperbark Maple</v>
      </c>
      <c r="C150" s="23" t="str">
        <f ca="1">'Landscape Trees '!D6</f>
        <v>#25</v>
      </c>
      <c r="D150" s="24" t="str">
        <f ca="1">'Landscape Trees '!E6</f>
        <v>1.25-1.25"</v>
      </c>
      <c r="E150" s="23" t="str">
        <f ca="1">'Landscape Trees '!F6</f>
        <v>8-9'</v>
      </c>
      <c r="F150" s="25">
        <f ca="1">'Landscape Trees '!G6</f>
        <v>2</v>
      </c>
      <c r="G150" s="23">
        <f ca="1">'Landscape Trees '!H6</f>
        <v>0</v>
      </c>
      <c r="H150" s="26">
        <f ca="1">'Landscape Trees '!I6</f>
        <v>175</v>
      </c>
      <c r="I150" s="23" t="str">
        <f t="shared" ca="1" si="2"/>
        <v>Paperbark Maple #25-2020</v>
      </c>
      <c r="J150" s="10"/>
      <c r="K150" s="26">
        <f t="shared" ca="1" si="3"/>
        <v>0</v>
      </c>
    </row>
    <row r="151" spans="1:11" ht="12.75">
      <c r="A151" s="23" t="str">
        <f ca="1">'Landscape Trees '!A7</f>
        <v>Acer palmatum 'Bloodgood'</v>
      </c>
      <c r="B151" s="23" t="str">
        <f ca="1">'Landscape Trees '!C7</f>
        <v>Bloodgood Japanese Maple</v>
      </c>
      <c r="C151" s="23" t="str">
        <f ca="1">'Landscape Trees '!D7</f>
        <v>#7</v>
      </c>
      <c r="D151" s="24" t="str">
        <f ca="1">'Landscape Trees '!E7</f>
        <v>0.25-0.5"</v>
      </c>
      <c r="E151" s="23" t="str">
        <f ca="1">'Landscape Trees '!F7</f>
        <v>4-5'</v>
      </c>
      <c r="F151" s="25">
        <f ca="1">'Landscape Trees '!G7</f>
        <v>20</v>
      </c>
      <c r="G151" s="23">
        <f ca="1">'Landscape Trees '!H7</f>
        <v>0</v>
      </c>
      <c r="H151" s="26">
        <f ca="1">'Landscape Trees '!I7</f>
        <v>50</v>
      </c>
      <c r="I151" s="23" t="str">
        <f t="shared" ca="1" si="2"/>
        <v>Bloodgood Japanese Maple #7-2020</v>
      </c>
      <c r="J151" s="10"/>
      <c r="K151" s="26">
        <f t="shared" ca="1" si="3"/>
        <v>0</v>
      </c>
    </row>
    <row r="152" spans="1:11" ht="12.75">
      <c r="A152" s="23" t="str">
        <f ca="1">'Landscape Trees '!A8</f>
        <v>Acer palmatum 'Emperor I'</v>
      </c>
      <c r="B152" s="23" t="str">
        <f ca="1">'Landscape Trees '!C8</f>
        <v>Emperor I Japanese Maple</v>
      </c>
      <c r="C152" s="23" t="str">
        <f ca="1">'Landscape Trees '!D8</f>
        <v>#7</v>
      </c>
      <c r="D152" s="24" t="str">
        <f ca="1">'Landscape Trees '!E8</f>
        <v>0.25-0.5"</v>
      </c>
      <c r="E152" s="23" t="str">
        <f ca="1">'Landscape Trees '!F8</f>
        <v>4-5'</v>
      </c>
      <c r="F152" s="25">
        <f ca="1">'Landscape Trees '!G8</f>
        <v>8</v>
      </c>
      <c r="G152" s="23">
        <f ca="1">'Landscape Trees '!H8</f>
        <v>20</v>
      </c>
      <c r="H152" s="26">
        <f ca="1">'Landscape Trees '!I8</f>
        <v>50</v>
      </c>
      <c r="I152" s="23" t="str">
        <f t="shared" ca="1" si="2"/>
        <v>Emperor I Japanese Maple #7-2020</v>
      </c>
      <c r="J152" s="10"/>
      <c r="K152" s="26">
        <f t="shared" ca="1" si="3"/>
        <v>0</v>
      </c>
    </row>
    <row r="153" spans="1:11" ht="12.75">
      <c r="A153" s="23" t="str">
        <f ca="1">'Landscape Trees '!A9</f>
        <v>Acer palmatum 'Tamukeyama'</v>
      </c>
      <c r="B153" s="23" t="str">
        <f ca="1">'Landscape Trees '!C9</f>
        <v>Tamukeyama Japanese Maple</v>
      </c>
      <c r="C153" s="23" t="str">
        <f ca="1">'Landscape Trees '!D9</f>
        <v>#7</v>
      </c>
      <c r="D153" s="24" t="str">
        <f ca="1">'Landscape Trees '!E9</f>
        <v>0.375-0.5"</v>
      </c>
      <c r="E153" s="23" t="str">
        <f ca="1">'Landscape Trees '!F9</f>
        <v>3-4'</v>
      </c>
      <c r="F153" s="25">
        <f ca="1">'Landscape Trees '!G9</f>
        <v>21</v>
      </c>
      <c r="G153" s="23">
        <f ca="1">'Landscape Trees '!H9</f>
        <v>20</v>
      </c>
      <c r="H153" s="26">
        <f ca="1">'Landscape Trees '!I9</f>
        <v>60</v>
      </c>
      <c r="I153" s="23" t="str">
        <f t="shared" ca="1" si="2"/>
        <v>Tamukeyama Japanese Maple #7-2020</v>
      </c>
      <c r="J153" s="10"/>
      <c r="K153" s="26">
        <f t="shared" ca="1" si="3"/>
        <v>0</v>
      </c>
    </row>
    <row r="154" spans="1:11" ht="12.75">
      <c r="A154" s="23" t="str">
        <f ca="1">'Landscape Trees '!A10</f>
        <v>Acer platanoides 'Crimson King'</v>
      </c>
      <c r="B154" s="23" t="str">
        <f ca="1">'Landscape Trees '!C10</f>
        <v>Crimson King Norway Maple</v>
      </c>
      <c r="C154" s="23" t="str">
        <f ca="1">'Landscape Trees '!D10</f>
        <v>#15</v>
      </c>
      <c r="D154" s="24" t="str">
        <f ca="1">'Landscape Trees '!E10</f>
        <v>1-1"</v>
      </c>
      <c r="E154" s="23" t="str">
        <f ca="1">'Landscape Trees '!F10</f>
        <v>8-9'</v>
      </c>
      <c r="F154" s="25">
        <f ca="1">'Landscape Trees '!G10</f>
        <v>0</v>
      </c>
      <c r="G154" s="23">
        <f ca="1">'Landscape Trees '!H10</f>
        <v>10</v>
      </c>
      <c r="H154" s="26">
        <f ca="1">'Landscape Trees '!I10</f>
        <v>110</v>
      </c>
      <c r="I154" s="23" t="str">
        <f t="shared" ca="1" si="2"/>
        <v>Crimson King Norway Maple #15-2020</v>
      </c>
      <c r="J154" s="10"/>
      <c r="K154" s="26">
        <f t="shared" ca="1" si="3"/>
        <v>0</v>
      </c>
    </row>
    <row r="155" spans="1:11" ht="12.75">
      <c r="A155" s="23" t="str">
        <f ca="1">'Landscape Trees '!A11</f>
        <v>Acer rubrum</v>
      </c>
      <c r="B155" s="23" t="str">
        <f ca="1">'Landscape Trees '!C11</f>
        <v>Red Maple (Native)</v>
      </c>
      <c r="C155" s="23" t="str">
        <f ca="1">'Landscape Trees '!D11</f>
        <v>#5</v>
      </c>
      <c r="D155" s="24" t="str">
        <f ca="1">'Landscape Trees '!E11</f>
        <v>0.125-0.25"</v>
      </c>
      <c r="E155" s="23" t="str">
        <f ca="1">'Landscape Trees '!F11</f>
        <v>3-4'</v>
      </c>
      <c r="F155" s="25">
        <f ca="1">'Landscape Trees '!G11</f>
        <v>48</v>
      </c>
      <c r="G155" s="23">
        <f ca="1">'Landscape Trees '!H11</f>
        <v>100</v>
      </c>
      <c r="H155" s="26">
        <f ca="1">'Landscape Trees '!I11</f>
        <v>35</v>
      </c>
      <c r="I155" s="23" t="str">
        <f t="shared" ca="1" si="2"/>
        <v>Red Maple (Native) #5-2020</v>
      </c>
      <c r="J155" s="10"/>
      <c r="K155" s="26">
        <f t="shared" ca="1" si="3"/>
        <v>0</v>
      </c>
    </row>
    <row r="156" spans="1:11" ht="12.75">
      <c r="A156" s="23" t="str">
        <f ca="1">'Landscape Trees '!A12</f>
        <v xml:space="preserve">Acer rubrum </v>
      </c>
      <c r="B156" s="23" t="str">
        <f ca="1">'Landscape Trees '!C12</f>
        <v>Red Maple</v>
      </c>
      <c r="C156" s="23" t="str">
        <f ca="1">'Landscape Trees '!D12</f>
        <v>#5</v>
      </c>
      <c r="D156" s="24" t="str">
        <f ca="1">'Landscape Trees '!E12</f>
        <v>0.25-0.5"</v>
      </c>
      <c r="E156" s="23" t="str">
        <f ca="1">'Landscape Trees '!F12</f>
        <v>2-3'</v>
      </c>
      <c r="F156" s="25">
        <f ca="1">'Landscape Trees '!G12</f>
        <v>58</v>
      </c>
      <c r="G156" s="23">
        <f ca="1">'Landscape Trees '!H12</f>
        <v>130</v>
      </c>
      <c r="H156" s="26">
        <f ca="1">'Landscape Trees '!I12</f>
        <v>35</v>
      </c>
      <c r="I156" s="23" t="str">
        <f t="shared" ca="1" si="2"/>
        <v>Red Maple #5-2020</v>
      </c>
      <c r="J156" s="10"/>
      <c r="K156" s="26">
        <f t="shared" ca="1" si="3"/>
        <v>0</v>
      </c>
    </row>
    <row r="157" spans="1:11" ht="12.75">
      <c r="A157" s="23" t="str">
        <f ca="1">'Landscape Trees '!A13</f>
        <v xml:space="preserve">Acer rubrum </v>
      </c>
      <c r="B157" s="23" t="str">
        <f ca="1">'Landscape Trees '!C13</f>
        <v>Red Maple</v>
      </c>
      <c r="C157" s="23" t="str">
        <f ca="1">'Landscape Trees '!D13</f>
        <v>#15</v>
      </c>
      <c r="D157" s="24" t="str">
        <f ca="1">'Landscape Trees '!E13</f>
        <v>1.25-1.25"</v>
      </c>
      <c r="E157" s="23" t="str">
        <f ca="1">'Landscape Trees '!F13</f>
        <v>12-12'</v>
      </c>
      <c r="F157" s="25">
        <f ca="1">'Landscape Trees '!G13</f>
        <v>1</v>
      </c>
      <c r="G157" s="23">
        <f ca="1">'Landscape Trees '!H13</f>
        <v>40</v>
      </c>
      <c r="H157" s="26">
        <f ca="1">'Landscape Trees '!I13</f>
        <v>110</v>
      </c>
      <c r="I157" s="23" t="str">
        <f t="shared" ca="1" si="2"/>
        <v>Red Maple #15-2020</v>
      </c>
      <c r="J157" s="10"/>
      <c r="K157" s="26">
        <f t="shared" ca="1" si="3"/>
        <v>0</v>
      </c>
    </row>
    <row r="158" spans="1:11" ht="12.75">
      <c r="A158" s="23" t="str">
        <f ca="1">'Landscape Trees '!A14</f>
        <v xml:space="preserve">Acer rubrum </v>
      </c>
      <c r="B158" s="23" t="str">
        <f ca="1">'Landscape Trees '!C14</f>
        <v>Red Maple</v>
      </c>
      <c r="C158" s="23" t="str">
        <f ca="1">'Landscape Trees '!D14</f>
        <v>#25</v>
      </c>
      <c r="D158" s="24" t="str">
        <f ca="1">'Landscape Trees '!E14</f>
        <v>1.5-1.5"</v>
      </c>
      <c r="E158" s="23" t="str">
        <f ca="1">'Landscape Trees '!F14</f>
        <v>12-12'</v>
      </c>
      <c r="F158" s="25">
        <f ca="1">'Landscape Trees '!G14</f>
        <v>2</v>
      </c>
      <c r="G158" s="23">
        <f ca="1">'Landscape Trees '!H14</f>
        <v>0</v>
      </c>
      <c r="H158" s="26">
        <f ca="1">'Landscape Trees '!I14</f>
        <v>135</v>
      </c>
      <c r="I158" s="23" t="str">
        <f t="shared" ca="1" si="2"/>
        <v>Red Maple #25-2020</v>
      </c>
      <c r="J158" s="10"/>
      <c r="K158" s="26">
        <f t="shared" ca="1" si="3"/>
        <v>0</v>
      </c>
    </row>
    <row r="159" spans="1:11" ht="12.75">
      <c r="A159" s="23" t="str">
        <f ca="1">'Landscape Trees '!A15</f>
        <v>Acer rubrum 'Karpick'</v>
      </c>
      <c r="B159" s="23" t="str">
        <f ca="1">'Landscape Trees '!C15</f>
        <v>Kaprick Red Maple</v>
      </c>
      <c r="C159" s="23" t="str">
        <f ca="1">'Landscape Trees '!D15</f>
        <v>#25</v>
      </c>
      <c r="D159" s="24" t="str">
        <f ca="1">'Landscape Trees '!E15</f>
        <v>1.25-1.5"</v>
      </c>
      <c r="E159" s="23" t="str">
        <f ca="1">'Landscape Trees '!F15</f>
        <v>11-12'</v>
      </c>
      <c r="F159" s="25">
        <f ca="1">'Landscape Trees '!G15</f>
        <v>4</v>
      </c>
      <c r="G159" s="23">
        <f ca="1">'Landscape Trees '!H15</f>
        <v>0</v>
      </c>
      <c r="H159" s="26">
        <f ca="1">'Landscape Trees '!I15</f>
        <v>135</v>
      </c>
      <c r="I159" s="23" t="str">
        <f t="shared" ca="1" si="2"/>
        <v>Kaprick Red Maple #25-2020</v>
      </c>
      <c r="J159" s="10"/>
      <c r="K159" s="26">
        <f t="shared" ca="1" si="3"/>
        <v>0</v>
      </c>
    </row>
    <row r="160" spans="1:11" ht="12.75">
      <c r="A160" s="23" t="str">
        <f ca="1">'Landscape Trees '!A16</f>
        <v>Acer saccharum</v>
      </c>
      <c r="B160" s="23" t="str">
        <f ca="1">'Landscape Trees '!C16</f>
        <v>Sugar Maple</v>
      </c>
      <c r="C160" s="23" t="str">
        <f ca="1">'Landscape Trees '!D16</f>
        <v>#5</v>
      </c>
      <c r="D160" s="24" t="str">
        <f ca="1">'Landscape Trees '!E16</f>
        <v>0.25-0.5"</v>
      </c>
      <c r="E160" s="23" t="str">
        <f ca="1">'Landscape Trees '!F16</f>
        <v>3-5'</v>
      </c>
      <c r="F160" s="25">
        <f ca="1">'Landscape Trees '!G16</f>
        <v>92</v>
      </c>
      <c r="G160" s="23">
        <f ca="1">'Landscape Trees '!H16</f>
        <v>50</v>
      </c>
      <c r="H160" s="26">
        <f ca="1">'Landscape Trees '!I16</f>
        <v>35</v>
      </c>
      <c r="I160" s="23" t="str">
        <f t="shared" ca="1" si="2"/>
        <v>Sugar Maple #5-2020</v>
      </c>
      <c r="J160" s="10"/>
      <c r="K160" s="26">
        <f t="shared" ca="1" si="3"/>
        <v>0</v>
      </c>
    </row>
    <row r="161" spans="1:11" ht="12.75">
      <c r="A161" s="23" t="str">
        <f ca="1">'Landscape Trees '!A17</f>
        <v>Acer saccharum 'Green Mountain'</v>
      </c>
      <c r="B161" s="23" t="str">
        <f ca="1">'Landscape Trees '!C17</f>
        <v>Green Mountain Sugar Maple</v>
      </c>
      <c r="C161" s="23" t="str">
        <f ca="1">'Landscape Trees '!D17</f>
        <v>#25</v>
      </c>
      <c r="D161" s="24" t="str">
        <f ca="1">'Landscape Trees '!E17</f>
        <v>1-1.25"</v>
      </c>
      <c r="E161" s="23" t="str">
        <f ca="1">'Landscape Trees '!F17</f>
        <v>9-10'</v>
      </c>
      <c r="F161" s="25">
        <f ca="1">'Landscape Trees '!G17</f>
        <v>8</v>
      </c>
      <c r="G161" s="23">
        <f ca="1">'Landscape Trees '!H17</f>
        <v>0</v>
      </c>
      <c r="H161" s="26">
        <f ca="1">'Landscape Trees '!I17</f>
        <v>150</v>
      </c>
      <c r="I161" s="23" t="str">
        <f t="shared" ca="1" si="2"/>
        <v>Green Mountain Sugar Maple #25-2020</v>
      </c>
      <c r="J161" s="10"/>
      <c r="K161" s="26">
        <f t="shared" ca="1" si="3"/>
        <v>0</v>
      </c>
    </row>
    <row r="162" spans="1:11" ht="12.75">
      <c r="A162" s="23" t="str">
        <f ca="1">'Landscape Trees '!A18</f>
        <v>Acer saccharum 'Legacy'</v>
      </c>
      <c r="B162" s="23" t="str">
        <f ca="1">'Landscape Trees '!C18</f>
        <v>Legacy Sugar Maple</v>
      </c>
      <c r="C162" s="23" t="str">
        <f ca="1">'Landscape Trees '!D18</f>
        <v>#15</v>
      </c>
      <c r="D162" s="24" t="str">
        <f ca="1">'Landscape Trees '!E18</f>
        <v>0.5-0.75"</v>
      </c>
      <c r="E162" s="23" t="str">
        <f ca="1">'Landscape Trees '!F18</f>
        <v>7-7'</v>
      </c>
      <c r="F162" s="25">
        <f ca="1">'Landscape Trees '!G18</f>
        <v>3</v>
      </c>
      <c r="G162" s="23">
        <f ca="1">'Landscape Trees '!H18</f>
        <v>0</v>
      </c>
      <c r="H162" s="26">
        <f ca="1">'Landscape Trees '!I18</f>
        <v>110</v>
      </c>
      <c r="I162" s="23" t="str">
        <f t="shared" ca="1" si="2"/>
        <v>Legacy Sugar Maple #15-2020</v>
      </c>
      <c r="J162" s="10"/>
      <c r="K162" s="26">
        <f t="shared" ca="1" si="3"/>
        <v>0</v>
      </c>
    </row>
    <row r="163" spans="1:11" ht="12.75">
      <c r="A163" s="23" t="str">
        <f ca="1">'Landscape Trees '!A19</f>
        <v>Acer tataricum 'Hot Wings'</v>
      </c>
      <c r="B163" s="23" t="str">
        <f ca="1">'Landscape Trees '!C19</f>
        <v>Hot Wings Maple</v>
      </c>
      <c r="C163" s="23" t="str">
        <f ca="1">'Landscape Trees '!D19</f>
        <v>#25</v>
      </c>
      <c r="D163" s="24" t="str">
        <f ca="1">'Landscape Trees '!E19</f>
        <v>1-1.5"</v>
      </c>
      <c r="E163" s="23" t="str">
        <f ca="1">'Landscape Trees '!F19</f>
        <v>8-11'</v>
      </c>
      <c r="F163" s="25">
        <f ca="1">'Landscape Trees '!G19</f>
        <v>5</v>
      </c>
      <c r="G163" s="23">
        <f ca="1">'Landscape Trees '!H19</f>
        <v>0</v>
      </c>
      <c r="H163" s="26">
        <f ca="1">'Landscape Trees '!I19</f>
        <v>135</v>
      </c>
      <c r="I163" s="23" t="str">
        <f t="shared" ca="1" si="2"/>
        <v>Hot Wings Maple #25-2020</v>
      </c>
      <c r="J163" s="10"/>
      <c r="K163" s="26">
        <f t="shared" ca="1" si="3"/>
        <v>0</v>
      </c>
    </row>
    <row r="164" spans="1:11" ht="12.75">
      <c r="A164" s="23" t="str">
        <f ca="1">'Landscape Trees '!A20</f>
        <v>Acer x freemanii</v>
      </c>
      <c r="B164" s="23" t="str">
        <f ca="1">'Landscape Trees '!C20</f>
        <v>Autumn Blaze Maple</v>
      </c>
      <c r="C164" s="23" t="str">
        <f ca="1">'Landscape Trees '!D20</f>
        <v>#5</v>
      </c>
      <c r="D164" s="24" t="str">
        <f ca="1">'Landscape Trees '!E20</f>
        <v>0.38-0.25"</v>
      </c>
      <c r="E164" s="23" t="str">
        <f ca="1">'Landscape Trees '!F20</f>
        <v>1-2'</v>
      </c>
      <c r="F164" s="25">
        <f ca="1">'Landscape Trees '!G20</f>
        <v>0</v>
      </c>
      <c r="G164" s="23">
        <f ca="1">'Landscape Trees '!H20</f>
        <v>25</v>
      </c>
      <c r="H164" s="26">
        <f ca="1">'Landscape Trees '!I20</f>
        <v>35</v>
      </c>
      <c r="I164" s="23" t="str">
        <f t="shared" ca="1" si="2"/>
        <v>Autumn Blaze Maple #5-2020</v>
      </c>
      <c r="J164" s="10"/>
      <c r="K164" s="26">
        <f t="shared" ca="1" si="3"/>
        <v>0</v>
      </c>
    </row>
    <row r="165" spans="1:11" ht="12.75">
      <c r="A165" s="23" t="str">
        <f ca="1">'Landscape Trees '!A21</f>
        <v>Acer x freemanii</v>
      </c>
      <c r="B165" s="23" t="str">
        <f ca="1">'Landscape Trees '!C21</f>
        <v>Autumn Blaze Maple</v>
      </c>
      <c r="C165" s="23" t="str">
        <f ca="1">'Landscape Trees '!D21</f>
        <v>#10</v>
      </c>
      <c r="D165" s="24" t="str">
        <f ca="1">'Landscape Trees '!E21</f>
        <v>0.75-1.5"</v>
      </c>
      <c r="E165" s="23" t="str">
        <f ca="1">'Landscape Trees '!F21</f>
        <v>6-9'</v>
      </c>
      <c r="F165" s="25">
        <f ca="1">'Landscape Trees '!G21</f>
        <v>1</v>
      </c>
      <c r="G165" s="23">
        <f ca="1">'Landscape Trees '!H21</f>
        <v>15</v>
      </c>
      <c r="H165" s="26">
        <f ca="1">'Landscape Trees '!I21</f>
        <v>80</v>
      </c>
      <c r="I165" s="23" t="str">
        <f t="shared" ca="1" si="2"/>
        <v>Autumn Blaze Maple #10-2020</v>
      </c>
      <c r="J165" s="10"/>
      <c r="K165" s="26">
        <f t="shared" ca="1" si="3"/>
        <v>0</v>
      </c>
    </row>
    <row r="166" spans="1:11" ht="12.75">
      <c r="A166" s="23" t="str">
        <f ca="1">'Landscape Trees '!A22</f>
        <v>Aesculus carnea 'Ft. McNair'</v>
      </c>
      <c r="B166" s="23" t="str">
        <f ca="1">'Landscape Trees '!C22</f>
        <v>Ft. McNair Horsechestnut</v>
      </c>
      <c r="C166" s="23" t="str">
        <f ca="1">'Landscape Trees '!D22</f>
        <v>#15</v>
      </c>
      <c r="D166" s="24" t="str">
        <f ca="1">'Landscape Trees '!E22</f>
        <v>1.25-1.5"</v>
      </c>
      <c r="E166" s="23" t="str">
        <f ca="1">'Landscape Trees '!F22</f>
        <v>8-9'</v>
      </c>
      <c r="F166" s="25">
        <f ca="1">'Landscape Trees '!G22</f>
        <v>1</v>
      </c>
      <c r="G166" s="23">
        <f ca="1">'Landscape Trees '!H22</f>
        <v>0</v>
      </c>
      <c r="H166" s="26">
        <f ca="1">'Landscape Trees '!I22</f>
        <v>135</v>
      </c>
      <c r="I166" s="23" t="str">
        <f t="shared" ca="1" si="2"/>
        <v>Ft. McNair Horsechestnut #15-2020</v>
      </c>
      <c r="J166" s="10"/>
      <c r="K166" s="26">
        <f t="shared" ca="1" si="3"/>
        <v>0</v>
      </c>
    </row>
    <row r="167" spans="1:11" ht="12.75">
      <c r="A167" s="23" t="str">
        <f ca="1">'Landscape Trees '!A23</f>
        <v>Aesculus carnea 'Ft. McNair'</v>
      </c>
      <c r="B167" s="23" t="str">
        <f ca="1">'Landscape Trees '!C23</f>
        <v>Ft. McNair Horsechestnut</v>
      </c>
      <c r="C167" s="23" t="str">
        <f ca="1">'Landscape Trees '!D23</f>
        <v>#25</v>
      </c>
      <c r="D167" s="24" t="str">
        <f ca="1">'Landscape Trees '!E23</f>
        <v>1.25-1.5"</v>
      </c>
      <c r="E167" s="23" t="str">
        <f ca="1">'Landscape Trees '!F23</f>
        <v>8-9'</v>
      </c>
      <c r="F167" s="25">
        <f ca="1">'Landscape Trees '!G23</f>
        <v>1</v>
      </c>
      <c r="G167" s="23">
        <f ca="1">'Landscape Trees '!H23</f>
        <v>0</v>
      </c>
      <c r="H167" s="26">
        <f ca="1">'Landscape Trees '!I23</f>
        <v>150</v>
      </c>
      <c r="I167" s="23" t="str">
        <f t="shared" ca="1" si="2"/>
        <v>Ft. McNair Horsechestnut #25-2020</v>
      </c>
      <c r="J167" s="10"/>
      <c r="K167" s="26">
        <f t="shared" ca="1" si="3"/>
        <v>0</v>
      </c>
    </row>
    <row r="168" spans="1:11" ht="12.75">
      <c r="A168" s="23" t="str">
        <f ca="1">'Landscape Trees '!A24</f>
        <v>Aesculus hippocastanum</v>
      </c>
      <c r="B168" s="23" t="str">
        <f ca="1">'Landscape Trees '!C24</f>
        <v>European Horsechestnut</v>
      </c>
      <c r="C168" s="23" t="str">
        <f ca="1">'Landscape Trees '!D24</f>
        <v>#5</v>
      </c>
      <c r="D168" s="24" t="str">
        <f ca="1">'Landscape Trees '!E24</f>
        <v>1-1.25"</v>
      </c>
      <c r="E168" s="23" t="str">
        <f ca="1">'Landscape Trees '!F24</f>
        <v>4-5'</v>
      </c>
      <c r="F168" s="25">
        <f ca="1">'Landscape Trees '!G24</f>
        <v>27</v>
      </c>
      <c r="G168" s="23">
        <f ca="1">'Landscape Trees '!H24</f>
        <v>0</v>
      </c>
      <c r="H168" s="26">
        <f ca="1">'Landscape Trees '!I24</f>
        <v>40</v>
      </c>
      <c r="I168" s="23" t="str">
        <f t="shared" ca="1" si="2"/>
        <v>European Horsechestnut #5-2020</v>
      </c>
      <c r="J168" s="10"/>
      <c r="K168" s="26">
        <f t="shared" ca="1" si="3"/>
        <v>0</v>
      </c>
    </row>
    <row r="169" spans="1:11" ht="12.75">
      <c r="A169" s="23" t="str">
        <f ca="1">'Landscape Trees '!A25</f>
        <v>Aesculus parviflora</v>
      </c>
      <c r="B169" s="23" t="str">
        <f ca="1">'Landscape Trees '!C25</f>
        <v>Bottlebrush Buckeye</v>
      </c>
      <c r="C169" s="23" t="str">
        <f ca="1">'Landscape Trees '!D25</f>
        <v>#5</v>
      </c>
      <c r="D169" s="24" t="str">
        <f ca="1">'Landscape Trees '!E25</f>
        <v>0.25-0.25"</v>
      </c>
      <c r="E169" s="23" t="str">
        <f ca="1">'Landscape Trees '!F25</f>
        <v>1-2'</v>
      </c>
      <c r="F169" s="25">
        <f ca="1">'Landscape Trees '!G25</f>
        <v>8</v>
      </c>
      <c r="G169" s="23">
        <f ca="1">'Landscape Trees '!H25</f>
        <v>100</v>
      </c>
      <c r="H169" s="26">
        <f ca="1">'Landscape Trees '!I25</f>
        <v>50</v>
      </c>
      <c r="I169" s="23" t="str">
        <f t="shared" ca="1" si="2"/>
        <v>Bottlebrush Buckeye #5-2020</v>
      </c>
      <c r="J169" s="10"/>
      <c r="K169" s="26">
        <f t="shared" ca="1" si="3"/>
        <v>0</v>
      </c>
    </row>
    <row r="170" spans="1:11" ht="12.75">
      <c r="A170" s="23" t="str">
        <f ca="1">'Landscape Trees '!A26</f>
        <v>Aesculus parviflora</v>
      </c>
      <c r="B170" s="23" t="str">
        <f ca="1">'Landscape Trees '!C26</f>
        <v>Bottlebrush Buckeye</v>
      </c>
      <c r="C170" s="23" t="str">
        <f ca="1">'Landscape Trees '!D26</f>
        <v>#5</v>
      </c>
      <c r="D170" s="24" t="str">
        <f ca="1">'Landscape Trees '!E26</f>
        <v>0.38-0.25"</v>
      </c>
      <c r="E170" s="23" t="str">
        <f ca="1">'Landscape Trees '!F26</f>
        <v>1-2'</v>
      </c>
      <c r="F170" s="25">
        <f ca="1">'Landscape Trees '!G26</f>
        <v>0</v>
      </c>
      <c r="G170" s="23">
        <f ca="1">'Landscape Trees '!H26</f>
        <v>100</v>
      </c>
      <c r="H170" s="26">
        <f ca="1">'Landscape Trees '!I26</f>
        <v>50</v>
      </c>
      <c r="I170" s="23" t="str">
        <f t="shared" ca="1" si="2"/>
        <v>Bottlebrush Buckeye #5-2020</v>
      </c>
      <c r="J170" s="10"/>
      <c r="K170" s="26">
        <f t="shared" ca="1" si="3"/>
        <v>0</v>
      </c>
    </row>
    <row r="171" spans="1:11" ht="12.75">
      <c r="A171" s="23" t="str">
        <f ca="1">'Landscape Trees '!A27</f>
        <v>Aesculus parviflora</v>
      </c>
      <c r="B171" s="23" t="str">
        <f ca="1">'Landscape Trees '!C27</f>
        <v>Bottlebrush Buckeye</v>
      </c>
      <c r="C171" s="23" t="str">
        <f ca="1">'Landscape Trees '!D27</f>
        <v>#7p</v>
      </c>
      <c r="D171" s="24" t="str">
        <f ca="1">'Landscape Trees '!E27</f>
        <v>0.5-0.75"</v>
      </c>
      <c r="E171" s="23" t="str">
        <f ca="1">'Landscape Trees '!F27</f>
        <v>4-5'</v>
      </c>
      <c r="F171" s="25">
        <f ca="1">'Landscape Trees '!G27</f>
        <v>0</v>
      </c>
      <c r="G171" s="23">
        <f ca="1">'Landscape Trees '!H27</f>
        <v>10</v>
      </c>
      <c r="H171" s="26">
        <f ca="1">'Landscape Trees '!I27</f>
        <v>60</v>
      </c>
      <c r="I171" s="23" t="str">
        <f t="shared" ca="1" si="2"/>
        <v>Bottlebrush Buckeye #7p-2020</v>
      </c>
      <c r="J171" s="10"/>
      <c r="K171" s="26">
        <f t="shared" ca="1" si="3"/>
        <v>0</v>
      </c>
    </row>
    <row r="172" spans="1:11" ht="12.75">
      <c r="A172" s="23" t="str">
        <f ca="1">'Landscape Trees '!A28</f>
        <v>Aesculus pavia</v>
      </c>
      <c r="B172" s="23" t="str">
        <f ca="1">'Landscape Trees '!C28</f>
        <v>Red Buckeye</v>
      </c>
      <c r="C172" s="23" t="str">
        <f ca="1">'Landscape Trees '!D28</f>
        <v>#5</v>
      </c>
      <c r="D172" s="24" t="str">
        <f ca="1">'Landscape Trees '!E28</f>
        <v>0.25-0.5"</v>
      </c>
      <c r="E172" s="23" t="str">
        <f ca="1">'Landscape Trees '!F28</f>
        <v>1-3'</v>
      </c>
      <c r="F172" s="25">
        <f ca="1">'Landscape Trees '!G28</f>
        <v>6</v>
      </c>
      <c r="G172" s="23">
        <f ca="1">'Landscape Trees '!H28</f>
        <v>50</v>
      </c>
      <c r="H172" s="26">
        <f ca="1">'Landscape Trees '!I28</f>
        <v>45</v>
      </c>
      <c r="I172" s="23" t="str">
        <f t="shared" ca="1" si="2"/>
        <v>Red Buckeye #5-2020</v>
      </c>
      <c r="J172" s="10"/>
      <c r="K172" s="26">
        <f t="shared" ca="1" si="3"/>
        <v>0</v>
      </c>
    </row>
    <row r="173" spans="1:11" ht="12.75">
      <c r="A173" s="23" t="str">
        <f ca="1">'Landscape Trees '!A29</f>
        <v>Albizia julibrissin 'E.H.Wilson'</v>
      </c>
      <c r="B173" s="23" t="str">
        <f ca="1">'Landscape Trees '!C29</f>
        <v>Cold Hardy Mimosa</v>
      </c>
      <c r="C173" s="23" t="str">
        <f ca="1">'Landscape Trees '!D29</f>
        <v>#5</v>
      </c>
      <c r="D173" s="27" t="str">
        <f ca="1">'Landscape Trees '!E29</f>
        <v>Multi</v>
      </c>
      <c r="E173" s="23" t="str">
        <f ca="1">'Landscape Trees '!F29</f>
        <v>3-4'</v>
      </c>
      <c r="F173" s="25">
        <f ca="1">'Landscape Trees '!G29</f>
        <v>17</v>
      </c>
      <c r="G173" s="23">
        <f ca="1">'Landscape Trees '!H29</f>
        <v>0</v>
      </c>
      <c r="H173" s="26">
        <f ca="1">'Landscape Trees '!I29</f>
        <v>35</v>
      </c>
      <c r="I173" s="23" t="str">
        <f t="shared" ca="1" si="2"/>
        <v>Cold Hardy Mimosa #5-2020</v>
      </c>
      <c r="J173" s="10"/>
      <c r="K173" s="26">
        <f t="shared" ca="1" si="3"/>
        <v>0</v>
      </c>
    </row>
    <row r="174" spans="1:11" ht="12.75">
      <c r="A174" s="23" t="str">
        <f ca="1">'Landscape Trees '!A30</f>
        <v>Amelanchier canadensis</v>
      </c>
      <c r="B174" s="23" t="str">
        <f ca="1">'Landscape Trees '!C30</f>
        <v>Canadensis Serviceberry</v>
      </c>
      <c r="C174" s="23" t="str">
        <f ca="1">'Landscape Trees '!D30</f>
        <v>#15</v>
      </c>
      <c r="D174" s="27" t="str">
        <f ca="1">'Landscape Trees '!E30</f>
        <v>Multi</v>
      </c>
      <c r="E174" s="23" t="str">
        <f ca="1">'Landscape Trees '!F30</f>
        <v>6-7'</v>
      </c>
      <c r="F174" s="25">
        <f ca="1">'Landscape Trees '!G30</f>
        <v>10</v>
      </c>
      <c r="G174" s="23">
        <f ca="1">'Landscape Trees '!H30</f>
        <v>0</v>
      </c>
      <c r="H174" s="26">
        <f ca="1">'Landscape Trees '!I30</f>
        <v>110</v>
      </c>
      <c r="I174" s="23" t="str">
        <f t="shared" ca="1" si="2"/>
        <v>Canadensis Serviceberry #15-2020</v>
      </c>
      <c r="J174" s="10"/>
      <c r="K174" s="26">
        <f t="shared" ca="1" si="3"/>
        <v>0</v>
      </c>
    </row>
    <row r="175" spans="1:11" ht="12.75">
      <c r="A175" s="23" t="str">
        <f ca="1">'Landscape Trees '!A31</f>
        <v>Amelanchier grandiflora 'Autumn Brilliance'</v>
      </c>
      <c r="B175" s="23" t="str">
        <f ca="1">'Landscape Trees '!C31</f>
        <v>Autumn Brillance Serviceberry</v>
      </c>
      <c r="C175" s="23" t="str">
        <f ca="1">'Landscape Trees '!D31</f>
        <v>#5</v>
      </c>
      <c r="D175" s="24" t="str">
        <f ca="1">'Landscape Trees '!E31</f>
        <v>0.25-0.5"</v>
      </c>
      <c r="E175" s="23" t="str">
        <f ca="1">'Landscape Trees '!F31</f>
        <v>5-6'</v>
      </c>
      <c r="F175" s="25">
        <f ca="1">'Landscape Trees '!G31</f>
        <v>0</v>
      </c>
      <c r="G175" s="23">
        <f ca="1">'Landscape Trees '!H31</f>
        <v>50</v>
      </c>
      <c r="H175" s="26">
        <f ca="1">'Landscape Trees '!I31</f>
        <v>35</v>
      </c>
      <c r="I175" s="23" t="str">
        <f t="shared" ca="1" si="2"/>
        <v>Autumn Brillance Serviceberry #5-2020</v>
      </c>
      <c r="J175" s="10"/>
      <c r="K175" s="26">
        <f t="shared" ca="1" si="3"/>
        <v>0</v>
      </c>
    </row>
    <row r="176" spans="1:11" ht="12.75">
      <c r="A176" s="23" t="str">
        <f ca="1">'Landscape Trees '!A32</f>
        <v>Amelanchier laevis</v>
      </c>
      <c r="B176" s="23" t="str">
        <f ca="1">'Landscape Trees '!C32</f>
        <v>Allegheny Serviceberry</v>
      </c>
      <c r="C176" s="23" t="str">
        <f ca="1">'Landscape Trees '!D32</f>
        <v>#5</v>
      </c>
      <c r="D176" s="24" t="str">
        <f ca="1">'Landscape Trees '!E32</f>
        <v>0.25-0.75"</v>
      </c>
      <c r="E176" s="23" t="str">
        <f ca="1">'Landscape Trees '!F32</f>
        <v>5-7'</v>
      </c>
      <c r="F176" s="25">
        <f ca="1">'Landscape Trees '!G32</f>
        <v>92</v>
      </c>
      <c r="G176" s="23">
        <f ca="1">'Landscape Trees '!H32</f>
        <v>0</v>
      </c>
      <c r="H176" s="26">
        <f ca="1">'Landscape Trees '!I32</f>
        <v>35</v>
      </c>
      <c r="I176" s="23" t="str">
        <f t="shared" ca="1" si="2"/>
        <v>Allegheny Serviceberry #5-2020</v>
      </c>
      <c r="J176" s="10"/>
      <c r="K176" s="26">
        <f t="shared" ca="1" si="3"/>
        <v>0</v>
      </c>
    </row>
    <row r="177" spans="1:11" ht="12.75">
      <c r="A177" s="23" t="str">
        <f ca="1">'Landscape Trees '!A33</f>
        <v>Amelanchier lamarckii</v>
      </c>
      <c r="B177" s="23" t="str">
        <f ca="1">'Landscape Trees '!C33</f>
        <v>Lamarckii Serviceberry</v>
      </c>
      <c r="C177" s="23" t="str">
        <f ca="1">'Landscape Trees '!D33</f>
        <v>#5</v>
      </c>
      <c r="D177" s="24" t="str">
        <f ca="1">'Landscape Trees '!E33</f>
        <v>0.125-0.125"</v>
      </c>
      <c r="E177" s="23" t="str">
        <f ca="1">'Landscape Trees '!F33</f>
        <v>2-8'</v>
      </c>
      <c r="F177" s="25">
        <f ca="1">'Landscape Trees '!G33</f>
        <v>55</v>
      </c>
      <c r="G177" s="23">
        <f ca="1">'Landscape Trees '!H33</f>
        <v>0</v>
      </c>
      <c r="H177" s="26">
        <f ca="1">'Landscape Trees '!I33</f>
        <v>35</v>
      </c>
      <c r="I177" s="23" t="str">
        <f t="shared" ca="1" si="2"/>
        <v>Lamarckii Serviceberry #5-2020</v>
      </c>
      <c r="J177" s="10"/>
      <c r="K177" s="26">
        <f t="shared" ca="1" si="3"/>
        <v>0</v>
      </c>
    </row>
    <row r="178" spans="1:11" ht="12.75">
      <c r="A178" s="23" t="str">
        <f ca="1">'Landscape Trees '!A34</f>
        <v>Amelanchier lamarckii</v>
      </c>
      <c r="B178" s="23" t="str">
        <f ca="1">'Landscape Trees '!C34</f>
        <v>Lamarckii Serviceberry</v>
      </c>
      <c r="C178" s="23" t="str">
        <f ca="1">'Landscape Trees '!D34</f>
        <v>#5</v>
      </c>
      <c r="D178" s="24" t="str">
        <f ca="1">'Landscape Trees '!E34</f>
        <v>Multi</v>
      </c>
      <c r="E178" s="23" t="str">
        <f ca="1">'Landscape Trees '!F34</f>
        <v>2-8'</v>
      </c>
      <c r="F178" s="25">
        <f ca="1">'Landscape Trees '!G34</f>
        <v>168</v>
      </c>
      <c r="G178" s="23">
        <f ca="1">'Landscape Trees '!H34</f>
        <v>0</v>
      </c>
      <c r="H178" s="26">
        <f ca="1">'Landscape Trees '!I34</f>
        <v>35</v>
      </c>
      <c r="I178" s="23" t="str">
        <f t="shared" ca="1" si="2"/>
        <v>Lamarckii Serviceberry #5-2020</v>
      </c>
      <c r="J178" s="10"/>
      <c r="K178" s="26">
        <f t="shared" ca="1" si="3"/>
        <v>0</v>
      </c>
    </row>
    <row r="179" spans="1:11" ht="12.75">
      <c r="A179" s="23" t="str">
        <f ca="1">'Landscape Trees '!A35</f>
        <v>Aronia melanocarpa</v>
      </c>
      <c r="B179" s="23" t="str">
        <f ca="1">'Landscape Trees '!C35</f>
        <v>Black Chokeberry</v>
      </c>
      <c r="C179" s="23" t="str">
        <f ca="1">'Landscape Trees '!D35</f>
        <v>#5</v>
      </c>
      <c r="D179" s="24" t="str">
        <f ca="1">'Landscape Trees '!E35</f>
        <v>Multi</v>
      </c>
      <c r="E179" s="23" t="str">
        <f ca="1">'Landscape Trees '!F35</f>
        <v>3-4'</v>
      </c>
      <c r="F179" s="25">
        <f ca="1">'Landscape Trees '!G35</f>
        <v>29</v>
      </c>
      <c r="G179" s="23">
        <f ca="1">'Landscape Trees '!H35</f>
        <v>100</v>
      </c>
      <c r="H179" s="26">
        <f ca="1">'Landscape Trees '!I35</f>
        <v>30</v>
      </c>
      <c r="I179" s="23" t="str">
        <f t="shared" ca="1" si="2"/>
        <v>Black Chokeberry #5-2020</v>
      </c>
      <c r="J179" s="10"/>
      <c r="K179" s="26">
        <f t="shared" ca="1" si="3"/>
        <v>0</v>
      </c>
    </row>
    <row r="180" spans="1:11" ht="12.75">
      <c r="A180" s="23" t="str">
        <f ca="1">'Landscape Trees '!A36</f>
        <v>Aronia melanocarpa 'Viking'</v>
      </c>
      <c r="B180" s="23" t="str">
        <f ca="1">'Landscape Trees '!C36</f>
        <v>Viking Black Chokeberry</v>
      </c>
      <c r="C180" s="23" t="str">
        <f ca="1">'Landscape Trees '!D36</f>
        <v>#5</v>
      </c>
      <c r="D180" s="24" t="str">
        <f ca="1">'Landscape Trees '!E36</f>
        <v>Multi</v>
      </c>
      <c r="E180" s="23" t="str">
        <f ca="1">'Landscape Trees '!F36</f>
        <v>1-2'</v>
      </c>
      <c r="F180" s="25">
        <f ca="1">'Landscape Trees '!G36</f>
        <v>0</v>
      </c>
      <c r="G180" s="23">
        <f ca="1">'Landscape Trees '!H36</f>
        <v>72</v>
      </c>
      <c r="H180" s="26">
        <f ca="1">'Landscape Trees '!I36</f>
        <v>30</v>
      </c>
      <c r="I180" s="23" t="str">
        <f t="shared" ca="1" si="2"/>
        <v>Viking Black Chokeberry #5-2020</v>
      </c>
      <c r="J180" s="10"/>
      <c r="K180" s="26">
        <f t="shared" ca="1" si="3"/>
        <v>0</v>
      </c>
    </row>
    <row r="181" spans="1:11" ht="12.75">
      <c r="A181" s="23" t="str">
        <f ca="1">'Landscape Trees '!A37</f>
        <v>Asimina triloba</v>
      </c>
      <c r="B181" s="23" t="str">
        <f ca="1">'Landscape Trees '!C37</f>
        <v>Pawpaw</v>
      </c>
      <c r="C181" s="23" t="str">
        <f ca="1">'Landscape Trees '!D37</f>
        <v>#5</v>
      </c>
      <c r="D181" s="24" t="str">
        <f ca="1">'Landscape Trees '!E37</f>
        <v>0.375-0.5"</v>
      </c>
      <c r="E181" s="23" t="str">
        <f ca="1">'Landscape Trees '!F37</f>
        <v>0.5-1'</v>
      </c>
      <c r="F181" s="25">
        <f ca="1">'Landscape Trees '!G37</f>
        <v>1</v>
      </c>
      <c r="G181" s="23">
        <f ca="1">'Landscape Trees '!H37</f>
        <v>200</v>
      </c>
      <c r="H181" s="26">
        <f ca="1">'Landscape Trees '!I37</f>
        <v>35</v>
      </c>
      <c r="I181" s="23" t="str">
        <f t="shared" ca="1" si="2"/>
        <v>Pawpaw #5-2020</v>
      </c>
      <c r="J181" s="10"/>
      <c r="K181" s="26">
        <f t="shared" ca="1" si="3"/>
        <v>0</v>
      </c>
    </row>
    <row r="182" spans="1:11" ht="12.75">
      <c r="A182" s="23" t="str">
        <f ca="1">'Landscape Trees '!A38</f>
        <v>Betula nigra</v>
      </c>
      <c r="B182" s="23" t="str">
        <f ca="1">'Landscape Trees '!C38</f>
        <v>River Birch</v>
      </c>
      <c r="C182" s="23" t="str">
        <f ca="1">'Landscape Trees '!D38</f>
        <v>#5</v>
      </c>
      <c r="D182" s="24" t="str">
        <f ca="1">'Landscape Trees '!E38</f>
        <v>1-1.25"</v>
      </c>
      <c r="E182" s="23" t="str">
        <f ca="1">'Landscape Trees '!F38</f>
        <v>5-8'</v>
      </c>
      <c r="F182" s="25">
        <f ca="1">'Landscape Trees '!G38</f>
        <v>8</v>
      </c>
      <c r="G182" s="23">
        <f ca="1">'Landscape Trees '!H38</f>
        <v>200</v>
      </c>
      <c r="H182" s="26">
        <f ca="1">'Landscape Trees '!I38</f>
        <v>35</v>
      </c>
      <c r="I182" s="23" t="str">
        <f t="shared" ca="1" si="2"/>
        <v>River Birch #5-2020</v>
      </c>
      <c r="J182" s="10"/>
      <c r="K182" s="26">
        <f t="shared" ca="1" si="3"/>
        <v>0</v>
      </c>
    </row>
    <row r="183" spans="1:11" ht="12.75">
      <c r="A183" s="23" t="str">
        <f ca="1">'Landscape Trees '!A39</f>
        <v>Betula nigra</v>
      </c>
      <c r="B183" s="23" t="str">
        <f ca="1">'Landscape Trees '!C39</f>
        <v>River Birch</v>
      </c>
      <c r="C183" s="23" t="str">
        <f ca="1">'Landscape Trees '!D39</f>
        <v>#7</v>
      </c>
      <c r="D183" s="24" t="str">
        <f ca="1">'Landscape Trees '!E39</f>
        <v>0.25-0.5"</v>
      </c>
      <c r="E183" s="23" t="str">
        <f ca="1">'Landscape Trees '!F39</f>
        <v>4-5'</v>
      </c>
      <c r="F183" s="25">
        <f ca="1">'Landscape Trees '!G39</f>
        <v>101</v>
      </c>
      <c r="G183" s="23">
        <f ca="1">'Landscape Trees '!H39</f>
        <v>0</v>
      </c>
      <c r="H183" s="26">
        <f ca="1">'Landscape Trees '!I39</f>
        <v>40</v>
      </c>
      <c r="I183" s="23" t="str">
        <f t="shared" ca="1" si="2"/>
        <v>River Birch #7-2020</v>
      </c>
      <c r="J183" s="10"/>
      <c r="K183" s="26">
        <f t="shared" ca="1" si="3"/>
        <v>0</v>
      </c>
    </row>
    <row r="184" spans="1:11" ht="12.75">
      <c r="A184" s="23" t="str">
        <f ca="1">'Landscape Trees '!A40</f>
        <v>Betula nigra</v>
      </c>
      <c r="B184" s="23" t="str">
        <f ca="1">'Landscape Trees '!C40</f>
        <v>River Birch</v>
      </c>
      <c r="C184" s="23" t="str">
        <f ca="1">'Landscape Trees '!D40</f>
        <v>#15</v>
      </c>
      <c r="D184" s="27" t="str">
        <f ca="1">'Landscape Trees '!E40</f>
        <v>Multi</v>
      </c>
      <c r="E184" s="23" t="str">
        <f ca="1">'Landscape Trees '!F40</f>
        <v>3-11'</v>
      </c>
      <c r="F184" s="25">
        <f ca="1">'Landscape Trees '!G40</f>
        <v>20</v>
      </c>
      <c r="G184" s="23">
        <f ca="1">'Landscape Trees '!H40</f>
        <v>10</v>
      </c>
      <c r="H184" s="26">
        <f ca="1">'Landscape Trees '!I40</f>
        <v>110</v>
      </c>
      <c r="I184" s="23" t="str">
        <f t="shared" ca="1" si="2"/>
        <v>River Birch #15-2020</v>
      </c>
      <c r="J184" s="10"/>
      <c r="K184" s="26">
        <f t="shared" ca="1" si="3"/>
        <v>0</v>
      </c>
    </row>
    <row r="185" spans="1:11" ht="12.75">
      <c r="A185" s="23" t="str">
        <f ca="1">'Landscape Trees '!A41</f>
        <v>Betula papyrifera</v>
      </c>
      <c r="B185" s="23" t="str">
        <f ca="1">'Landscape Trees '!C41</f>
        <v>Paper Birch</v>
      </c>
      <c r="C185" s="23" t="str">
        <f ca="1">'Landscape Trees '!D41</f>
        <v>#5</v>
      </c>
      <c r="D185" s="24" t="str">
        <f ca="1">'Landscape Trees '!E41</f>
        <v>0.38-0.25"</v>
      </c>
      <c r="E185" s="23" t="str">
        <f ca="1">'Landscape Trees '!F41</f>
        <v>1-2'</v>
      </c>
      <c r="F185" s="25">
        <f ca="1">'Landscape Trees '!G41</f>
        <v>0</v>
      </c>
      <c r="G185" s="23">
        <f ca="1">'Landscape Trees '!H41</f>
        <v>50</v>
      </c>
      <c r="H185" s="26">
        <f ca="1">'Landscape Trees '!I41</f>
        <v>35</v>
      </c>
      <c r="I185" s="23" t="str">
        <f t="shared" ca="1" si="2"/>
        <v>Paper Birch #5-2020</v>
      </c>
      <c r="J185" s="10"/>
      <c r="K185" s="26">
        <f t="shared" ca="1" si="3"/>
        <v>0</v>
      </c>
    </row>
    <row r="186" spans="1:11" ht="12.75">
      <c r="A186" s="23" t="str">
        <f ca="1">'Landscape Trees '!A42</f>
        <v>Betula pendula</v>
      </c>
      <c r="B186" s="23" t="str">
        <f ca="1">'Landscape Trees '!C42</f>
        <v>European Silver Birch</v>
      </c>
      <c r="C186" s="23" t="str">
        <f ca="1">'Landscape Trees '!D42</f>
        <v>#5</v>
      </c>
      <c r="D186" s="24" t="str">
        <f ca="1">'Landscape Trees '!E42</f>
        <v>1-1.25"</v>
      </c>
      <c r="E186" s="23" t="str">
        <f ca="1">'Landscape Trees '!F42</f>
        <v>9-13'</v>
      </c>
      <c r="F186" s="25">
        <f ca="1">'Landscape Trees '!G42</f>
        <v>11</v>
      </c>
      <c r="G186" s="23">
        <f ca="1">'Landscape Trees '!H42</f>
        <v>0</v>
      </c>
      <c r="H186" s="26">
        <f ca="1">'Landscape Trees '!I42</f>
        <v>35</v>
      </c>
      <c r="I186" s="23" t="str">
        <f t="shared" ca="1" si="2"/>
        <v>European Silver Birch #5-2020</v>
      </c>
      <c r="J186" s="10"/>
      <c r="K186" s="26">
        <f t="shared" ca="1" si="3"/>
        <v>0</v>
      </c>
    </row>
    <row r="187" spans="1:11" ht="12.75">
      <c r="A187" s="23" t="str">
        <f ca="1">'Landscape Trees '!A43</f>
        <v>Betula populifolia</v>
      </c>
      <c r="B187" s="23" t="str">
        <f ca="1">'Landscape Trees '!C43</f>
        <v>Gray Birch</v>
      </c>
      <c r="C187" s="23" t="str">
        <f ca="1">'Landscape Trees '!D43</f>
        <v>#5</v>
      </c>
      <c r="D187" s="24" t="str">
        <f ca="1">'Landscape Trees '!E43</f>
        <v>0.5-1.5"</v>
      </c>
      <c r="E187" s="23" t="str">
        <f ca="1">'Landscape Trees '!F43</f>
        <v>4-14'</v>
      </c>
      <c r="F187" s="25">
        <f ca="1">'Landscape Trees '!G43</f>
        <v>65</v>
      </c>
      <c r="G187" s="23">
        <f ca="1">'Landscape Trees '!H43</f>
        <v>0</v>
      </c>
      <c r="H187" s="26">
        <f ca="1">'Landscape Trees '!I43</f>
        <v>35</v>
      </c>
      <c r="I187" s="23" t="str">
        <f t="shared" ca="1" si="2"/>
        <v>Gray Birch #5-2020</v>
      </c>
      <c r="J187" s="10"/>
      <c r="K187" s="26">
        <f t="shared" ca="1" si="3"/>
        <v>0</v>
      </c>
    </row>
    <row r="188" spans="1:11" ht="12.75">
      <c r="A188" s="23" t="str">
        <f ca="1">'Landscape Trees '!A44</f>
        <v>Calycanthus floridus</v>
      </c>
      <c r="B188" s="23" t="str">
        <f ca="1">'Landscape Trees '!C44</f>
        <v>Carolina Allspice</v>
      </c>
      <c r="C188" s="23" t="str">
        <f ca="1">'Landscape Trees '!D44</f>
        <v>#5</v>
      </c>
      <c r="D188" s="24" t="str">
        <f ca="1">'Landscape Trees '!E44</f>
        <v>Multi</v>
      </c>
      <c r="E188" s="23" t="str">
        <f ca="1">'Landscape Trees '!F44</f>
        <v>1-3'</v>
      </c>
      <c r="F188" s="25">
        <f ca="1">'Landscape Trees '!G44</f>
        <v>24</v>
      </c>
      <c r="G188" s="23">
        <f ca="1">'Landscape Trees '!H44</f>
        <v>0</v>
      </c>
      <c r="H188" s="26">
        <f ca="1">'Landscape Trees '!I44</f>
        <v>30</v>
      </c>
      <c r="I188" s="23" t="str">
        <f t="shared" ca="1" si="2"/>
        <v>Carolina Allspice #5-2020</v>
      </c>
      <c r="J188" s="10"/>
      <c r="K188" s="26">
        <f t="shared" ca="1" si="3"/>
        <v>0</v>
      </c>
    </row>
    <row r="189" spans="1:11" ht="12.75">
      <c r="A189" s="23" t="str">
        <f ca="1">'Landscape Trees '!A45</f>
        <v>Carpinus betulus</v>
      </c>
      <c r="B189" s="23" t="str">
        <f ca="1">'Landscape Trees '!C45</f>
        <v>European Hornbeam</v>
      </c>
      <c r="C189" s="23" t="str">
        <f ca="1">'Landscape Trees '!D45</f>
        <v>#7</v>
      </c>
      <c r="D189" s="24" t="str">
        <f ca="1">'Landscape Trees '!E45</f>
        <v>1-1.5"</v>
      </c>
      <c r="E189" s="23" t="str">
        <f ca="1">'Landscape Trees '!F45</f>
        <v>5-10'</v>
      </c>
      <c r="F189" s="25">
        <f ca="1">'Landscape Trees '!G45</f>
        <v>17</v>
      </c>
      <c r="G189" s="23">
        <f ca="1">'Landscape Trees '!H45</f>
        <v>0</v>
      </c>
      <c r="H189" s="26">
        <f ca="1">'Landscape Trees '!I45</f>
        <v>65</v>
      </c>
      <c r="I189" s="23" t="str">
        <f t="shared" ca="1" si="2"/>
        <v>European Hornbeam #7-2020</v>
      </c>
      <c r="J189" s="10"/>
      <c r="K189" s="26">
        <f t="shared" ca="1" si="3"/>
        <v>0</v>
      </c>
    </row>
    <row r="190" spans="1:11" ht="12.75">
      <c r="A190" s="23" t="str">
        <f ca="1">'Landscape Trees '!A46</f>
        <v>Carpinus betulus 'Fastigiata'</v>
      </c>
      <c r="B190" s="23" t="str">
        <f ca="1">'Landscape Trees '!C46</f>
        <v>Pyramidal Hornbeam</v>
      </c>
      <c r="C190" s="23" t="str">
        <f ca="1">'Landscape Trees '!D46</f>
        <v>#15</v>
      </c>
      <c r="D190" s="24" t="str">
        <f ca="1">'Landscape Trees '!E46</f>
        <v>0.75-1"</v>
      </c>
      <c r="E190" s="23" t="str">
        <f ca="1">'Landscape Trees '!F46</f>
        <v>6-8'</v>
      </c>
      <c r="F190" s="25">
        <f ca="1">'Landscape Trees '!G46</f>
        <v>10</v>
      </c>
      <c r="G190" s="23">
        <f ca="1">'Landscape Trees '!H46</f>
        <v>0</v>
      </c>
      <c r="H190" s="26">
        <f ca="1">'Landscape Trees '!I46</f>
        <v>110</v>
      </c>
      <c r="I190" s="23" t="str">
        <f t="shared" ca="1" si="2"/>
        <v>Pyramidal Hornbeam #15-2020</v>
      </c>
      <c r="J190" s="10"/>
      <c r="K190" s="26">
        <f t="shared" ca="1" si="3"/>
        <v>0</v>
      </c>
    </row>
    <row r="191" spans="1:11" ht="12.75">
      <c r="A191" s="23" t="str">
        <f ca="1">'Landscape Trees '!A47</f>
        <v>Carpinus betulus 'Frans Fontaine'</v>
      </c>
      <c r="B191" s="23" t="str">
        <f ca="1">'Landscape Trees '!C47</f>
        <v>Frans Fontaine European Hornbeam</v>
      </c>
      <c r="C191" s="23" t="str">
        <f ca="1">'Landscape Trees '!D47</f>
        <v>#10</v>
      </c>
      <c r="D191" s="24" t="str">
        <f ca="1">'Landscape Trees '!E47</f>
        <v>1.5-1.5"</v>
      </c>
      <c r="E191" s="23" t="str">
        <f ca="1">'Landscape Trees '!F47</f>
        <v>7-7'</v>
      </c>
      <c r="F191" s="25">
        <f ca="1">'Landscape Trees '!G47</f>
        <v>1</v>
      </c>
      <c r="G191" s="23">
        <f ca="1">'Landscape Trees '!H47</f>
        <v>0</v>
      </c>
      <c r="H191" s="26">
        <f ca="1">'Landscape Trees '!I47</f>
        <v>80</v>
      </c>
      <c r="I191" s="23" t="str">
        <f t="shared" ca="1" si="2"/>
        <v>Frans Fontaine European Hornbeam #10-2020</v>
      </c>
      <c r="J191" s="10"/>
      <c r="K191" s="26">
        <f t="shared" ca="1" si="3"/>
        <v>0</v>
      </c>
    </row>
    <row r="192" spans="1:11" ht="12.75">
      <c r="A192" s="23" t="str">
        <f ca="1">'Landscape Trees '!A48</f>
        <v>Carpinus caroliniana</v>
      </c>
      <c r="B192" s="23" t="str">
        <f ca="1">'Landscape Trees '!C48</f>
        <v>American Hornbeam</v>
      </c>
      <c r="C192" s="23" t="str">
        <f ca="1">'Landscape Trees '!D48</f>
        <v>#5</v>
      </c>
      <c r="D192" s="24" t="str">
        <f ca="1">'Landscape Trees '!E48</f>
        <v>0.5-0.75"</v>
      </c>
      <c r="E192" s="23" t="str">
        <f ca="1">'Landscape Trees '!F48</f>
        <v>4-6'</v>
      </c>
      <c r="F192" s="25">
        <f ca="1">'Landscape Trees '!G48</f>
        <v>272</v>
      </c>
      <c r="G192" s="23">
        <f ca="1">'Landscape Trees '!H48</f>
        <v>225</v>
      </c>
      <c r="H192" s="26">
        <f ca="1">'Landscape Trees '!I48</f>
        <v>35</v>
      </c>
      <c r="I192" s="23" t="str">
        <f t="shared" ca="1" si="2"/>
        <v>American Hornbeam #5-2020</v>
      </c>
      <c r="J192" s="10"/>
      <c r="K192" s="26">
        <f t="shared" ca="1" si="3"/>
        <v>0</v>
      </c>
    </row>
    <row r="193" spans="1:11" ht="12.75">
      <c r="A193" s="23" t="str">
        <f ca="1">'Landscape Trees '!A49</f>
        <v>Carpinus caroliniana</v>
      </c>
      <c r="B193" s="23" t="str">
        <f ca="1">'Landscape Trees '!C49</f>
        <v>American Hornbeam</v>
      </c>
      <c r="C193" s="23" t="str">
        <f ca="1">'Landscape Trees '!D49</f>
        <v>#7</v>
      </c>
      <c r="D193" s="24" t="str">
        <f ca="1">'Landscape Trees '!E49</f>
        <v>0.75-0.75"</v>
      </c>
      <c r="E193" s="23" t="str">
        <f ca="1">'Landscape Trees '!F49</f>
        <v>5-7'</v>
      </c>
      <c r="F193" s="25">
        <f ca="1">'Landscape Trees '!G49</f>
        <v>24</v>
      </c>
      <c r="G193" s="23">
        <f ca="1">'Landscape Trees '!H49</f>
        <v>0</v>
      </c>
      <c r="H193" s="26">
        <f ca="1">'Landscape Trees '!I49</f>
        <v>45</v>
      </c>
      <c r="I193" s="23" t="str">
        <f t="shared" ca="1" si="2"/>
        <v>American Hornbeam #7-2020</v>
      </c>
      <c r="J193" s="10"/>
      <c r="K193" s="26">
        <f t="shared" ca="1" si="3"/>
        <v>0</v>
      </c>
    </row>
    <row r="194" spans="1:11" ht="12.75">
      <c r="A194" s="23" t="str">
        <f ca="1">'Landscape Trees '!A50</f>
        <v>Carpinus caroliniana</v>
      </c>
      <c r="B194" s="23" t="str">
        <f ca="1">'Landscape Trees '!C50</f>
        <v>American Hornbeam</v>
      </c>
      <c r="C194" s="23" t="str">
        <f ca="1">'Landscape Trees '!D50</f>
        <v>#15</v>
      </c>
      <c r="D194" s="24" t="str">
        <f ca="1">'Landscape Trees '!E50</f>
        <v>1.25-1.5"</v>
      </c>
      <c r="E194" s="23" t="str">
        <f ca="1">'Landscape Trees '!F50</f>
        <v>8-11'</v>
      </c>
      <c r="F194" s="25">
        <f ca="1">'Landscape Trees '!G50</f>
        <v>2</v>
      </c>
      <c r="G194" s="23">
        <f ca="1">'Landscape Trees '!H50</f>
        <v>15</v>
      </c>
      <c r="H194" s="26">
        <f ca="1">'Landscape Trees '!I50</f>
        <v>110</v>
      </c>
      <c r="I194" s="23" t="str">
        <f t="shared" ca="1" si="2"/>
        <v>American Hornbeam #15-2020</v>
      </c>
      <c r="J194" s="10"/>
      <c r="K194" s="26">
        <f t="shared" ca="1" si="3"/>
        <v>0</v>
      </c>
    </row>
    <row r="195" spans="1:11" ht="12.75">
      <c r="A195" s="23" t="str">
        <f ca="1">'Landscape Trees '!A51</f>
        <v>Carya laciniosa</v>
      </c>
      <c r="B195" s="23" t="str">
        <f ca="1">'Landscape Trees '!C51</f>
        <v>Shellbark Hickory</v>
      </c>
      <c r="C195" s="23" t="str">
        <f ca="1">'Landscape Trees '!D51</f>
        <v>#5</v>
      </c>
      <c r="D195" s="24" t="str">
        <f ca="1">'Landscape Trees '!E51</f>
        <v>0.25-0.5"</v>
      </c>
      <c r="E195" s="23" t="str">
        <f ca="1">'Landscape Trees '!F51</f>
        <v>1.5-2.5'</v>
      </c>
      <c r="F195" s="25">
        <f ca="1">'Landscape Trees '!G51</f>
        <v>13</v>
      </c>
      <c r="G195" s="23">
        <f ca="1">'Landscape Trees '!H51</f>
        <v>0</v>
      </c>
      <c r="H195" s="26">
        <f ca="1">'Landscape Trees '!I51</f>
        <v>35</v>
      </c>
      <c r="I195" s="23" t="str">
        <f t="shared" ca="1" si="2"/>
        <v>Shellbark Hickory #5-2020</v>
      </c>
      <c r="J195" s="10"/>
      <c r="K195" s="26">
        <f t="shared" ca="1" si="3"/>
        <v>0</v>
      </c>
    </row>
    <row r="196" spans="1:11" ht="12.75">
      <c r="A196" s="23" t="str">
        <f ca="1">'Landscape Trees '!A52</f>
        <v>Catalpa bignonioides</v>
      </c>
      <c r="B196" s="23" t="str">
        <f ca="1">'Landscape Trees '!C52</f>
        <v>Southern Catalpa</v>
      </c>
      <c r="C196" s="23" t="str">
        <f ca="1">'Landscape Trees '!D52</f>
        <v>#5</v>
      </c>
      <c r="D196" s="24" t="str">
        <f ca="1">'Landscape Trees '!E52</f>
        <v>0.5-0.75"</v>
      </c>
      <c r="E196" s="23" t="str">
        <f ca="1">'Landscape Trees '!F52</f>
        <v>2-3'</v>
      </c>
      <c r="F196" s="25">
        <f ca="1">'Landscape Trees '!G52</f>
        <v>0</v>
      </c>
      <c r="G196" s="23">
        <f ca="1">'Landscape Trees '!H52</f>
        <v>25</v>
      </c>
      <c r="H196" s="26">
        <f ca="1">'Landscape Trees '!I52</f>
        <v>35</v>
      </c>
      <c r="I196" s="23" t="str">
        <f t="shared" ca="1" si="2"/>
        <v>Southern Catalpa #5-2020</v>
      </c>
      <c r="J196" s="10"/>
      <c r="K196" s="26">
        <f t="shared" ca="1" si="3"/>
        <v>0</v>
      </c>
    </row>
    <row r="197" spans="1:11" ht="12.75">
      <c r="A197" s="23" t="str">
        <f ca="1">'Landscape Trees '!A53</f>
        <v>Catalpa speciosa</v>
      </c>
      <c r="B197" s="23" t="str">
        <f ca="1">'Landscape Trees '!C53</f>
        <v>Northern Catalpa</v>
      </c>
      <c r="C197" s="23" t="str">
        <f ca="1">'Landscape Trees '!D53</f>
        <v>#5</v>
      </c>
      <c r="D197" s="24" t="str">
        <f ca="1">'Landscape Trees '!E53</f>
        <v>1-1"</v>
      </c>
      <c r="E197" s="23" t="str">
        <f ca="1">'Landscape Trees '!F53</f>
        <v>4-5'</v>
      </c>
      <c r="F197" s="25">
        <f ca="1">'Landscape Trees '!G53</f>
        <v>40</v>
      </c>
      <c r="G197" s="23">
        <f ca="1">'Landscape Trees '!H53</f>
        <v>0</v>
      </c>
      <c r="H197" s="26">
        <f ca="1">'Landscape Trees '!I53</f>
        <v>35</v>
      </c>
      <c r="I197" s="23" t="str">
        <f t="shared" ca="1" si="2"/>
        <v>Northern Catalpa #5-2020</v>
      </c>
      <c r="J197" s="10"/>
      <c r="K197" s="26">
        <f t="shared" ca="1" si="3"/>
        <v>0</v>
      </c>
    </row>
    <row r="198" spans="1:11" ht="12.75">
      <c r="A198" s="23" t="str">
        <f ca="1">'Landscape Trees '!A54</f>
        <v>Catalpa speciosa</v>
      </c>
      <c r="B198" s="23" t="str">
        <f ca="1">'Landscape Trees '!C54</f>
        <v>Northern Catalpa</v>
      </c>
      <c r="C198" s="23" t="str">
        <f ca="1">'Landscape Trees '!D54</f>
        <v>#15</v>
      </c>
      <c r="D198" s="24" t="str">
        <f ca="1">'Landscape Trees '!E54</f>
        <v>1.5-1.75"</v>
      </c>
      <c r="E198" s="23" t="str">
        <f ca="1">'Landscape Trees '!F54</f>
        <v>9-10'</v>
      </c>
      <c r="F198" s="25">
        <f ca="1">'Landscape Trees '!G54</f>
        <v>1</v>
      </c>
      <c r="G198" s="23">
        <f ca="1">'Landscape Trees '!H54</f>
        <v>0</v>
      </c>
      <c r="H198" s="26">
        <f ca="1">'Landscape Trees '!I54</f>
        <v>110</v>
      </c>
      <c r="I198" s="23" t="str">
        <f t="shared" ca="1" si="2"/>
        <v>Northern Catalpa #15-2020</v>
      </c>
      <c r="J198" s="10"/>
      <c r="K198" s="26">
        <f t="shared" ca="1" si="3"/>
        <v>0</v>
      </c>
    </row>
    <row r="199" spans="1:11" ht="12.75">
      <c r="A199" s="23" t="str">
        <f ca="1">'Landscape Trees '!A55</f>
        <v>Catalpa speciosa</v>
      </c>
      <c r="B199" s="23" t="str">
        <f ca="1">'Landscape Trees '!C55</f>
        <v>Northern Catalpa</v>
      </c>
      <c r="C199" s="23" t="str">
        <f ca="1">'Landscape Trees '!D55</f>
        <v>#25</v>
      </c>
      <c r="D199" s="24" t="str">
        <f ca="1">'Landscape Trees '!E55</f>
        <v>1.5-1.75"</v>
      </c>
      <c r="E199" s="23" t="str">
        <f ca="1">'Landscape Trees '!F55</f>
        <v>9-10'</v>
      </c>
      <c r="F199" s="25">
        <f ca="1">'Landscape Trees '!G55</f>
        <v>4</v>
      </c>
      <c r="G199" s="23">
        <f ca="1">'Landscape Trees '!H55</f>
        <v>0</v>
      </c>
      <c r="H199" s="26">
        <f ca="1">'Landscape Trees '!I55</f>
        <v>135</v>
      </c>
      <c r="I199" s="23" t="str">
        <f t="shared" ca="1" si="2"/>
        <v>Northern Catalpa #25-2020</v>
      </c>
      <c r="J199" s="10"/>
      <c r="K199" s="26">
        <f t="shared" ca="1" si="3"/>
        <v>0</v>
      </c>
    </row>
    <row r="200" spans="1:11" ht="12.75">
      <c r="A200" s="23" t="str">
        <f ca="1">'Landscape Trees '!A56</f>
        <v>Celtis occidentalis</v>
      </c>
      <c r="B200" s="23" t="str">
        <f ca="1">'Landscape Trees '!C56</f>
        <v>Hackberry</v>
      </c>
      <c r="C200" s="23" t="str">
        <f ca="1">'Landscape Trees '!D56</f>
        <v>#5</v>
      </c>
      <c r="D200" s="24" t="str">
        <f ca="1">'Landscape Trees '!E56</f>
        <v>0.25-0.25"</v>
      </c>
      <c r="E200" s="23" t="str">
        <f ca="1">'Landscape Trees '!F56</f>
        <v>2-4.5'</v>
      </c>
      <c r="F200" s="25">
        <f ca="1">'Landscape Trees '!G56</f>
        <v>140</v>
      </c>
      <c r="G200" s="23">
        <f ca="1">'Landscape Trees '!H56</f>
        <v>100</v>
      </c>
      <c r="H200" s="26">
        <f ca="1">'Landscape Trees '!I56</f>
        <v>35</v>
      </c>
      <c r="I200" s="23" t="str">
        <f t="shared" ca="1" si="2"/>
        <v>Hackberry #5-2020</v>
      </c>
      <c r="J200" s="10"/>
      <c r="K200" s="26">
        <f t="shared" ca="1" si="3"/>
        <v>0</v>
      </c>
    </row>
    <row r="201" spans="1:11" ht="12.75">
      <c r="A201" s="23" t="str">
        <f ca="1">'Landscape Trees '!A57</f>
        <v>Cephalanthus occidentalis</v>
      </c>
      <c r="B201" s="23" t="str">
        <f ca="1">'Landscape Trees '!C57</f>
        <v>ButtonBush</v>
      </c>
      <c r="C201" s="23" t="str">
        <f ca="1">'Landscape Trees '!D57</f>
        <v>#5</v>
      </c>
      <c r="D201" s="27" t="str">
        <f ca="1">'Landscape Trees '!E57</f>
        <v>Multi</v>
      </c>
      <c r="E201" s="23" t="str">
        <f ca="1">'Landscape Trees '!F57</f>
        <v>3-5'</v>
      </c>
      <c r="F201" s="25">
        <f ca="1">'Landscape Trees '!G57</f>
        <v>3</v>
      </c>
      <c r="G201" s="23">
        <f ca="1">'Landscape Trees '!H57</f>
        <v>50</v>
      </c>
      <c r="H201" s="26">
        <f ca="1">'Landscape Trees '!I57</f>
        <v>30</v>
      </c>
      <c r="I201" s="23" t="str">
        <f t="shared" ca="1" si="2"/>
        <v>ButtonBush #5-2020</v>
      </c>
      <c r="J201" s="10"/>
      <c r="K201" s="26">
        <f t="shared" ca="1" si="3"/>
        <v>0</v>
      </c>
    </row>
    <row r="202" spans="1:11" ht="12.75">
      <c r="A202" s="23" t="str">
        <f ca="1">'Landscape Trees '!A58</f>
        <v>Cercis canadensis</v>
      </c>
      <c r="B202" s="23" t="str">
        <f ca="1">'Landscape Trees '!C58</f>
        <v>Eastern Redbud</v>
      </c>
      <c r="C202" s="23" t="str">
        <f ca="1">'Landscape Trees '!D58</f>
        <v>#5</v>
      </c>
      <c r="D202" s="24" t="str">
        <f ca="1">'Landscape Trees '!E58</f>
        <v>0.25-0.5"</v>
      </c>
      <c r="E202" s="23" t="str">
        <f ca="1">'Landscape Trees '!F58</f>
        <v>3-5'</v>
      </c>
      <c r="F202" s="25">
        <f ca="1">'Landscape Trees '!G58</f>
        <v>120</v>
      </c>
      <c r="G202" s="23">
        <f ca="1">'Landscape Trees '!H58</f>
        <v>300</v>
      </c>
      <c r="H202" s="26">
        <f ca="1">'Landscape Trees '!I58</f>
        <v>35</v>
      </c>
      <c r="I202" s="23" t="str">
        <f t="shared" ca="1" si="2"/>
        <v>Eastern Redbud #5-2020</v>
      </c>
      <c r="J202" s="10"/>
      <c r="K202" s="26">
        <f t="shared" ca="1" si="3"/>
        <v>0</v>
      </c>
    </row>
    <row r="203" spans="1:11" ht="12.75">
      <c r="A203" s="23" t="str">
        <f ca="1">'Landscape Trees '!A59</f>
        <v>Cercis canadensis</v>
      </c>
      <c r="B203" s="23" t="str">
        <f ca="1">'Landscape Trees '!C59</f>
        <v>Eastern Redbud</v>
      </c>
      <c r="C203" s="23" t="str">
        <f ca="1">'Landscape Trees '!D59</f>
        <v>#7</v>
      </c>
      <c r="D203" s="24" t="str">
        <f ca="1">'Landscape Trees '!E59</f>
        <v>0.5-0.75"</v>
      </c>
      <c r="E203" s="23" t="str">
        <f ca="1">'Landscape Trees '!F59</f>
        <v>5-6'</v>
      </c>
      <c r="F203" s="25">
        <f ca="1">'Landscape Trees '!G59</f>
        <v>0</v>
      </c>
      <c r="G203" s="23">
        <f ca="1">'Landscape Trees '!H59</f>
        <v>100</v>
      </c>
      <c r="H203" s="26">
        <f ca="1">'Landscape Trees '!I59</f>
        <v>55</v>
      </c>
      <c r="I203" s="23" t="str">
        <f t="shared" ca="1" si="2"/>
        <v>Eastern Redbud #7-2020</v>
      </c>
      <c r="J203" s="10"/>
      <c r="K203" s="26">
        <f t="shared" ca="1" si="3"/>
        <v>0</v>
      </c>
    </row>
    <row r="204" spans="1:11" ht="12.75">
      <c r="A204" s="23" t="str">
        <f ca="1">'Landscape Trees '!A60</f>
        <v>Cercis canadensis</v>
      </c>
      <c r="B204" s="23" t="str">
        <f ca="1">'Landscape Trees '!C60</f>
        <v>Eastern Redbud</v>
      </c>
      <c r="C204" s="23" t="str">
        <f ca="1">'Landscape Trees '!D60</f>
        <v>#10</v>
      </c>
      <c r="D204" s="24" t="str">
        <f ca="1">'Landscape Trees '!E60</f>
        <v>0.5-1.25"</v>
      </c>
      <c r="E204" s="23" t="str">
        <f ca="1">'Landscape Trees '!F60</f>
        <v>6-8'</v>
      </c>
      <c r="F204" s="25">
        <f ca="1">'Landscape Trees '!G60</f>
        <v>81</v>
      </c>
      <c r="G204" s="23">
        <f ca="1">'Landscape Trees '!H60</f>
        <v>0</v>
      </c>
      <c r="H204" s="26">
        <f ca="1">'Landscape Trees '!I60</f>
        <v>80</v>
      </c>
      <c r="I204" s="23" t="str">
        <f t="shared" ca="1" si="2"/>
        <v>Eastern Redbud #10-2020</v>
      </c>
      <c r="J204" s="10"/>
      <c r="K204" s="26">
        <f t="shared" ca="1" si="3"/>
        <v>0</v>
      </c>
    </row>
    <row r="205" spans="1:11" ht="12.75">
      <c r="A205" s="23" t="str">
        <f ca="1">'Landscape Trees '!A61</f>
        <v>Cercis canadensis</v>
      </c>
      <c r="B205" s="23" t="str">
        <f ca="1">'Landscape Trees '!C61</f>
        <v>Eastern Redbud</v>
      </c>
      <c r="C205" s="23" t="str">
        <f ca="1">'Landscape Trees '!D61</f>
        <v>#15</v>
      </c>
      <c r="D205" s="24" t="str">
        <f ca="1">'Landscape Trees '!E61</f>
        <v>1-1.5"</v>
      </c>
      <c r="E205" s="23" t="str">
        <f ca="1">'Landscape Trees '!F61</f>
        <v>7-11'</v>
      </c>
      <c r="F205" s="25">
        <f ca="1">'Landscape Trees '!G61</f>
        <v>10</v>
      </c>
      <c r="G205" s="23">
        <f ca="1">'Landscape Trees '!H61</f>
        <v>25</v>
      </c>
      <c r="H205" s="26">
        <f ca="1">'Landscape Trees '!I61</f>
        <v>110</v>
      </c>
      <c r="I205" s="23" t="str">
        <f t="shared" ca="1" si="2"/>
        <v>Eastern Redbud #15-2020</v>
      </c>
      <c r="J205" s="10"/>
      <c r="K205" s="26">
        <f t="shared" ca="1" si="3"/>
        <v>0</v>
      </c>
    </row>
    <row r="206" spans="1:11" ht="12.75">
      <c r="A206" s="23" t="str">
        <f ca="1">'Landscape Trees '!A62</f>
        <v>Cercis canadensis</v>
      </c>
      <c r="B206" s="23" t="str">
        <f ca="1">'Landscape Trees '!C62</f>
        <v>Eastern Redbud</v>
      </c>
      <c r="C206" s="23" t="str">
        <f ca="1">'Landscape Trees '!D62</f>
        <v>#25</v>
      </c>
      <c r="D206" s="24" t="str">
        <f ca="1">'Landscape Trees '!E62</f>
        <v>1-1.5"</v>
      </c>
      <c r="E206" s="23" t="str">
        <f ca="1">'Landscape Trees '!F62</f>
        <v>7-11'</v>
      </c>
      <c r="F206" s="25">
        <f ca="1">'Landscape Trees '!G62</f>
        <v>5</v>
      </c>
      <c r="G206" s="23">
        <f ca="1">'Landscape Trees '!H62</f>
        <v>0</v>
      </c>
      <c r="H206" s="26">
        <f ca="1">'Landscape Trees '!I62</f>
        <v>135</v>
      </c>
      <c r="I206" s="23" t="str">
        <f t="shared" ca="1" si="2"/>
        <v>Eastern Redbud #25-2020</v>
      </c>
      <c r="J206" s="10"/>
      <c r="K206" s="26">
        <f t="shared" ca="1" si="3"/>
        <v>0</v>
      </c>
    </row>
    <row r="207" spans="1:11" ht="12.75">
      <c r="A207" s="23" t="str">
        <f ca="1">'Landscape Trees '!A63</f>
        <v>Cercis canadensis 'Appalachian Red'</v>
      </c>
      <c r="B207" s="23" t="str">
        <f ca="1">'Landscape Trees '!C63</f>
        <v>Appalachian Red Redbud</v>
      </c>
      <c r="C207" s="23" t="str">
        <f ca="1">'Landscape Trees '!D63</f>
        <v>#15</v>
      </c>
      <c r="D207" s="24" t="str">
        <f ca="1">'Landscape Trees '!E63</f>
        <v>0.5-0.75"</v>
      </c>
      <c r="E207" s="23" t="str">
        <f ca="1">'Landscape Trees '!F63</f>
        <v>7-8'</v>
      </c>
      <c r="F207" s="25">
        <f ca="1">'Landscape Trees '!G63</f>
        <v>0</v>
      </c>
      <c r="G207" s="23">
        <f ca="1">'Landscape Trees '!H63</f>
        <v>5</v>
      </c>
      <c r="H207" s="26">
        <f ca="1">'Landscape Trees '!I63</f>
        <v>110</v>
      </c>
      <c r="I207" s="23" t="str">
        <f t="shared" ca="1" si="2"/>
        <v>Appalachian Red Redbud #15-2020</v>
      </c>
      <c r="J207" s="10"/>
      <c r="K207" s="26">
        <f t="shared" ca="1" si="3"/>
        <v>0</v>
      </c>
    </row>
    <row r="208" spans="1:11" ht="12.75">
      <c r="A208" s="23" t="str">
        <f ca="1">'Landscape Trees '!A64</f>
        <v>Cercis canadensis 'Forest Pansy'</v>
      </c>
      <c r="B208" s="23" t="str">
        <f ca="1">'Landscape Trees '!C64</f>
        <v>Forest Pansy Redbud</v>
      </c>
      <c r="C208" s="23" t="str">
        <f ca="1">'Landscape Trees '!D64</f>
        <v>#7</v>
      </c>
      <c r="D208" s="24" t="str">
        <f ca="1">'Landscape Trees '!E64</f>
        <v>0.75-1"</v>
      </c>
      <c r="E208" s="23" t="str">
        <f ca="1">'Landscape Trees '!F64</f>
        <v>3-6'</v>
      </c>
      <c r="F208" s="25">
        <f ca="1">'Landscape Trees '!G64</f>
        <v>86</v>
      </c>
      <c r="G208" s="23">
        <f ca="1">'Landscape Trees '!H64</f>
        <v>100</v>
      </c>
      <c r="H208" s="26">
        <f ca="1">'Landscape Trees '!I64</f>
        <v>65</v>
      </c>
      <c r="I208" s="23" t="str">
        <f t="shared" ca="1" si="2"/>
        <v>Forest Pansy Redbud #7-2020</v>
      </c>
      <c r="J208" s="10"/>
      <c r="K208" s="26">
        <f t="shared" ca="1" si="3"/>
        <v>0</v>
      </c>
    </row>
    <row r="209" spans="1:11" ht="12.75">
      <c r="A209" s="23" t="str">
        <f ca="1">'Landscape Trees '!A65</f>
        <v>Cercis canadensis 'Forest Pansy'</v>
      </c>
      <c r="B209" s="23" t="str">
        <f ca="1">'Landscape Trees '!C65</f>
        <v>Forest Pansy Redbud</v>
      </c>
      <c r="C209" s="23" t="str">
        <f ca="1">'Landscape Trees '!D65</f>
        <v>#15p</v>
      </c>
      <c r="D209" s="24" t="str">
        <f ca="1">'Landscape Trees '!E65</f>
        <v>0.5-0.75"</v>
      </c>
      <c r="E209" s="23" t="str">
        <f ca="1">'Landscape Trees '!F65</f>
        <v>7-8'</v>
      </c>
      <c r="F209" s="25">
        <f ca="1">'Landscape Trees '!G65</f>
        <v>0</v>
      </c>
      <c r="G209" s="23">
        <f ca="1">'Landscape Trees '!H65</f>
        <v>15</v>
      </c>
      <c r="H209" s="26">
        <f ca="1">'Landscape Trees '!I65</f>
        <v>110</v>
      </c>
      <c r="I209" s="23" t="str">
        <f t="shared" ca="1" si="2"/>
        <v>Forest Pansy Redbud #15p-2020</v>
      </c>
      <c r="J209" s="10"/>
      <c r="K209" s="26">
        <f t="shared" ca="1" si="3"/>
        <v>0</v>
      </c>
    </row>
    <row r="210" spans="1:11" ht="12.75">
      <c r="A210" s="23" t="str">
        <f ca="1">'Landscape Trees '!A66</f>
        <v>Cercis canadensis 'Lavender Twist'</v>
      </c>
      <c r="B210" s="23" t="str">
        <f ca="1">'Landscape Trees '!C66</f>
        <v>Lavender Twist Redbud</v>
      </c>
      <c r="C210" s="23" t="str">
        <f ca="1">'Landscape Trees '!D66</f>
        <v>#7</v>
      </c>
      <c r="D210" s="24" t="str">
        <f ca="1">'Landscape Trees '!E66</f>
        <v>0.75-1"</v>
      </c>
      <c r="E210" s="23" t="str">
        <f ca="1">'Landscape Trees '!F66</f>
        <v>3-6'</v>
      </c>
      <c r="F210" s="25">
        <f ca="1">'Landscape Trees '!G66</f>
        <v>13</v>
      </c>
      <c r="G210" s="23">
        <f ca="1">'Landscape Trees '!H66</f>
        <v>20</v>
      </c>
      <c r="H210" s="26">
        <f ca="1">'Landscape Trees '!I66</f>
        <v>85</v>
      </c>
      <c r="I210" s="23" t="str">
        <f t="shared" ca="1" si="2"/>
        <v>Lavender Twist Redbud #7-2020</v>
      </c>
      <c r="J210" s="10"/>
      <c r="K210" s="26">
        <f t="shared" ca="1" si="3"/>
        <v>0</v>
      </c>
    </row>
    <row r="211" spans="1:11" ht="12.75">
      <c r="A211" s="23" t="str">
        <f ca="1">'Landscape Trees '!A67</f>
        <v>Cercis canadensis 'Oklahoma'</v>
      </c>
      <c r="B211" s="23" t="str">
        <f ca="1">'Landscape Trees '!C67</f>
        <v>Oklahoma Redbud</v>
      </c>
      <c r="C211" s="23" t="str">
        <f ca="1">'Landscape Trees '!D67</f>
        <v>#7</v>
      </c>
      <c r="D211" s="24" t="str">
        <f ca="1">'Landscape Trees '!E67</f>
        <v>0.75-1"</v>
      </c>
      <c r="E211" s="23" t="str">
        <f ca="1">'Landscape Trees '!F67</f>
        <v>3-4'</v>
      </c>
      <c r="F211" s="25">
        <f ca="1">'Landscape Trees '!G67</f>
        <v>5</v>
      </c>
      <c r="G211" s="23">
        <f ca="1">'Landscape Trees '!H67</f>
        <v>0</v>
      </c>
      <c r="H211" s="26">
        <f ca="1">'Landscape Trees '!I67</f>
        <v>65</v>
      </c>
      <c r="I211" s="23" t="str">
        <f t="shared" ca="1" si="2"/>
        <v>Oklahoma Redbud #7-2020</v>
      </c>
      <c r="J211" s="10"/>
      <c r="K211" s="26">
        <f t="shared" ca="1" si="3"/>
        <v>0</v>
      </c>
    </row>
    <row r="212" spans="1:11" ht="12.75">
      <c r="A212" s="23" t="str">
        <f ca="1">'Landscape Trees '!A68</f>
        <v>Cercis canadensis 'Oklahoma'</v>
      </c>
      <c r="B212" s="23" t="str">
        <f ca="1">'Landscape Trees '!C68</f>
        <v>Oklahoma Redbud</v>
      </c>
      <c r="C212" s="23" t="str">
        <f ca="1">'Landscape Trees '!D68</f>
        <v>#15</v>
      </c>
      <c r="D212" s="24" t="str">
        <f ca="1">'Landscape Trees '!E68</f>
        <v>1-1.25"</v>
      </c>
      <c r="E212" s="23" t="str">
        <f ca="1">'Landscape Trees '!F68</f>
        <v>9-9'</v>
      </c>
      <c r="F212" s="25">
        <f ca="1">'Landscape Trees '!G68</f>
        <v>2</v>
      </c>
      <c r="G212" s="23">
        <f ca="1">'Landscape Trees '!H68</f>
        <v>0</v>
      </c>
      <c r="H212" s="26">
        <f ca="1">'Landscape Trees '!I68</f>
        <v>115</v>
      </c>
      <c r="I212" s="23" t="str">
        <f t="shared" ca="1" si="2"/>
        <v>Oklahoma Redbud #15-2020</v>
      </c>
      <c r="J212" s="10"/>
      <c r="K212" s="26">
        <f t="shared" ca="1" si="3"/>
        <v>0</v>
      </c>
    </row>
    <row r="213" spans="1:11" ht="12.75">
      <c r="A213" s="23" t="str">
        <f ca="1">'Landscape Trees '!A69</f>
        <v>Cercis canadensis 'Rising Sun'</v>
      </c>
      <c r="B213" s="23" t="str">
        <f ca="1">'Landscape Trees '!C69</f>
        <v>Rising Sun Redbud</v>
      </c>
      <c r="C213" s="23" t="str">
        <f ca="1">'Landscape Trees '!D69</f>
        <v>#7</v>
      </c>
      <c r="D213" s="24" t="str">
        <f ca="1">'Landscape Trees '!E69</f>
        <v>0.5-0.75"</v>
      </c>
      <c r="E213" s="23" t="str">
        <f ca="1">'Landscape Trees '!F69</f>
        <v>1-2'</v>
      </c>
      <c r="F213" s="25">
        <f ca="1">'Landscape Trees '!G69</f>
        <v>18</v>
      </c>
      <c r="G213" s="23">
        <f ca="1">'Landscape Trees '!H69</f>
        <v>40</v>
      </c>
      <c r="H213" s="26">
        <f ca="1">'Landscape Trees '!I69</f>
        <v>85</v>
      </c>
      <c r="I213" s="23" t="str">
        <f t="shared" ca="1" si="2"/>
        <v>Rising Sun Redbud #7-2020</v>
      </c>
      <c r="J213" s="10"/>
      <c r="K213" s="26">
        <f t="shared" ca="1" si="3"/>
        <v>0</v>
      </c>
    </row>
    <row r="214" spans="1:11" ht="12.75">
      <c r="A214" s="23" t="str">
        <f ca="1">'Landscape Trees '!A70</f>
        <v>Cercis canadensis 'Rising Sun'</v>
      </c>
      <c r="B214" s="23" t="str">
        <f ca="1">'Landscape Trees '!C70</f>
        <v>Rising Sun Redbud</v>
      </c>
      <c r="C214" s="23" t="str">
        <f ca="1">'Landscape Trees '!D70</f>
        <v>#10</v>
      </c>
      <c r="D214" s="24" t="str">
        <f ca="1">'Landscape Trees '!E70</f>
        <v>1-1"</v>
      </c>
      <c r="E214" s="23" t="str">
        <f ca="1">'Landscape Trees '!F70</f>
        <v>3-4'</v>
      </c>
      <c r="F214" s="25">
        <f ca="1">'Landscape Trees '!G70</f>
        <v>2</v>
      </c>
      <c r="G214" s="23">
        <f ca="1">'Landscape Trees '!H70</f>
        <v>0</v>
      </c>
      <c r="H214" s="26">
        <f ca="1">'Landscape Trees '!I70</f>
        <v>100</v>
      </c>
      <c r="I214" s="23" t="str">
        <f t="shared" ca="1" si="2"/>
        <v>Rising Sun Redbud #10-2020</v>
      </c>
      <c r="J214" s="10"/>
      <c r="K214" s="26">
        <f t="shared" ca="1" si="3"/>
        <v>0</v>
      </c>
    </row>
    <row r="215" spans="1:11" ht="12.75">
      <c r="A215" s="23" t="str">
        <f ca="1">'Landscape Trees '!A71</f>
        <v>Cercis canadensis 'Ruby Falls'</v>
      </c>
      <c r="B215" s="23" t="str">
        <f ca="1">'Landscape Trees '!C71</f>
        <v>Ruby Falls Redbud</v>
      </c>
      <c r="C215" s="23" t="str">
        <f ca="1">'Landscape Trees '!D71</f>
        <v>#7</v>
      </c>
      <c r="D215" s="24" t="str">
        <f ca="1">'Landscape Trees '!E71</f>
        <v>0.5-0.75"</v>
      </c>
      <c r="E215" s="23" t="str">
        <f ca="1">'Landscape Trees '!F71</f>
        <v>0.5-2'</v>
      </c>
      <c r="F215" s="25">
        <f ca="1">'Landscape Trees '!G71</f>
        <v>7</v>
      </c>
      <c r="G215" s="23">
        <f ca="1">'Landscape Trees '!H71</f>
        <v>20</v>
      </c>
      <c r="H215" s="26">
        <f ca="1">'Landscape Trees '!I71</f>
        <v>85</v>
      </c>
      <c r="I215" s="23" t="str">
        <f t="shared" ca="1" si="2"/>
        <v>Ruby Falls Redbud #7-2020</v>
      </c>
      <c r="J215" s="10"/>
      <c r="K215" s="26">
        <f t="shared" ca="1" si="3"/>
        <v>0</v>
      </c>
    </row>
    <row r="216" spans="1:11" ht="12.75">
      <c r="A216" s="23" t="str">
        <f ca="1">'Landscape Trees '!A72</f>
        <v>Cercis canadensis 'Ruby Falls'</v>
      </c>
      <c r="B216" s="23" t="str">
        <f ca="1">'Landscape Trees '!C72</f>
        <v>Ruby Falls Redbud</v>
      </c>
      <c r="C216" s="23" t="str">
        <f ca="1">'Landscape Trees '!D72</f>
        <v>#15</v>
      </c>
      <c r="D216" s="24" t="str">
        <f ca="1">'Landscape Trees '!E72</f>
        <v>0.75-1"</v>
      </c>
      <c r="E216" s="23" t="str">
        <f ca="1">'Landscape Trees '!F72</f>
        <v>6-7'</v>
      </c>
      <c r="F216" s="25">
        <f ca="1">'Landscape Trees '!G72</f>
        <v>6</v>
      </c>
      <c r="G216" s="23">
        <f ca="1">'Landscape Trees '!H72</f>
        <v>0</v>
      </c>
      <c r="H216" s="26">
        <f ca="1">'Landscape Trees '!I72</f>
        <v>110</v>
      </c>
      <c r="I216" s="23" t="str">
        <f t="shared" ca="1" si="2"/>
        <v>Ruby Falls Redbud #15-2020</v>
      </c>
      <c r="J216" s="10"/>
      <c r="K216" s="26">
        <f t="shared" ca="1" si="3"/>
        <v>0</v>
      </c>
    </row>
    <row r="217" spans="1:11" ht="12.75">
      <c r="A217" s="23" t="str">
        <f ca="1">'Landscape Trees '!A73</f>
        <v>Cercis canadensis 'Whitebud'</v>
      </c>
      <c r="B217" s="23" t="str">
        <f ca="1">'Landscape Trees '!C73</f>
        <v>Whitebud</v>
      </c>
      <c r="C217" s="23" t="str">
        <f ca="1">'Landscape Trees '!D73</f>
        <v>#15</v>
      </c>
      <c r="D217" s="24" t="str">
        <f ca="1">'Landscape Trees '!E73</f>
        <v>1.25-1.5"</v>
      </c>
      <c r="E217" s="23" t="str">
        <f ca="1">'Landscape Trees '!F73</f>
        <v>9-11'</v>
      </c>
      <c r="F217" s="25">
        <f ca="1">'Landscape Trees '!G73</f>
        <v>4</v>
      </c>
      <c r="G217" s="23">
        <f ca="1">'Landscape Trees '!H73</f>
        <v>0</v>
      </c>
      <c r="H217" s="26">
        <f ca="1">'Landscape Trees '!I73</f>
        <v>110</v>
      </c>
      <c r="I217" s="23" t="str">
        <f t="shared" ca="1" si="2"/>
        <v>Whitebud #15-2020</v>
      </c>
      <c r="J217" s="10"/>
      <c r="K217" s="26">
        <f t="shared" ca="1" si="3"/>
        <v>0</v>
      </c>
    </row>
    <row r="218" spans="1:11" ht="12.75">
      <c r="A218" s="23" t="str">
        <f ca="1">'Landscape Trees '!A74</f>
        <v>Cercis tex. 'Merlot'</v>
      </c>
      <c r="B218" s="23" t="str">
        <f ca="1">'Landscape Trees '!C74</f>
        <v>Merlot Redbud</v>
      </c>
      <c r="C218" s="23" t="str">
        <f ca="1">'Landscape Trees '!D74</f>
        <v>#10</v>
      </c>
      <c r="D218" s="24" t="str">
        <f ca="1">'Landscape Trees '!E74</f>
        <v>0.5-0.75"</v>
      </c>
      <c r="E218" s="23" t="str">
        <f ca="1">'Landscape Trees '!F74</f>
        <v>3-4'</v>
      </c>
      <c r="F218" s="25">
        <f ca="1">'Landscape Trees '!G74</f>
        <v>7</v>
      </c>
      <c r="G218" s="23">
        <f ca="1">'Landscape Trees '!H74</f>
        <v>0</v>
      </c>
      <c r="H218" s="26">
        <f ca="1">'Landscape Trees '!I74</f>
        <v>85</v>
      </c>
      <c r="I218" s="23" t="str">
        <f t="shared" ca="1" si="2"/>
        <v>Merlot Redbud #10-2020</v>
      </c>
      <c r="J218" s="10"/>
      <c r="K218" s="26">
        <f t="shared" ca="1" si="3"/>
        <v>0</v>
      </c>
    </row>
    <row r="219" spans="1:11" ht="12.75">
      <c r="A219" s="23" t="str">
        <f ca="1">'Landscape Trees '!A75</f>
        <v>Chionanthus retusus</v>
      </c>
      <c r="B219" s="23" t="str">
        <f ca="1">'Landscape Trees '!C75</f>
        <v>Chinese Fringe Tree</v>
      </c>
      <c r="C219" s="23" t="str">
        <f ca="1">'Landscape Trees '!D75</f>
        <v>#5</v>
      </c>
      <c r="D219" s="24" t="str">
        <f ca="1">'Landscape Trees '!E75</f>
        <v>0.125-0.25"</v>
      </c>
      <c r="E219" s="23" t="str">
        <f ca="1">'Landscape Trees '!F75</f>
        <v>1-3'</v>
      </c>
      <c r="F219" s="25">
        <f ca="1">'Landscape Trees '!G75</f>
        <v>5</v>
      </c>
      <c r="G219" s="23">
        <f ca="1">'Landscape Trees '!H75</f>
        <v>0</v>
      </c>
      <c r="H219" s="26">
        <f ca="1">'Landscape Trees '!I75</f>
        <v>35</v>
      </c>
      <c r="I219" s="23" t="str">
        <f t="shared" ca="1" si="2"/>
        <v>Chinese Fringe Tree #5-2020</v>
      </c>
      <c r="J219" s="10"/>
      <c r="K219" s="26">
        <f t="shared" ca="1" si="3"/>
        <v>0</v>
      </c>
    </row>
    <row r="220" spans="1:11" ht="12.75">
      <c r="A220" s="23" t="str">
        <f ca="1">'Landscape Trees '!A76</f>
        <v>Chionanthus virginicus</v>
      </c>
      <c r="B220" s="23" t="str">
        <f ca="1">'Landscape Trees '!C76</f>
        <v>White Fringe Tree</v>
      </c>
      <c r="C220" s="23" t="str">
        <f ca="1">'Landscape Trees '!D76</f>
        <v>#7</v>
      </c>
      <c r="D220" s="24" t="str">
        <f ca="1">'Landscape Trees '!E76</f>
        <v>0.125-0.75"</v>
      </c>
      <c r="E220" s="23" t="str">
        <f ca="1">'Landscape Trees '!F76</f>
        <v>2-5'</v>
      </c>
      <c r="F220" s="25">
        <f ca="1">'Landscape Trees '!G76</f>
        <v>3</v>
      </c>
      <c r="G220" s="23">
        <f ca="1">'Landscape Trees '!H76</f>
        <v>0</v>
      </c>
      <c r="H220" s="26">
        <f ca="1">'Landscape Trees '!I76</f>
        <v>50</v>
      </c>
      <c r="I220" s="23" t="str">
        <f t="shared" ca="1" si="2"/>
        <v>White Fringe Tree #7-2020</v>
      </c>
      <c r="J220" s="10"/>
      <c r="K220" s="26">
        <f t="shared" ca="1" si="3"/>
        <v>0</v>
      </c>
    </row>
    <row r="221" spans="1:11" ht="12.75">
      <c r="A221" s="23" t="str">
        <f ca="1">'Landscape Trees '!A77</f>
        <v>Cladrastis kentukea</v>
      </c>
      <c r="B221" s="23" t="str">
        <f ca="1">'Landscape Trees '!C77</f>
        <v>Yellowwood</v>
      </c>
      <c r="C221" s="23" t="str">
        <f ca="1">'Landscape Trees '!D77</f>
        <v>#5</v>
      </c>
      <c r="D221" s="24" t="str">
        <f ca="1">'Landscape Trees '!E77</f>
        <v>0.375-0.5"</v>
      </c>
      <c r="E221" s="23" t="str">
        <f ca="1">'Landscape Trees '!F77</f>
        <v>2-6'</v>
      </c>
      <c r="F221" s="25">
        <f ca="1">'Landscape Trees '!G77</f>
        <v>128</v>
      </c>
      <c r="G221" s="23">
        <f ca="1">'Landscape Trees '!H77</f>
        <v>200</v>
      </c>
      <c r="H221" s="26">
        <f ca="1">'Landscape Trees '!I77</f>
        <v>35</v>
      </c>
      <c r="I221" s="23" t="str">
        <f t="shared" ca="1" si="2"/>
        <v>Yellowwood #5-2020</v>
      </c>
      <c r="J221" s="10"/>
      <c r="K221" s="26">
        <f t="shared" ca="1" si="3"/>
        <v>0</v>
      </c>
    </row>
    <row r="222" spans="1:11" ht="12.75">
      <c r="A222" s="23" t="str">
        <f ca="1">'Landscape Trees '!A78</f>
        <v>Conium maculatum</v>
      </c>
      <c r="B222" s="23" t="str">
        <f ca="1">'Landscape Trees '!C78</f>
        <v>Hemlock</v>
      </c>
      <c r="C222" s="23" t="str">
        <f ca="1">'Landscape Trees '!D78</f>
        <v>#7</v>
      </c>
      <c r="D222" s="24" t="str">
        <f ca="1">'Landscape Trees '!E78</f>
        <v>1-1"</v>
      </c>
      <c r="E222" s="23" t="str">
        <f ca="1">'Landscape Trees '!F78</f>
        <v>3-4'</v>
      </c>
      <c r="F222" s="25">
        <f ca="1">'Landscape Trees '!G78</f>
        <v>4</v>
      </c>
      <c r="G222" s="23">
        <f ca="1">'Landscape Trees '!H78</f>
        <v>0</v>
      </c>
      <c r="H222" s="26">
        <f ca="1">'Landscape Trees '!I78</f>
        <v>75</v>
      </c>
      <c r="I222" s="23" t="str">
        <f t="shared" ca="1" si="2"/>
        <v>Hemlock #7-2020</v>
      </c>
      <c r="J222" s="10"/>
      <c r="K222" s="26">
        <f t="shared" ca="1" si="3"/>
        <v>0</v>
      </c>
    </row>
    <row r="223" spans="1:11" ht="12.75">
      <c r="A223" s="23" t="str">
        <f ca="1">'Landscape Trees '!A79</f>
        <v>Cornus 'Cherokee Brave'</v>
      </c>
      <c r="B223" s="23" t="str">
        <f ca="1">'Landscape Trees '!C79</f>
        <v>Cherokee Brave Dogwood</v>
      </c>
      <c r="C223" s="23" t="str">
        <f ca="1">'Landscape Trees '!D79</f>
        <v>#5</v>
      </c>
      <c r="D223" s="24" t="str">
        <f ca="1">'Landscape Trees '!E79</f>
        <v>0.25-0.5"</v>
      </c>
      <c r="E223" s="23" t="str">
        <f ca="1">'Landscape Trees '!F79</f>
        <v>2-3'</v>
      </c>
      <c r="F223" s="25">
        <f ca="1">'Landscape Trees '!G79</f>
        <v>0</v>
      </c>
      <c r="G223" s="23">
        <f ca="1">'Landscape Trees '!H79</f>
        <v>100</v>
      </c>
      <c r="H223" s="26">
        <f ca="1">'Landscape Trees '!I79</f>
        <v>50</v>
      </c>
      <c r="I223" s="23" t="str">
        <f t="shared" ca="1" si="2"/>
        <v>Cherokee Brave Dogwood #5-2020</v>
      </c>
      <c r="J223" s="10"/>
      <c r="K223" s="26">
        <f t="shared" ca="1" si="3"/>
        <v>0</v>
      </c>
    </row>
    <row r="224" spans="1:11" ht="12.75">
      <c r="A224" s="23" t="str">
        <f ca="1">'Landscape Trees '!A80</f>
        <v>Cornus 'Cherokee Brave'</v>
      </c>
      <c r="B224" s="23" t="str">
        <f ca="1">'Landscape Trees '!C80</f>
        <v>Cherokee Brave Dogwood</v>
      </c>
      <c r="C224" s="23" t="str">
        <f ca="1">'Landscape Trees '!D80</f>
        <v>#7</v>
      </c>
      <c r="D224" s="24" t="str">
        <f ca="1">'Landscape Trees '!E80</f>
        <v>0.5-0.75"</v>
      </c>
      <c r="E224" s="23" t="str">
        <f ca="1">'Landscape Trees '!F80</f>
        <v>4-5'</v>
      </c>
      <c r="F224" s="25">
        <f ca="1">'Landscape Trees '!G80</f>
        <v>11</v>
      </c>
      <c r="G224" s="23">
        <f ca="1">'Landscape Trees '!H80</f>
        <v>0</v>
      </c>
      <c r="H224" s="26">
        <f ca="1">'Landscape Trees '!I80</f>
        <v>75</v>
      </c>
      <c r="I224" s="23" t="str">
        <f t="shared" ca="1" si="2"/>
        <v>Cherokee Brave Dogwood #7-2020</v>
      </c>
      <c r="J224" s="10"/>
      <c r="K224" s="26">
        <f t="shared" ca="1" si="3"/>
        <v>0</v>
      </c>
    </row>
    <row r="225" spans="1:11" ht="12.75">
      <c r="A225" s="23" t="str">
        <f ca="1">'Landscape Trees '!A81</f>
        <v>Cornus 'Cherokee Brave'</v>
      </c>
      <c r="B225" s="23" t="str">
        <f ca="1">'Landscape Trees '!C81</f>
        <v>Cherokee Brave Dogwood</v>
      </c>
      <c r="C225" s="23" t="str">
        <f ca="1">'Landscape Trees '!D81</f>
        <v>#10</v>
      </c>
      <c r="D225" s="24" t="str">
        <f ca="1">'Landscape Trees '!E81</f>
        <v>0.5-0.75"</v>
      </c>
      <c r="E225" s="23" t="str">
        <f ca="1">'Landscape Trees '!F81</f>
        <v>4-5'</v>
      </c>
      <c r="F225" s="25">
        <f ca="1">'Landscape Trees '!G81</f>
        <v>30</v>
      </c>
      <c r="G225" s="23">
        <f ca="1">'Landscape Trees '!H81</f>
        <v>0</v>
      </c>
      <c r="H225" s="26">
        <f ca="1">'Landscape Trees '!I81</f>
        <v>85</v>
      </c>
      <c r="I225" s="23" t="str">
        <f t="shared" ca="1" si="2"/>
        <v>Cherokee Brave Dogwood #10-2020</v>
      </c>
      <c r="J225" s="10"/>
      <c r="K225" s="26">
        <f t="shared" ca="1" si="3"/>
        <v>0</v>
      </c>
    </row>
    <row r="226" spans="1:11" ht="12.75">
      <c r="A226" s="23" t="str">
        <f ca="1">'Landscape Trees '!A82</f>
        <v>Cornus 'Constellation'</v>
      </c>
      <c r="B226" s="23" t="str">
        <f ca="1">'Landscape Trees '!C82</f>
        <v>Constellation Dogwood</v>
      </c>
      <c r="C226" s="23" t="str">
        <f ca="1">'Landscape Trees '!D82</f>
        <v>#10</v>
      </c>
      <c r="D226" s="24" t="str">
        <f ca="1">'Landscape Trees '!E82</f>
        <v>0.5-0.75"</v>
      </c>
      <c r="E226" s="23" t="str">
        <f ca="1">'Landscape Trees '!F82</f>
        <v>5-8'</v>
      </c>
      <c r="F226" s="25">
        <f ca="1">'Landscape Trees '!G82</f>
        <v>20</v>
      </c>
      <c r="G226" s="23">
        <f ca="1">'Landscape Trees '!H82</f>
        <v>0</v>
      </c>
      <c r="H226" s="26">
        <f ca="1">'Landscape Trees '!I82</f>
        <v>85</v>
      </c>
      <c r="I226" s="23" t="str">
        <f t="shared" ca="1" si="2"/>
        <v>Constellation Dogwood #10-2020</v>
      </c>
      <c r="J226" s="10"/>
      <c r="K226" s="26">
        <f t="shared" ca="1" si="3"/>
        <v>0</v>
      </c>
    </row>
    <row r="227" spans="1:11" ht="12.75">
      <c r="A227" s="23" t="str">
        <f ca="1">'Landscape Trees '!A83</f>
        <v>Cornus 'Constellation'</v>
      </c>
      <c r="B227" s="23" t="str">
        <f ca="1">'Landscape Trees '!C83</f>
        <v>Constellation Dogwood</v>
      </c>
      <c r="C227" s="23" t="str">
        <f ca="1">'Landscape Trees '!D83</f>
        <v>#15</v>
      </c>
      <c r="D227" s="24" t="str">
        <f ca="1">'Landscape Trees '!E83</f>
        <v>1-1"</v>
      </c>
      <c r="E227" s="23" t="str">
        <f ca="1">'Landscape Trees '!F83</f>
        <v>8-8'</v>
      </c>
      <c r="F227" s="25">
        <f ca="1">'Landscape Trees '!G83</f>
        <v>2</v>
      </c>
      <c r="G227" s="23">
        <f ca="1">'Landscape Trees '!H83</f>
        <v>20</v>
      </c>
      <c r="H227" s="26">
        <f ca="1">'Landscape Trees '!I83</f>
        <v>110</v>
      </c>
      <c r="I227" s="23" t="str">
        <f t="shared" ca="1" si="2"/>
        <v>Constellation Dogwood #15-2020</v>
      </c>
      <c r="J227" s="10"/>
      <c r="K227" s="26">
        <f t="shared" ca="1" si="3"/>
        <v>0</v>
      </c>
    </row>
    <row r="228" spans="1:11" ht="12.75">
      <c r="A228" s="23" t="str">
        <f ca="1">'Landscape Trees '!A84</f>
        <v xml:space="preserve">Cornus 'Rutdan' Celestial </v>
      </c>
      <c r="B228" s="23" t="str">
        <f ca="1">'Landscape Trees '!C84</f>
        <v>Celestial Dogwood</v>
      </c>
      <c r="C228" s="23" t="str">
        <f ca="1">'Landscape Trees '!D84</f>
        <v>#5</v>
      </c>
      <c r="D228" s="24" t="str">
        <f ca="1">'Landscape Trees '!E84</f>
        <v>0.75-1"</v>
      </c>
      <c r="E228" s="23" t="str">
        <f ca="1">'Landscape Trees '!F84</f>
        <v>5-5'</v>
      </c>
      <c r="F228" s="25">
        <f ca="1">'Landscape Trees '!G84</f>
        <v>48</v>
      </c>
      <c r="G228" s="23">
        <f ca="1">'Landscape Trees '!H84</f>
        <v>0</v>
      </c>
      <c r="H228" s="26">
        <f ca="1">'Landscape Trees '!I84</f>
        <v>45</v>
      </c>
      <c r="I228" s="23" t="str">
        <f t="shared" ca="1" si="2"/>
        <v>Celestial Dogwood #5-2020</v>
      </c>
      <c r="J228" s="10"/>
      <c r="K228" s="26">
        <f t="shared" ca="1" si="3"/>
        <v>0</v>
      </c>
    </row>
    <row r="229" spans="1:11" ht="12.75">
      <c r="A229" s="23" t="str">
        <f ca="1">'Landscape Trees '!A85</f>
        <v>Cornus 'Rutgan' Stellar Pink</v>
      </c>
      <c r="B229" s="23" t="str">
        <f ca="1">'Landscape Trees '!C85</f>
        <v>Stellar Pink Dogwood</v>
      </c>
      <c r="C229" s="23" t="str">
        <f ca="1">'Landscape Trees '!D85</f>
        <v>#10</v>
      </c>
      <c r="D229" s="24" t="str">
        <f ca="1">'Landscape Trees '!E85</f>
        <v>0.75-1"</v>
      </c>
      <c r="E229" s="23" t="str">
        <f ca="1">'Landscape Trees '!F85</f>
        <v>5-8'</v>
      </c>
      <c r="F229" s="25">
        <f ca="1">'Landscape Trees '!G85</f>
        <v>66</v>
      </c>
      <c r="G229" s="23">
        <f ca="1">'Landscape Trees '!H85</f>
        <v>100</v>
      </c>
      <c r="H229" s="26">
        <f ca="1">'Landscape Trees '!I85</f>
        <v>85</v>
      </c>
      <c r="I229" s="23" t="str">
        <f t="shared" ca="1" si="2"/>
        <v>Stellar Pink Dogwood #10-2020</v>
      </c>
      <c r="J229" s="10"/>
      <c r="K229" s="26">
        <f t="shared" ca="1" si="3"/>
        <v>0</v>
      </c>
    </row>
    <row r="230" spans="1:11" ht="12.75">
      <c r="A230" s="23" t="str">
        <f ca="1">'Landscape Trees '!A86</f>
        <v>Cornus 'Rutgan' Stellar Pink</v>
      </c>
      <c r="B230" s="23" t="str">
        <f ca="1">'Landscape Trees '!C86</f>
        <v>Stellar Pink Dogwood</v>
      </c>
      <c r="C230" s="23" t="str">
        <f ca="1">'Landscape Trees '!D86</f>
        <v>#15</v>
      </c>
      <c r="D230" s="24" t="str">
        <f ca="1">'Landscape Trees '!E86</f>
        <v>0.5-0.75"</v>
      </c>
      <c r="E230" s="23" t="str">
        <f ca="1">'Landscape Trees '!F86</f>
        <v>5-6'</v>
      </c>
      <c r="F230" s="25">
        <f ca="1">'Landscape Trees '!G86</f>
        <v>0</v>
      </c>
      <c r="G230" s="23">
        <f ca="1">'Landscape Trees '!H86</f>
        <v>10</v>
      </c>
      <c r="H230" s="26">
        <f ca="1">'Landscape Trees '!I86</f>
        <v>115</v>
      </c>
      <c r="I230" s="23" t="str">
        <f t="shared" ca="1" si="2"/>
        <v>Stellar Pink Dogwood #15-2020</v>
      </c>
      <c r="J230" s="10"/>
      <c r="K230" s="26">
        <f t="shared" ca="1" si="3"/>
        <v>0</v>
      </c>
    </row>
    <row r="231" spans="1:11" ht="12.75">
      <c r="A231" s="23" t="str">
        <f ca="1">'Landscape Trees '!A87</f>
        <v>Cornus florida</v>
      </c>
      <c r="B231" s="23" t="str">
        <f ca="1">'Landscape Trees '!C87</f>
        <v>White Dogwood</v>
      </c>
      <c r="C231" s="23" t="str">
        <f ca="1">'Landscape Trees '!D87</f>
        <v>#5</v>
      </c>
      <c r="D231" s="24" t="str">
        <f ca="1">'Landscape Trees '!E87</f>
        <v>0.25-0.25"</v>
      </c>
      <c r="E231" s="23" t="str">
        <f ca="1">'Landscape Trees '!F87</f>
        <v>3-4'</v>
      </c>
      <c r="F231" s="25">
        <f ca="1">'Landscape Trees '!G87</f>
        <v>42</v>
      </c>
      <c r="G231" s="23">
        <f ca="1">'Landscape Trees '!H87</f>
        <v>100</v>
      </c>
      <c r="H231" s="26">
        <f ca="1">'Landscape Trees '!I87</f>
        <v>35</v>
      </c>
      <c r="I231" s="23" t="str">
        <f t="shared" ca="1" si="2"/>
        <v>White Dogwood #5-2020</v>
      </c>
      <c r="J231" s="10"/>
      <c r="K231" s="26">
        <f t="shared" ca="1" si="3"/>
        <v>0</v>
      </c>
    </row>
    <row r="232" spans="1:11" ht="12.75">
      <c r="A232" s="23" t="str">
        <f ca="1">'Landscape Trees '!A88</f>
        <v>Cornus kousa</v>
      </c>
      <c r="B232" s="23" t="str">
        <f ca="1">'Landscape Trees '!C88</f>
        <v>Kousa Dogwood</v>
      </c>
      <c r="C232" s="23" t="str">
        <f ca="1">'Landscape Trees '!D88</f>
        <v>#5</v>
      </c>
      <c r="D232" s="24" t="str">
        <f ca="1">'Landscape Trees '!E88</f>
        <v>0.5-0.75"</v>
      </c>
      <c r="E232" s="23" t="str">
        <f ca="1">'Landscape Trees '!F88</f>
        <v>3-4.5'</v>
      </c>
      <c r="F232" s="25">
        <f ca="1">'Landscape Trees '!G88</f>
        <v>101</v>
      </c>
      <c r="G232" s="23">
        <f ca="1">'Landscape Trees '!H88</f>
        <v>0</v>
      </c>
      <c r="H232" s="26">
        <f ca="1">'Landscape Trees '!I88</f>
        <v>35</v>
      </c>
      <c r="I232" s="23" t="str">
        <f t="shared" ca="1" si="2"/>
        <v>Kousa Dogwood #5-2020</v>
      </c>
      <c r="J232" s="10"/>
      <c r="K232" s="26">
        <f t="shared" ca="1" si="3"/>
        <v>0</v>
      </c>
    </row>
    <row r="233" spans="1:11" ht="12.75">
      <c r="A233" s="23" t="str">
        <f ca="1">'Landscape Trees '!A89</f>
        <v>Cornus kousa</v>
      </c>
      <c r="B233" s="23" t="str">
        <f ca="1">'Landscape Trees '!C89</f>
        <v>Kousa Dogwood</v>
      </c>
      <c r="C233" s="23" t="str">
        <f ca="1">'Landscape Trees '!D89</f>
        <v>#15</v>
      </c>
      <c r="D233" s="24" t="str">
        <f ca="1">'Landscape Trees '!E89</f>
        <v>1-1.25"</v>
      </c>
      <c r="E233" s="23" t="str">
        <f ca="1">'Landscape Trees '!F89</f>
        <v>6-7'</v>
      </c>
      <c r="F233" s="25">
        <f ca="1">'Landscape Trees '!G89</f>
        <v>6</v>
      </c>
      <c r="G233" s="23">
        <f ca="1">'Landscape Trees '!H89</f>
        <v>10</v>
      </c>
      <c r="H233" s="26">
        <f ca="1">'Landscape Trees '!I89</f>
        <v>115</v>
      </c>
      <c r="I233" s="23" t="str">
        <f t="shared" ca="1" si="2"/>
        <v>Kousa Dogwood #15-2020</v>
      </c>
      <c r="J233" s="10"/>
      <c r="K233" s="26">
        <f t="shared" ca="1" si="3"/>
        <v>0</v>
      </c>
    </row>
    <row r="234" spans="1:11" ht="12.75">
      <c r="A234" s="23" t="str">
        <f ca="1">'Landscape Trees '!A90</f>
        <v>Cornus kousa 'Rutpink'</v>
      </c>
      <c r="B234" s="23" t="str">
        <f ca="1">'Landscape Trees '!C90</f>
        <v>Scarlet Fire Dogwood</v>
      </c>
      <c r="C234" s="23" t="str">
        <f ca="1">'Landscape Trees '!D90</f>
        <v>#7</v>
      </c>
      <c r="D234" s="24" t="str">
        <f ca="1">'Landscape Trees '!E90</f>
        <v>0.5-0.75"</v>
      </c>
      <c r="E234" s="23" t="str">
        <f ca="1">'Landscape Trees '!F90</f>
        <v>3-5'</v>
      </c>
      <c r="F234" s="25">
        <f ca="1">'Landscape Trees '!G90</f>
        <v>17</v>
      </c>
      <c r="G234" s="23">
        <f ca="1">'Landscape Trees '!H90</f>
        <v>50</v>
      </c>
      <c r="H234" s="26">
        <f ca="1">'Landscape Trees '!I90</f>
        <v>60</v>
      </c>
      <c r="I234" s="23" t="str">
        <f t="shared" ca="1" si="2"/>
        <v>Scarlet Fire Dogwood #7-2020</v>
      </c>
      <c r="J234" s="10"/>
      <c r="K234" s="26">
        <f t="shared" ca="1" si="3"/>
        <v>0</v>
      </c>
    </row>
    <row r="235" spans="1:11" ht="12.75">
      <c r="A235" s="23" t="str">
        <f ca="1">'Landscape Trees '!A91</f>
        <v>Cornus kousa 'Rutpink'</v>
      </c>
      <c r="B235" s="23" t="str">
        <f ca="1">'Landscape Trees '!C91</f>
        <v>Scarlet Fire Dogwood</v>
      </c>
      <c r="C235" s="23" t="str">
        <f ca="1">'Landscape Trees '!D91</f>
        <v>#15</v>
      </c>
      <c r="D235" s="24" t="str">
        <f ca="1">'Landscape Trees '!E91</f>
        <v>1-1"</v>
      </c>
      <c r="E235" s="23" t="str">
        <f ca="1">'Landscape Trees '!F91</f>
        <v>7-7'</v>
      </c>
      <c r="F235" s="25">
        <f ca="1">'Landscape Trees '!G91</f>
        <v>2</v>
      </c>
      <c r="G235" s="23">
        <f ca="1">'Landscape Trees '!H91</f>
        <v>0</v>
      </c>
      <c r="H235" s="26">
        <f ca="1">'Landscape Trees '!I91</f>
        <v>115</v>
      </c>
      <c r="I235" s="23" t="str">
        <f t="shared" ca="1" si="2"/>
        <v>Scarlet Fire Dogwood #15-2020</v>
      </c>
      <c r="J235" s="10"/>
      <c r="K235" s="26">
        <f t="shared" ca="1" si="3"/>
        <v>0</v>
      </c>
    </row>
    <row r="236" spans="1:11" ht="12.75">
      <c r="A236" s="23" t="str">
        <f ca="1">'Landscape Trees '!A92</f>
        <v>Cornus racemosa</v>
      </c>
      <c r="B236" s="23" t="str">
        <f ca="1">'Landscape Trees '!C92</f>
        <v>Gray Dogwood</v>
      </c>
      <c r="C236" s="23" t="str">
        <f ca="1">'Landscape Trees '!D92</f>
        <v>#5</v>
      </c>
      <c r="D236" s="24" t="str">
        <f ca="1">'Landscape Trees '!E92</f>
        <v>0.5-0.75"</v>
      </c>
      <c r="E236" s="23" t="str">
        <f ca="1">'Landscape Trees '!F92</f>
        <v>4-5'</v>
      </c>
      <c r="F236" s="25">
        <f ca="1">'Landscape Trees '!G92</f>
        <v>27</v>
      </c>
      <c r="G236" s="23">
        <f ca="1">'Landscape Trees '!H92</f>
        <v>0</v>
      </c>
      <c r="H236" s="26">
        <f ca="1">'Landscape Trees '!I92</f>
        <v>30</v>
      </c>
      <c r="I236" s="23" t="str">
        <f t="shared" ca="1" si="2"/>
        <v>Gray Dogwood #5-2020</v>
      </c>
      <c r="J236" s="10"/>
      <c r="K236" s="26">
        <f t="shared" ca="1" si="3"/>
        <v>0</v>
      </c>
    </row>
    <row r="237" spans="1:11" ht="12.75">
      <c r="A237" s="23" t="str">
        <f ca="1">'Landscape Trees '!A93</f>
        <v>Cornus sericea</v>
      </c>
      <c r="B237" s="23" t="str">
        <f ca="1">'Landscape Trees '!C93</f>
        <v>Red Twig Dogwood</v>
      </c>
      <c r="C237" s="23" t="str">
        <f ca="1">'Landscape Trees '!D93</f>
        <v>#5</v>
      </c>
      <c r="D237" s="27" t="str">
        <f ca="1">'Landscape Trees '!E93</f>
        <v>Multi</v>
      </c>
      <c r="E237" s="23" t="str">
        <f ca="1">'Landscape Trees '!F93</f>
        <v>4-5'</v>
      </c>
      <c r="F237" s="25">
        <f ca="1">'Landscape Trees '!G93</f>
        <v>42</v>
      </c>
      <c r="G237" s="23">
        <f ca="1">'Landscape Trees '!H93</f>
        <v>100</v>
      </c>
      <c r="H237" s="26">
        <f ca="1">'Landscape Trees '!I93</f>
        <v>30</v>
      </c>
      <c r="I237" s="23" t="str">
        <f t="shared" ca="1" si="2"/>
        <v>Red Twig Dogwood #5-2020</v>
      </c>
      <c r="J237" s="10"/>
      <c r="K237" s="26">
        <f t="shared" ca="1" si="3"/>
        <v>0</v>
      </c>
    </row>
    <row r="238" spans="1:11" ht="12.75">
      <c r="A238" s="23" t="str">
        <f ca="1">'Landscape Trees '!A94</f>
        <v>Cornus sericea 'Baileyi'</v>
      </c>
      <c r="B238" s="23" t="str">
        <f ca="1">'Landscape Trees '!C94</f>
        <v>Baileyi Red Twig Dogwood</v>
      </c>
      <c r="C238" s="23" t="str">
        <f ca="1">'Landscape Trees '!D94</f>
        <v>#5</v>
      </c>
      <c r="D238" s="27" t="str">
        <f ca="1">'Landscape Trees '!E94</f>
        <v>Multi</v>
      </c>
      <c r="E238" s="23" t="str">
        <f ca="1">'Landscape Trees '!F94</f>
        <v>3-5'</v>
      </c>
      <c r="F238" s="25">
        <f ca="1">'Landscape Trees '!G94</f>
        <v>11</v>
      </c>
      <c r="G238" s="23">
        <f ca="1">'Landscape Trees '!H94</f>
        <v>0</v>
      </c>
      <c r="H238" s="26">
        <f ca="1">'Landscape Trees '!I94</f>
        <v>30</v>
      </c>
      <c r="I238" s="23" t="str">
        <f t="shared" ca="1" si="2"/>
        <v>Baileyi Red Twig Dogwood #5-2020</v>
      </c>
      <c r="J238" s="10"/>
      <c r="K238" s="26">
        <f t="shared" ca="1" si="3"/>
        <v>0</v>
      </c>
    </row>
    <row r="239" spans="1:11" ht="12.75">
      <c r="A239" s="23" t="str">
        <f ca="1">'Landscape Trees '!A95</f>
        <v>Corylus americana</v>
      </c>
      <c r="B239" s="23" t="str">
        <f ca="1">'Landscape Trees '!C95</f>
        <v>American Hazelnut</v>
      </c>
      <c r="C239" s="23" t="str">
        <f ca="1">'Landscape Trees '!D95</f>
        <v>#5</v>
      </c>
      <c r="D239" s="24" t="str">
        <f ca="1">'Landscape Trees '!E95</f>
        <v>Multi</v>
      </c>
      <c r="E239" s="23" t="str">
        <f ca="1">'Landscape Trees '!F95</f>
        <v>2-4'</v>
      </c>
      <c r="F239" s="25">
        <f ca="1">'Landscape Trees '!G95</f>
        <v>22</v>
      </c>
      <c r="G239" s="23">
        <f ca="1">'Landscape Trees '!H95</f>
        <v>0</v>
      </c>
      <c r="H239" s="26">
        <f ca="1">'Landscape Trees '!I95</f>
        <v>35</v>
      </c>
      <c r="I239" s="23" t="str">
        <f t="shared" ca="1" si="2"/>
        <v>American Hazelnut #5-2020</v>
      </c>
      <c r="J239" s="10"/>
      <c r="K239" s="26">
        <f t="shared" ca="1" si="3"/>
        <v>0</v>
      </c>
    </row>
    <row r="240" spans="1:11" ht="12.75">
      <c r="A240" s="23" t="str">
        <f ca="1">'Landscape Trees '!A96</f>
        <v>Cotinus 'Grace'</v>
      </c>
      <c r="B240" s="23" t="str">
        <f ca="1">'Landscape Trees '!C96</f>
        <v>Grace Smokebush</v>
      </c>
      <c r="C240" s="23" t="str">
        <f ca="1">'Landscape Trees '!D96</f>
        <v>#7</v>
      </c>
      <c r="D240" s="24" t="str">
        <f ca="1">'Landscape Trees '!E96</f>
        <v>1.5-1.5"</v>
      </c>
      <c r="E240" s="23" t="str">
        <f ca="1">'Landscape Trees '!F96</f>
        <v>8-8'</v>
      </c>
      <c r="F240" s="25">
        <f ca="1">'Landscape Trees '!G96</f>
        <v>1</v>
      </c>
      <c r="G240" s="23">
        <f ca="1">'Landscape Trees '!H96</f>
        <v>0</v>
      </c>
      <c r="H240" s="26">
        <f ca="1">'Landscape Trees '!I96</f>
        <v>75</v>
      </c>
      <c r="I240" s="23" t="str">
        <f t="shared" ca="1" si="2"/>
        <v>Grace Smokebush #7-2020</v>
      </c>
      <c r="J240" s="10"/>
      <c r="K240" s="26">
        <f t="shared" ca="1" si="3"/>
        <v>0</v>
      </c>
    </row>
    <row r="241" spans="1:11" ht="12.75">
      <c r="A241" s="23" t="str">
        <f ca="1">'Landscape Trees '!A97</f>
        <v>Cotinus coggygria 'Royal Purple'</v>
      </c>
      <c r="B241" s="23" t="str">
        <f ca="1">'Landscape Trees '!C97</f>
        <v>Royal Purple Smokebush</v>
      </c>
      <c r="C241" s="23" t="str">
        <f ca="1">'Landscape Trees '!D97</f>
        <v>#5</v>
      </c>
      <c r="D241" s="24" t="str">
        <f ca="1">'Landscape Trees '!E97</f>
        <v>0.25-0.5"</v>
      </c>
      <c r="E241" s="23" t="str">
        <f ca="1">'Landscape Trees '!F97</f>
        <v>3-5'</v>
      </c>
      <c r="F241" s="25">
        <f ca="1">'Landscape Trees '!G97</f>
        <v>48</v>
      </c>
      <c r="G241" s="23">
        <f ca="1">'Landscape Trees '!H97</f>
        <v>20</v>
      </c>
      <c r="H241" s="26">
        <f ca="1">'Landscape Trees '!I97</f>
        <v>35</v>
      </c>
      <c r="I241" s="23" t="str">
        <f t="shared" ca="1" si="2"/>
        <v>Royal Purple Smokebush #5-2020</v>
      </c>
      <c r="J241" s="10"/>
      <c r="K241" s="26">
        <f t="shared" ca="1" si="3"/>
        <v>0</v>
      </c>
    </row>
    <row r="242" spans="1:11" ht="12.75">
      <c r="A242" s="23" t="str">
        <f ca="1">'Landscape Trees '!A98</f>
        <v>Cotinus obovatus</v>
      </c>
      <c r="B242" s="23" t="str">
        <f ca="1">'Landscape Trees '!C98</f>
        <v>Smokebush (Native)</v>
      </c>
      <c r="C242" s="23" t="str">
        <f ca="1">'Landscape Trees '!D98</f>
        <v>#5</v>
      </c>
      <c r="D242" s="27" t="str">
        <f ca="1">'Landscape Trees '!E98</f>
        <v>Multi</v>
      </c>
      <c r="E242" s="23" t="str">
        <f ca="1">'Landscape Trees '!F98</f>
        <v>4-9'</v>
      </c>
      <c r="F242" s="25">
        <f ca="1">'Landscape Trees '!G98</f>
        <v>175</v>
      </c>
      <c r="G242" s="23">
        <f ca="1">'Landscape Trees '!H98</f>
        <v>0</v>
      </c>
      <c r="H242" s="26">
        <f ca="1">'Landscape Trees '!I98</f>
        <v>35</v>
      </c>
      <c r="I242" s="23" t="str">
        <f t="shared" ca="1" si="2"/>
        <v>Smokebush (Native) #5-2020</v>
      </c>
      <c r="J242" s="10"/>
      <c r="K242" s="26">
        <f t="shared" ca="1" si="3"/>
        <v>0</v>
      </c>
    </row>
    <row r="243" spans="1:11" ht="12.75">
      <c r="A243" s="23" t="str">
        <f ca="1">'Landscape Trees '!A99</f>
        <v>Crataegus crus-gali var. inermis</v>
      </c>
      <c r="B243" s="23" t="str">
        <f ca="1">'Landscape Trees '!C99</f>
        <v>Thornless Hawthorn</v>
      </c>
      <c r="C243" s="23" t="str">
        <f ca="1">'Landscape Trees '!D99</f>
        <v>#25p</v>
      </c>
      <c r="D243" s="24" t="str">
        <f ca="1">'Landscape Trees '!E99</f>
        <v>1.5-1.5"</v>
      </c>
      <c r="E243" s="23" t="str">
        <f ca="1">'Landscape Trees '!F99</f>
        <v>9-9'</v>
      </c>
      <c r="F243" s="25">
        <f ca="1">'Landscape Trees '!G99</f>
        <v>1</v>
      </c>
      <c r="G243" s="23">
        <f ca="1">'Landscape Trees '!H99</f>
        <v>0</v>
      </c>
      <c r="H243" s="26">
        <f ca="1">'Landscape Trees '!I99</f>
        <v>135</v>
      </c>
      <c r="I243" s="23" t="str">
        <f t="shared" ca="1" si="2"/>
        <v>Thornless Hawthorn #25p-2020</v>
      </c>
      <c r="J243" s="10"/>
      <c r="K243" s="26">
        <f t="shared" ca="1" si="3"/>
        <v>0</v>
      </c>
    </row>
    <row r="244" spans="1:11" ht="12.75">
      <c r="A244" s="23" t="str">
        <f ca="1">'Landscape Trees '!A100</f>
        <v>Crataegus viridis 'Winter King'</v>
      </c>
      <c r="B244" s="23" t="str">
        <f ca="1">'Landscape Trees '!C100</f>
        <v>Winter King Hawthorn</v>
      </c>
      <c r="C244" s="23" t="str">
        <f ca="1">'Landscape Trees '!D100</f>
        <v>#15</v>
      </c>
      <c r="D244" s="24" t="str">
        <f ca="1">'Landscape Trees '!E100</f>
        <v>1-1.25"</v>
      </c>
      <c r="E244" s="23" t="str">
        <f ca="1">'Landscape Trees '!F100</f>
        <v>9-10'</v>
      </c>
      <c r="F244" s="25">
        <f ca="1">'Landscape Trees '!G100</f>
        <v>7</v>
      </c>
      <c r="G244" s="23">
        <f ca="1">'Landscape Trees '!H100</f>
        <v>25</v>
      </c>
      <c r="H244" s="26">
        <f ca="1">'Landscape Trees '!I100</f>
        <v>110</v>
      </c>
      <c r="I244" s="23" t="str">
        <f t="shared" ca="1" si="2"/>
        <v>Winter King Hawthorn #15-2020</v>
      </c>
      <c r="J244" s="10"/>
      <c r="K244" s="26">
        <f t="shared" ca="1" si="3"/>
        <v>0</v>
      </c>
    </row>
    <row r="245" spans="1:11" ht="12.75">
      <c r="A245" s="23" t="str">
        <f ca="1">'Landscape Trees '!A101</f>
        <v>Diospyros virginiana</v>
      </c>
      <c r="B245" s="23" t="str">
        <f ca="1">'Landscape Trees '!C101</f>
        <v>American Persimmon</v>
      </c>
      <c r="C245" s="23" t="str">
        <f ca="1">'Landscape Trees '!D101</f>
        <v>#5</v>
      </c>
      <c r="D245" s="24" t="str">
        <f ca="1">'Landscape Trees '!E101</f>
        <v>0.125-0.75"</v>
      </c>
      <c r="E245" s="23" t="str">
        <f ca="1">'Landscape Trees '!F101</f>
        <v>1-6'</v>
      </c>
      <c r="F245" s="25">
        <f ca="1">'Landscape Trees '!G101</f>
        <v>68</v>
      </c>
      <c r="G245" s="23">
        <f ca="1">'Landscape Trees '!H101</f>
        <v>150</v>
      </c>
      <c r="H245" s="26">
        <f ca="1">'Landscape Trees '!I101</f>
        <v>35</v>
      </c>
      <c r="I245" s="23" t="str">
        <f t="shared" ca="1" si="2"/>
        <v>American Persimmon #5-2020</v>
      </c>
      <c r="J245" s="10"/>
      <c r="K245" s="26">
        <f t="shared" ca="1" si="3"/>
        <v>0</v>
      </c>
    </row>
    <row r="246" spans="1:11" ht="12.75">
      <c r="A246" s="23" t="str">
        <f ca="1">'Landscape Trees '!A102</f>
        <v>Diospyros virginiana</v>
      </c>
      <c r="B246" s="23" t="str">
        <f ca="1">'Landscape Trees '!C102</f>
        <v>American Persimmon</v>
      </c>
      <c r="C246" s="23" t="str">
        <f ca="1">'Landscape Trees '!D102</f>
        <v>#7</v>
      </c>
      <c r="D246" s="24" t="str">
        <f ca="1">'Landscape Trees '!E102</f>
        <v>0.25-0.5"</v>
      </c>
      <c r="E246" s="23" t="str">
        <f ca="1">'Landscape Trees '!F102</f>
        <v>1-5'</v>
      </c>
      <c r="F246" s="25">
        <f ca="1">'Landscape Trees '!G102</f>
        <v>3</v>
      </c>
      <c r="G246" s="23">
        <f ca="1">'Landscape Trees '!H102</f>
        <v>0</v>
      </c>
      <c r="H246" s="26">
        <f ca="1">'Landscape Trees '!I102</f>
        <v>45</v>
      </c>
      <c r="I246" s="23" t="str">
        <f t="shared" ca="1" si="2"/>
        <v>American Persimmon #7-2020</v>
      </c>
      <c r="J246" s="10"/>
      <c r="K246" s="26">
        <f t="shared" ca="1" si="3"/>
        <v>0</v>
      </c>
    </row>
    <row r="247" spans="1:11" ht="12.75">
      <c r="A247" s="23" t="str">
        <f ca="1">'Landscape Trees '!A103</f>
        <v>Eucommia ulmoides</v>
      </c>
      <c r="B247" s="23" t="str">
        <f ca="1">'Landscape Trees '!C103</f>
        <v>Hardy Rubber Tree</v>
      </c>
      <c r="C247" s="23" t="str">
        <f ca="1">'Landscape Trees '!D103</f>
        <v>#15</v>
      </c>
      <c r="D247" s="24" t="str">
        <f ca="1">'Landscape Trees '!E103</f>
        <v>1.75-2"</v>
      </c>
      <c r="E247" s="23" t="str">
        <f ca="1">'Landscape Trees '!F103</f>
        <v>12-13'</v>
      </c>
      <c r="F247" s="25">
        <f ca="1">'Landscape Trees '!G103</f>
        <v>5</v>
      </c>
      <c r="G247" s="23">
        <f ca="1">'Landscape Trees '!H103</f>
        <v>0</v>
      </c>
      <c r="H247" s="26">
        <f ca="1">'Landscape Trees '!I103</f>
        <v>110</v>
      </c>
      <c r="I247" s="23" t="str">
        <f t="shared" ca="1" si="2"/>
        <v>Hardy Rubber Tree #15-2020</v>
      </c>
      <c r="J247" s="10"/>
      <c r="K247" s="26">
        <f t="shared" ca="1" si="3"/>
        <v>0</v>
      </c>
    </row>
    <row r="248" spans="1:11" ht="12.75">
      <c r="A248" s="23" t="str">
        <f ca="1">'Landscape Trees '!A104</f>
        <v>Euonymus americanus</v>
      </c>
      <c r="B248" s="23" t="str">
        <f ca="1">'Landscape Trees '!C104</f>
        <v>Strawberry Bush</v>
      </c>
      <c r="C248" s="23" t="str">
        <f ca="1">'Landscape Trees '!D104</f>
        <v>#5</v>
      </c>
      <c r="D248" s="24" t="str">
        <f ca="1">'Landscape Trees '!E104</f>
        <v>0.38-0.25"</v>
      </c>
      <c r="E248" s="23" t="str">
        <f ca="1">'Landscape Trees '!F104</f>
        <v>1-2'</v>
      </c>
      <c r="F248" s="25">
        <f ca="1">'Landscape Trees '!G104</f>
        <v>0</v>
      </c>
      <c r="G248" s="23">
        <f ca="1">'Landscape Trees '!H104</f>
        <v>50</v>
      </c>
      <c r="H248" s="26">
        <f ca="1">'Landscape Trees '!I104</f>
        <v>40</v>
      </c>
      <c r="I248" s="23" t="str">
        <f t="shared" ca="1" si="2"/>
        <v>Strawberry Bush #5-2020</v>
      </c>
      <c r="J248" s="10"/>
      <c r="K248" s="26">
        <f t="shared" ca="1" si="3"/>
        <v>0</v>
      </c>
    </row>
    <row r="249" spans="1:11" ht="12.75">
      <c r="A249" s="23" t="str">
        <f ca="1">'Landscape Trees '!A105</f>
        <v>Fagus grandiflora</v>
      </c>
      <c r="B249" s="23" t="str">
        <f ca="1">'Landscape Trees '!C105</f>
        <v>American Beech</v>
      </c>
      <c r="C249" s="23" t="str">
        <f ca="1">'Landscape Trees '!D105</f>
        <v>#5</v>
      </c>
      <c r="D249" s="24" t="str">
        <f ca="1">'Landscape Trees '!E105</f>
        <v>0.25-0.5"</v>
      </c>
      <c r="E249" s="23" t="str">
        <f ca="1">'Landscape Trees '!F105</f>
        <v>3-4'</v>
      </c>
      <c r="F249" s="25">
        <f ca="1">'Landscape Trees '!G105</f>
        <v>0</v>
      </c>
      <c r="G249" s="23">
        <f ca="1">'Landscape Trees '!H105</f>
        <v>55</v>
      </c>
      <c r="H249" s="26">
        <f ca="1">'Landscape Trees '!I105</f>
        <v>75</v>
      </c>
      <c r="I249" s="23" t="str">
        <f t="shared" ca="1" si="2"/>
        <v>American Beech #5-2020</v>
      </c>
      <c r="J249" s="10"/>
      <c r="K249" s="26">
        <f t="shared" ca="1" si="3"/>
        <v>0</v>
      </c>
    </row>
    <row r="250" spans="1:11" ht="12.75">
      <c r="A250" s="23" t="str">
        <f ca="1">'Landscape Trees '!A106</f>
        <v>Fagus grandiflora</v>
      </c>
      <c r="B250" s="23" t="str">
        <f ca="1">'Landscape Trees '!C106</f>
        <v>American Beech</v>
      </c>
      <c r="C250" s="23" t="str">
        <f ca="1">'Landscape Trees '!D106</f>
        <v>#15</v>
      </c>
      <c r="D250" s="24" t="str">
        <f ca="1">'Landscape Trees '!E106</f>
        <v>1-1.5"</v>
      </c>
      <c r="E250" s="23" t="str">
        <f ca="1">'Landscape Trees '!F106</f>
        <v>6-8'</v>
      </c>
      <c r="F250" s="25">
        <f ca="1">'Landscape Trees '!G106</f>
        <v>5</v>
      </c>
      <c r="G250" s="23">
        <f ca="1">'Landscape Trees '!H106</f>
        <v>0</v>
      </c>
      <c r="H250" s="26">
        <f ca="1">'Landscape Trees '!I106</f>
        <v>150</v>
      </c>
      <c r="I250" s="23" t="str">
        <f t="shared" ca="1" si="2"/>
        <v>American Beech #15-2020</v>
      </c>
      <c r="J250" s="10"/>
      <c r="K250" s="26">
        <f t="shared" ca="1" si="3"/>
        <v>0</v>
      </c>
    </row>
    <row r="251" spans="1:11" ht="12.75">
      <c r="A251" s="23" t="str">
        <f ca="1">'Landscape Trees '!A107</f>
        <v>Fagus sylvatica</v>
      </c>
      <c r="B251" s="23" t="str">
        <f ca="1">'Landscape Trees '!C107</f>
        <v>European Beech</v>
      </c>
      <c r="C251" s="23" t="str">
        <f ca="1">'Landscape Trees '!D107</f>
        <v>#5</v>
      </c>
      <c r="D251" s="24" t="str">
        <f ca="1">'Landscape Trees '!E107</f>
        <v>1-1"</v>
      </c>
      <c r="E251" s="23" t="str">
        <f ca="1">'Landscape Trees '!F107</f>
        <v>6-7'</v>
      </c>
      <c r="F251" s="25">
        <f ca="1">'Landscape Trees '!G107</f>
        <v>17</v>
      </c>
      <c r="G251" s="23">
        <f ca="1">'Landscape Trees '!H107</f>
        <v>0</v>
      </c>
      <c r="H251" s="26">
        <f ca="1">'Landscape Trees '!I107</f>
        <v>40</v>
      </c>
      <c r="I251" s="23" t="str">
        <f t="shared" ca="1" si="2"/>
        <v>European Beech #5-2020</v>
      </c>
      <c r="J251" s="10"/>
      <c r="K251" s="26">
        <f t="shared" ca="1" si="3"/>
        <v>0</v>
      </c>
    </row>
    <row r="252" spans="1:11" ht="12.75">
      <c r="A252" s="23" t="str">
        <f ca="1">'Landscape Trees '!A108</f>
        <v>Fagus sylvatica</v>
      </c>
      <c r="B252" s="23" t="str">
        <f ca="1">'Landscape Trees '!C108</f>
        <v>European Beech</v>
      </c>
      <c r="C252" s="23" t="str">
        <f ca="1">'Landscape Trees '!D108</f>
        <v>#10</v>
      </c>
      <c r="D252" s="24" t="str">
        <f ca="1">'Landscape Trees '!E108</f>
        <v>1.25-1.25"</v>
      </c>
      <c r="E252" s="23" t="str">
        <f ca="1">'Landscape Trees '!F108</f>
        <v>9-13'</v>
      </c>
      <c r="F252" s="25">
        <f ca="1">'Landscape Trees '!G108</f>
        <v>1</v>
      </c>
      <c r="G252" s="23">
        <f ca="1">'Landscape Trees '!H108</f>
        <v>0</v>
      </c>
      <c r="H252" s="26">
        <f ca="1">'Landscape Trees '!I108</f>
        <v>100</v>
      </c>
      <c r="I252" s="23" t="str">
        <f t="shared" ca="1" si="2"/>
        <v>European Beech #10-2020</v>
      </c>
      <c r="J252" s="10"/>
      <c r="K252" s="26">
        <f t="shared" ca="1" si="3"/>
        <v>0</v>
      </c>
    </row>
    <row r="253" spans="1:11" ht="12.75">
      <c r="A253" s="23" t="str">
        <f ca="1">'Landscape Trees '!A109</f>
        <v>Fagus sylvatica f. purpurea</v>
      </c>
      <c r="B253" s="23" t="str">
        <f ca="1">'Landscape Trees '!C109</f>
        <v>Purple Beech</v>
      </c>
      <c r="C253" s="23" t="str">
        <f ca="1">'Landscape Trees '!D109</f>
        <v>#10</v>
      </c>
      <c r="D253" s="24" t="str">
        <f ca="1">'Landscape Trees '!E109</f>
        <v>0.75-1"</v>
      </c>
      <c r="E253" s="23" t="str">
        <f ca="1">'Landscape Trees '!F109</f>
        <v>4-5'</v>
      </c>
      <c r="F253" s="25">
        <f ca="1">'Landscape Trees '!G109</f>
        <v>3</v>
      </c>
      <c r="G253" s="23">
        <f ca="1">'Landscape Trees '!H109</f>
        <v>0</v>
      </c>
      <c r="H253" s="26">
        <f ca="1">'Landscape Trees '!I109</f>
        <v>80</v>
      </c>
      <c r="I253" s="23" t="str">
        <f t="shared" ca="1" si="2"/>
        <v>Purple Beech #10-2020</v>
      </c>
      <c r="J253" s="10"/>
      <c r="K253" s="26">
        <f t="shared" ca="1" si="3"/>
        <v>0</v>
      </c>
    </row>
    <row r="254" spans="1:11" ht="12.75">
      <c r="A254" s="23" t="str">
        <f ca="1">'Landscape Trees '!A110</f>
        <v>Fothergilla x 'Mt. Airy'</v>
      </c>
      <c r="B254" s="23" t="str">
        <f ca="1">'Landscape Trees '!C110</f>
        <v>Mt. Airy Fothergilla</v>
      </c>
      <c r="C254" s="23" t="str">
        <f ca="1">'Landscape Trees '!D110</f>
        <v>#5</v>
      </c>
      <c r="D254" s="24" t="str">
        <f ca="1">'Landscape Trees '!E110</f>
        <v>0.38-0.25"</v>
      </c>
      <c r="E254" s="23" t="str">
        <f ca="1">'Landscape Trees '!F110</f>
        <v>1-2'</v>
      </c>
      <c r="F254" s="25">
        <f ca="1">'Landscape Trees '!G110</f>
        <v>0</v>
      </c>
      <c r="G254" s="23">
        <f ca="1">'Landscape Trees '!H110</f>
        <v>30</v>
      </c>
      <c r="H254" s="26">
        <f ca="1">'Landscape Trees '!I110</f>
        <v>30</v>
      </c>
      <c r="I254" s="23" t="str">
        <f t="shared" ca="1" si="2"/>
        <v>Mt. Airy Fothergilla #5-2020</v>
      </c>
      <c r="J254" s="10"/>
      <c r="K254" s="26">
        <f t="shared" ca="1" si="3"/>
        <v>0</v>
      </c>
    </row>
    <row r="255" spans="1:11" ht="12.75">
      <c r="A255" s="23" t="str">
        <f ca="1">'Landscape Trees '!A111</f>
        <v>Franklinia alatamaha</v>
      </c>
      <c r="B255" s="23" t="str">
        <f ca="1">'Landscape Trees '!C111</f>
        <v>Franklinia</v>
      </c>
      <c r="C255" s="23" t="str">
        <f ca="1">'Landscape Trees '!D111</f>
        <v>#5</v>
      </c>
      <c r="D255" s="24" t="str">
        <f ca="1">'Landscape Trees '!E111</f>
        <v>0.75-1"</v>
      </c>
      <c r="E255" s="23" t="str">
        <f ca="1">'Landscape Trees '!F111</f>
        <v>5-6'</v>
      </c>
      <c r="F255" s="25">
        <f ca="1">'Landscape Trees '!G111</f>
        <v>13</v>
      </c>
      <c r="G255" s="23">
        <f ca="1">'Landscape Trees '!H111</f>
        <v>0</v>
      </c>
      <c r="H255" s="26">
        <f ca="1">'Landscape Trees '!I111</f>
        <v>50</v>
      </c>
      <c r="I255" s="23" t="str">
        <f t="shared" ca="1" si="2"/>
        <v>Franklinia #5-2020</v>
      </c>
      <c r="J255" s="10"/>
      <c r="K255" s="26">
        <f t="shared" ca="1" si="3"/>
        <v>0</v>
      </c>
    </row>
    <row r="256" spans="1:11" ht="12.75">
      <c r="A256" s="23" t="str">
        <f ca="1">'Landscape Trees '!A112</f>
        <v>Ginkgo biloba 'Autumn Gold'</v>
      </c>
      <c r="B256" s="23" t="str">
        <f ca="1">'Landscape Trees '!C112</f>
        <v>Autumn Gold Ginkgo</v>
      </c>
      <c r="C256" s="23" t="str">
        <f ca="1">'Landscape Trees '!D112</f>
        <v>#7</v>
      </c>
      <c r="D256" s="24" t="str">
        <f ca="1">'Landscape Trees '!E112</f>
        <v>0.5-0.75"</v>
      </c>
      <c r="E256" s="23" t="str">
        <f ca="1">'Landscape Trees '!F112</f>
        <v>3-4'</v>
      </c>
      <c r="F256" s="25">
        <f ca="1">'Landscape Trees '!G112</f>
        <v>0</v>
      </c>
      <c r="G256" s="23">
        <f ca="1">'Landscape Trees '!H112</f>
        <v>20</v>
      </c>
      <c r="H256" s="26">
        <f ca="1">'Landscape Trees '!I112</f>
        <v>50</v>
      </c>
      <c r="I256" s="23" t="str">
        <f t="shared" ca="1" si="2"/>
        <v>Autumn Gold Ginkgo #7-2020</v>
      </c>
      <c r="J256" s="10"/>
      <c r="K256" s="26">
        <f t="shared" ca="1" si="3"/>
        <v>0</v>
      </c>
    </row>
    <row r="257" spans="1:11" ht="12.75">
      <c r="A257" s="23" t="str">
        <f ca="1">'Landscape Trees '!A113</f>
        <v>Ginkgo biloba 'Autumn Gold'</v>
      </c>
      <c r="B257" s="23" t="str">
        <f ca="1">'Landscape Trees '!C113</f>
        <v>Autumn Gold Ginkgo</v>
      </c>
      <c r="C257" s="23" t="str">
        <f ca="1">'Landscape Trees '!D113</f>
        <v>#10</v>
      </c>
      <c r="D257" s="24" t="str">
        <f ca="1">'Landscape Trees '!E113</f>
        <v>0.25-0.5"</v>
      </c>
      <c r="E257" s="23" t="str">
        <f ca="1">'Landscape Trees '!F113</f>
        <v>2-3'</v>
      </c>
      <c r="F257" s="25">
        <f ca="1">'Landscape Trees '!G113</f>
        <v>0</v>
      </c>
      <c r="G257" s="23">
        <f ca="1">'Landscape Trees '!H113</f>
        <v>20</v>
      </c>
      <c r="H257" s="26">
        <f ca="1">'Landscape Trees '!I113</f>
        <v>50</v>
      </c>
      <c r="I257" s="23" t="str">
        <f t="shared" ca="1" si="2"/>
        <v>Autumn Gold Ginkgo #10-2020</v>
      </c>
      <c r="J257" s="10"/>
      <c r="K257" s="26">
        <f t="shared" ca="1" si="3"/>
        <v>0</v>
      </c>
    </row>
    <row r="258" spans="1:11" ht="12.75">
      <c r="A258" s="23" t="str">
        <f ca="1">'Landscape Trees '!A114</f>
        <v>Ginkgo biloba 'Princeton Sentry'</v>
      </c>
      <c r="B258" s="23" t="str">
        <f ca="1">'Landscape Trees '!C114</f>
        <v>Princeton Sentry Ginkgo biloba</v>
      </c>
      <c r="C258" s="23" t="str">
        <f ca="1">'Landscape Trees '!D114</f>
        <v>#15</v>
      </c>
      <c r="D258" s="24" t="str">
        <f ca="1">'Landscape Trees '!E114</f>
        <v>1.25-1.25"</v>
      </c>
      <c r="E258" s="23" t="str">
        <f ca="1">'Landscape Trees '!F114</f>
        <v>9-9'</v>
      </c>
      <c r="F258" s="25">
        <f ca="1">'Landscape Trees '!G114</f>
        <v>2</v>
      </c>
      <c r="G258" s="23">
        <f ca="1">'Landscape Trees '!H114</f>
        <v>0</v>
      </c>
      <c r="H258" s="26">
        <f ca="1">'Landscape Trees '!I114</f>
        <v>110</v>
      </c>
      <c r="I258" s="23" t="str">
        <f t="shared" ca="1" si="2"/>
        <v>Princeton Sentry Ginkgo biloba #15-2020</v>
      </c>
      <c r="J258" s="10"/>
      <c r="K258" s="26">
        <f t="shared" ca="1" si="3"/>
        <v>0</v>
      </c>
    </row>
    <row r="259" spans="1:11" ht="12.75">
      <c r="A259" s="23" t="str">
        <f ca="1">'Landscape Trees '!A115</f>
        <v>Ginkgo biloba 'Windover Gold'</v>
      </c>
      <c r="B259" s="23" t="str">
        <f ca="1">'Landscape Trees '!C115</f>
        <v>Windover Gold Ginkgo</v>
      </c>
      <c r="C259" s="23" t="str">
        <f ca="1">'Landscape Trees '!D115</f>
        <v>#25</v>
      </c>
      <c r="D259" s="24" t="str">
        <f ca="1">'Landscape Trees '!E115</f>
        <v>1.5-1.5"</v>
      </c>
      <c r="E259" s="23" t="str">
        <f ca="1">'Landscape Trees '!F115</f>
        <v>10-11'</v>
      </c>
      <c r="F259" s="25">
        <f ca="1">'Landscape Trees '!G115</f>
        <v>3</v>
      </c>
      <c r="G259" s="23">
        <f ca="1">'Landscape Trees '!H115</f>
        <v>0</v>
      </c>
      <c r="H259" s="26">
        <f ca="1">'Landscape Trees '!I115</f>
        <v>135</v>
      </c>
      <c r="I259" s="23" t="str">
        <f t="shared" ca="1" si="2"/>
        <v>Windover Gold Ginkgo #25-2020</v>
      </c>
      <c r="J259" s="10"/>
      <c r="K259" s="26">
        <f t="shared" ca="1" si="3"/>
        <v>0</v>
      </c>
    </row>
    <row r="260" spans="1:11" ht="12.75">
      <c r="A260" s="23" t="str">
        <f ca="1">'Landscape Trees '!A116</f>
        <v>Gledistia triacanthos 'Sunset Gold'</v>
      </c>
      <c r="B260" s="23" t="str">
        <f ca="1">'Landscape Trees '!C116</f>
        <v>Sunset Gold Honeylocust</v>
      </c>
      <c r="C260" s="23" t="str">
        <f ca="1">'Landscape Trees '!D116</f>
        <v>#15</v>
      </c>
      <c r="D260" s="24" t="str">
        <f ca="1">'Landscape Trees '!E116</f>
        <v>1.25-1.5"</v>
      </c>
      <c r="E260" s="23" t="str">
        <f ca="1">'Landscape Trees '!F116</f>
        <v>8-10'</v>
      </c>
      <c r="F260" s="25">
        <f ca="1">'Landscape Trees '!G116</f>
        <v>8</v>
      </c>
      <c r="G260" s="23">
        <f ca="1">'Landscape Trees '!H116</f>
        <v>0</v>
      </c>
      <c r="H260" s="26">
        <f ca="1">'Landscape Trees '!I116</f>
        <v>110</v>
      </c>
      <c r="I260" s="23" t="str">
        <f t="shared" ca="1" si="2"/>
        <v>Sunset Gold Honeylocust #15-2020</v>
      </c>
      <c r="J260" s="10"/>
      <c r="K260" s="26">
        <f t="shared" ca="1" si="3"/>
        <v>0</v>
      </c>
    </row>
    <row r="261" spans="1:11" ht="12.75">
      <c r="A261" s="23" t="str">
        <f ca="1">'Landscape Trees '!A117</f>
        <v>Gledistia triacanthos 'Sunset Gold'</v>
      </c>
      <c r="B261" s="23" t="str">
        <f ca="1">'Landscape Trees '!C117</f>
        <v>Sunset Gold Honeylocust</v>
      </c>
      <c r="C261" s="23" t="str">
        <f ca="1">'Landscape Trees '!D117</f>
        <v>#25</v>
      </c>
      <c r="D261" s="24" t="str">
        <f ca="1">'Landscape Trees '!E117</f>
        <v>1.25-1.25"</v>
      </c>
      <c r="E261" s="23" t="str">
        <f ca="1">'Landscape Trees '!F117</f>
        <v>10-10'</v>
      </c>
      <c r="F261" s="25">
        <f ca="1">'Landscape Trees '!G117</f>
        <v>1</v>
      </c>
      <c r="G261" s="23">
        <f ca="1">'Landscape Trees '!H117</f>
        <v>0</v>
      </c>
      <c r="H261" s="26">
        <f ca="1">'Landscape Trees '!I117</f>
        <v>135</v>
      </c>
      <c r="I261" s="23" t="str">
        <f t="shared" ca="1" si="2"/>
        <v>Sunset Gold Honeylocust #25-2020</v>
      </c>
      <c r="J261" s="10"/>
      <c r="K261" s="26">
        <f t="shared" ca="1" si="3"/>
        <v>0</v>
      </c>
    </row>
    <row r="262" spans="1:11" ht="12.75">
      <c r="A262" s="23" t="str">
        <f ca="1">'Landscape Trees '!A118</f>
        <v>Gleditsia triacanthos 'Shademaster'</v>
      </c>
      <c r="B262" s="23" t="str">
        <f ca="1">'Landscape Trees '!C118</f>
        <v>Shademaster Honeylocust</v>
      </c>
      <c r="C262" s="23" t="str">
        <f ca="1">'Landscape Trees '!D118</f>
        <v>#15</v>
      </c>
      <c r="D262" s="24" t="str">
        <f ca="1">'Landscape Trees '!E118</f>
        <v>1.25-1.5"</v>
      </c>
      <c r="E262" s="23" t="str">
        <f ca="1">'Landscape Trees '!F118</f>
        <v>10-11'</v>
      </c>
      <c r="F262" s="25">
        <f ca="1">'Landscape Trees '!G118</f>
        <v>8</v>
      </c>
      <c r="G262" s="23">
        <f ca="1">'Landscape Trees '!H118</f>
        <v>15</v>
      </c>
      <c r="H262" s="26">
        <f ca="1">'Landscape Trees '!I118</f>
        <v>110</v>
      </c>
      <c r="I262" s="23" t="str">
        <f t="shared" ca="1" si="2"/>
        <v>Shademaster Honeylocust #15-2020</v>
      </c>
      <c r="J262" s="10"/>
      <c r="K262" s="26">
        <f t="shared" ca="1" si="3"/>
        <v>0</v>
      </c>
    </row>
    <row r="263" spans="1:11" ht="12.75">
      <c r="A263" s="23" t="str">
        <f ca="1">'Landscape Trees '!A119</f>
        <v>Gleditsia triacanthos 'Shademaster'</v>
      </c>
      <c r="B263" s="23" t="str">
        <f ca="1">'Landscape Trees '!C119</f>
        <v>Shademaster Honeylocust</v>
      </c>
      <c r="C263" s="23" t="str">
        <f ca="1">'Landscape Trees '!D119</f>
        <v>#25</v>
      </c>
      <c r="D263" s="24" t="str">
        <f ca="1">'Landscape Trees '!E119</f>
        <v>1.25-1.5"</v>
      </c>
      <c r="E263" s="23" t="str">
        <f ca="1">'Landscape Trees '!F119</f>
        <v>10-11'</v>
      </c>
      <c r="F263" s="25">
        <f ca="1">'Landscape Trees '!G119</f>
        <v>3</v>
      </c>
      <c r="G263" s="23">
        <f ca="1">'Landscape Trees '!H119</f>
        <v>0</v>
      </c>
      <c r="H263" s="26">
        <f ca="1">'Landscape Trees '!I119</f>
        <v>135</v>
      </c>
      <c r="I263" s="23" t="str">
        <f t="shared" ca="1" si="2"/>
        <v>Shademaster Honeylocust #25-2020</v>
      </c>
      <c r="J263" s="10"/>
      <c r="K263" s="26">
        <f t="shared" ca="1" si="3"/>
        <v>0</v>
      </c>
    </row>
    <row r="264" spans="1:11" ht="12.75">
      <c r="A264" s="23" t="str">
        <f ca="1">'Landscape Trees '!A120</f>
        <v>Gleditsia triacanthos 'Skyline'</v>
      </c>
      <c r="B264" s="23" t="str">
        <f ca="1">'Landscape Trees '!C120</f>
        <v>Skyline Honeylocust</v>
      </c>
      <c r="C264" s="23" t="str">
        <f ca="1">'Landscape Trees '!D120</f>
        <v>#15</v>
      </c>
      <c r="D264" s="24" t="str">
        <f ca="1">'Landscape Trees '!E120</f>
        <v>1-1"</v>
      </c>
      <c r="E264" s="23" t="str">
        <f ca="1">'Landscape Trees '!F120</f>
        <v>8-9'</v>
      </c>
      <c r="F264" s="25">
        <f ca="1">'Landscape Trees '!G120</f>
        <v>0</v>
      </c>
      <c r="G264" s="23">
        <f ca="1">'Landscape Trees '!H120</f>
        <v>15</v>
      </c>
      <c r="H264" s="26">
        <f ca="1">'Landscape Trees '!I120</f>
        <v>110</v>
      </c>
      <c r="I264" s="23" t="str">
        <f t="shared" ca="1" si="2"/>
        <v>Skyline Honeylocust #15-2020</v>
      </c>
      <c r="J264" s="10"/>
      <c r="K264" s="26">
        <f t="shared" ca="1" si="3"/>
        <v>0</v>
      </c>
    </row>
    <row r="265" spans="1:11" ht="12.75">
      <c r="A265" s="23" t="str">
        <f ca="1">'Landscape Trees '!A121</f>
        <v>Gleditsia triacanthos 'Skyline'</v>
      </c>
      <c r="B265" s="23" t="str">
        <f ca="1">'Landscape Trees '!C121</f>
        <v>Skyline Honeylocust</v>
      </c>
      <c r="C265" s="23" t="str">
        <f ca="1">'Landscape Trees '!D121</f>
        <v>#25</v>
      </c>
      <c r="D265" s="24" t="str">
        <f ca="1">'Landscape Trees '!E121</f>
        <v>0-1.5"</v>
      </c>
      <c r="E265" s="23" t="str">
        <f ca="1">'Landscape Trees '!F121</f>
        <v>0-10'</v>
      </c>
      <c r="F265" s="25">
        <f ca="1">'Landscape Trees '!G121</f>
        <v>0</v>
      </c>
      <c r="G265" s="23">
        <f ca="1">'Landscape Trees '!H121</f>
        <v>5</v>
      </c>
      <c r="H265" s="26">
        <f ca="1">'Landscape Trees '!I121</f>
        <v>135</v>
      </c>
      <c r="I265" s="23" t="str">
        <f t="shared" ca="1" si="2"/>
        <v>Skyline Honeylocust #25-2020</v>
      </c>
      <c r="J265" s="10"/>
      <c r="K265" s="26">
        <f t="shared" ca="1" si="3"/>
        <v>0</v>
      </c>
    </row>
    <row r="266" spans="1:11" ht="12.75">
      <c r="A266" s="23" t="str">
        <f ca="1">'Landscape Trees '!A122</f>
        <v>Gymnocladus dioicus</v>
      </c>
      <c r="B266" s="23" t="str">
        <f ca="1">'Landscape Trees '!C122</f>
        <v>Kentucky Coffeetree</v>
      </c>
      <c r="C266" s="23" t="str">
        <f ca="1">'Landscape Trees '!D122</f>
        <v>#5</v>
      </c>
      <c r="D266" s="24" t="str">
        <f ca="1">'Landscape Trees '!E122</f>
        <v>0.25-0.75"</v>
      </c>
      <c r="E266" s="23" t="str">
        <f ca="1">'Landscape Trees '!F122</f>
        <v>1-5'</v>
      </c>
      <c r="F266" s="25">
        <f ca="1">'Landscape Trees '!G122</f>
        <v>180</v>
      </c>
      <c r="G266" s="23">
        <f ca="1">'Landscape Trees '!H122</f>
        <v>50</v>
      </c>
      <c r="H266" s="26">
        <f ca="1">'Landscape Trees '!I122</f>
        <v>35</v>
      </c>
      <c r="I266" s="23" t="str">
        <f t="shared" ca="1" si="2"/>
        <v>Kentucky Coffeetree #5-2020</v>
      </c>
      <c r="J266" s="10"/>
      <c r="K266" s="26">
        <f t="shared" ca="1" si="3"/>
        <v>0</v>
      </c>
    </row>
    <row r="267" spans="1:11" ht="12.75">
      <c r="A267" s="23" t="str">
        <f ca="1">'Landscape Trees '!A123</f>
        <v>Gymnocladus dioicus</v>
      </c>
      <c r="B267" s="23" t="str">
        <f ca="1">'Landscape Trees '!C123</f>
        <v>Kentucky Coffeetree</v>
      </c>
      <c r="C267" s="23" t="str">
        <f ca="1">'Landscape Trees '!D123</f>
        <v>#15</v>
      </c>
      <c r="D267" s="24" t="str">
        <f ca="1">'Landscape Trees '!E123</f>
        <v>0.75-1"</v>
      </c>
      <c r="E267" s="23" t="str">
        <f ca="1">'Landscape Trees '!F123</f>
        <v>8-9'</v>
      </c>
      <c r="F267" s="25">
        <f ca="1">'Landscape Trees '!G123</f>
        <v>0</v>
      </c>
      <c r="G267" s="23">
        <f ca="1">'Landscape Trees '!H123</f>
        <v>10</v>
      </c>
      <c r="H267" s="26">
        <f ca="1">'Landscape Trees '!I123</f>
        <v>110</v>
      </c>
      <c r="I267" s="23" t="str">
        <f t="shared" ca="1" si="2"/>
        <v>Kentucky Coffeetree #15-2020</v>
      </c>
      <c r="J267" s="10"/>
      <c r="K267" s="26">
        <f t="shared" ca="1" si="3"/>
        <v>0</v>
      </c>
    </row>
    <row r="268" spans="1:11" ht="12.75">
      <c r="A268" s="23" t="str">
        <f ca="1">'Landscape Trees '!A124</f>
        <v>Gymnocladus dioicus 'Espresso'</v>
      </c>
      <c r="B268" s="23" t="str">
        <f ca="1">'Landscape Trees '!C124</f>
        <v>Espresso Kentucky Coffeetree</v>
      </c>
      <c r="C268" s="23" t="str">
        <f ca="1">'Landscape Trees '!D124</f>
        <v>#15</v>
      </c>
      <c r="D268" s="24" t="str">
        <f ca="1">'Landscape Trees '!E124</f>
        <v>1-1"</v>
      </c>
      <c r="E268" s="23" t="str">
        <f ca="1">'Landscape Trees '!F124</f>
        <v>7-10'</v>
      </c>
      <c r="F268" s="25">
        <f ca="1">'Landscape Trees '!G124</f>
        <v>5</v>
      </c>
      <c r="G268" s="23">
        <f ca="1">'Landscape Trees '!H124</f>
        <v>0</v>
      </c>
      <c r="H268" s="26">
        <f ca="1">'Landscape Trees '!I124</f>
        <v>110</v>
      </c>
      <c r="I268" s="23" t="str">
        <f t="shared" ca="1" si="2"/>
        <v>Espresso Kentucky Coffeetree #15-2020</v>
      </c>
      <c r="J268" s="10"/>
      <c r="K268" s="26">
        <f t="shared" ca="1" si="3"/>
        <v>0</v>
      </c>
    </row>
    <row r="269" spans="1:11" ht="12.75">
      <c r="A269" s="23" t="str">
        <f ca="1">'Landscape Trees '!A125</f>
        <v>Gymnocladus dioicus 'Espresso'</v>
      </c>
      <c r="B269" s="23" t="str">
        <f ca="1">'Landscape Trees '!C125</f>
        <v>Espresso Kentucky Coffeetree</v>
      </c>
      <c r="C269" s="23" t="str">
        <f ca="1">'Landscape Trees '!D125</f>
        <v>#25</v>
      </c>
      <c r="D269" s="24" t="str">
        <f ca="1">'Landscape Trees '!E125</f>
        <v>1-1"</v>
      </c>
      <c r="E269" s="23" t="str">
        <f ca="1">'Landscape Trees '!F125</f>
        <v>7-10'</v>
      </c>
      <c r="F269" s="25">
        <f ca="1">'Landscape Trees '!G125</f>
        <v>4</v>
      </c>
      <c r="G269" s="23">
        <f ca="1">'Landscape Trees '!H125</f>
        <v>0</v>
      </c>
      <c r="H269" s="26">
        <f ca="1">'Landscape Trees '!I125</f>
        <v>135</v>
      </c>
      <c r="I269" s="23" t="str">
        <f t="shared" ca="1" si="2"/>
        <v>Espresso Kentucky Coffeetree #25-2020</v>
      </c>
      <c r="J269" s="10"/>
      <c r="K269" s="26">
        <f t="shared" ca="1" si="3"/>
        <v>0</v>
      </c>
    </row>
    <row r="270" spans="1:11" ht="12.75">
      <c r="A270" s="23" t="str">
        <f ca="1">'Landscape Trees '!A126</f>
        <v>Hamamelis virginiana</v>
      </c>
      <c r="B270" s="23" t="str">
        <f ca="1">'Landscape Trees '!C126</f>
        <v>Witch Hazel</v>
      </c>
      <c r="C270" s="23" t="str">
        <f ca="1">'Landscape Trees '!D126</f>
        <v>#5</v>
      </c>
      <c r="D270" s="27" t="str">
        <f ca="1">'Landscape Trees '!E126</f>
        <v>Multi</v>
      </c>
      <c r="E270" s="23" t="str">
        <f ca="1">'Landscape Trees '!F126</f>
        <v>1-4.5'</v>
      </c>
      <c r="F270" s="25">
        <f ca="1">'Landscape Trees '!G126</f>
        <v>120</v>
      </c>
      <c r="G270" s="23">
        <f ca="1">'Landscape Trees '!H126</f>
        <v>200</v>
      </c>
      <c r="H270" s="26">
        <f ca="1">'Landscape Trees '!I126</f>
        <v>35</v>
      </c>
      <c r="I270" s="23" t="str">
        <f t="shared" ca="1" si="2"/>
        <v>Witch Hazel #5-2020</v>
      </c>
      <c r="J270" s="10"/>
      <c r="K270" s="26">
        <f t="shared" ca="1" si="3"/>
        <v>0</v>
      </c>
    </row>
    <row r="271" spans="1:11" ht="12.75">
      <c r="A271" s="23" t="str">
        <f ca="1">'Landscape Trees '!A127</f>
        <v>Hamamelis x 'Diane'</v>
      </c>
      <c r="B271" s="23" t="str">
        <f ca="1">'Landscape Trees '!C127</f>
        <v>Diane Witch Hazel</v>
      </c>
      <c r="C271" s="23" t="str">
        <f ca="1">'Landscape Trees '!D127</f>
        <v>#5</v>
      </c>
      <c r="D271" s="24" t="str">
        <f ca="1">'Landscape Trees '!E127</f>
        <v>Multi</v>
      </c>
      <c r="E271" s="23" t="str">
        <f ca="1">'Landscape Trees '!F127</f>
        <v>1-2'</v>
      </c>
      <c r="F271" s="25">
        <f ca="1">'Landscape Trees '!G127</f>
        <v>1</v>
      </c>
      <c r="G271" s="23">
        <f ca="1">'Landscape Trees '!H127</f>
        <v>10</v>
      </c>
      <c r="H271" s="26">
        <f ca="1">'Landscape Trees '!I127</f>
        <v>35</v>
      </c>
      <c r="I271" s="23" t="str">
        <f t="shared" ca="1" si="2"/>
        <v>Diane Witch Hazel #5-2020</v>
      </c>
      <c r="J271" s="10"/>
      <c r="K271" s="26">
        <f t="shared" ca="1" si="3"/>
        <v>0</v>
      </c>
    </row>
    <row r="272" spans="1:11" ht="12.75">
      <c r="A272" s="23" t="str">
        <f ca="1">'Landscape Trees '!A128</f>
        <v>Hydrangea qu. 'Ruby slippers'</v>
      </c>
      <c r="B272" s="23" t="str">
        <f ca="1">'Landscape Trees '!C128</f>
        <v>Ruby Slippers Oakleaf Hydrangea</v>
      </c>
      <c r="C272" s="23" t="str">
        <f ca="1">'Landscape Trees '!D128</f>
        <v>#5</v>
      </c>
      <c r="D272" s="24" t="str">
        <f ca="1">'Landscape Trees '!E128</f>
        <v>Multi</v>
      </c>
      <c r="E272" s="23" t="str">
        <f ca="1">'Landscape Trees '!F128</f>
        <v>1-3'</v>
      </c>
      <c r="F272" s="25">
        <f ca="1">'Landscape Trees '!G128</f>
        <v>9</v>
      </c>
      <c r="G272" s="23">
        <f ca="1">'Landscape Trees '!H128</f>
        <v>100</v>
      </c>
      <c r="H272" s="26">
        <f ca="1">'Landscape Trees '!I128</f>
        <v>30</v>
      </c>
      <c r="I272" s="23" t="str">
        <f t="shared" ca="1" si="2"/>
        <v>Ruby Slippers Oakleaf Hydrangea #5-2020</v>
      </c>
      <c r="J272" s="10"/>
      <c r="K272" s="26">
        <f t="shared" ca="1" si="3"/>
        <v>0</v>
      </c>
    </row>
    <row r="273" spans="1:11" ht="12.75">
      <c r="A273" s="23" t="str">
        <f ca="1">'Landscape Trees '!A129</f>
        <v>Hydrangea que. 'Munchkin'</v>
      </c>
      <c r="B273" s="23" t="str">
        <f ca="1">'Landscape Trees '!C129</f>
        <v>Munchkin Oakleaf Hydrangea</v>
      </c>
      <c r="C273" s="23" t="str">
        <f ca="1">'Landscape Trees '!D129</f>
        <v>#5</v>
      </c>
      <c r="D273" s="24" t="str">
        <f ca="1">'Landscape Trees '!E129</f>
        <v>Multi</v>
      </c>
      <c r="E273" s="23" t="str">
        <f ca="1">'Landscape Trees '!F129</f>
        <v>1-1'</v>
      </c>
      <c r="F273" s="25">
        <f ca="1">'Landscape Trees '!G129</f>
        <v>2</v>
      </c>
      <c r="G273" s="23">
        <f ca="1">'Landscape Trees '!H129</f>
        <v>0</v>
      </c>
      <c r="H273" s="26">
        <f ca="1">'Landscape Trees '!I129</f>
        <v>30</v>
      </c>
      <c r="I273" s="23" t="str">
        <f t="shared" ca="1" si="2"/>
        <v>Munchkin Oakleaf Hydrangea #5-2020</v>
      </c>
      <c r="J273" s="10"/>
      <c r="K273" s="26">
        <f t="shared" ca="1" si="3"/>
        <v>0</v>
      </c>
    </row>
    <row r="274" spans="1:11" ht="12.75">
      <c r="A274" s="23" t="str">
        <f ca="1">'Landscape Trees '!A130</f>
        <v>Hydrangea que. 'Pee Wee'</v>
      </c>
      <c r="B274" s="23" t="str">
        <f ca="1">'Landscape Trees '!C130</f>
        <v>Pee Wee Oakleaf Hydrangea</v>
      </c>
      <c r="C274" s="23" t="str">
        <f ca="1">'Landscape Trees '!D130</f>
        <v>#5</v>
      </c>
      <c r="D274" s="27" t="str">
        <f ca="1">'Landscape Trees '!E130</f>
        <v>Multi</v>
      </c>
      <c r="E274" s="23" t="str">
        <f ca="1">'Landscape Trees '!F130</f>
        <v>1-2'</v>
      </c>
      <c r="F274" s="25">
        <f ca="1">'Landscape Trees '!G130</f>
        <v>26</v>
      </c>
      <c r="G274" s="23">
        <f ca="1">'Landscape Trees '!H130</f>
        <v>50</v>
      </c>
      <c r="H274" s="26">
        <f ca="1">'Landscape Trees '!I130</f>
        <v>30</v>
      </c>
      <c r="I274" s="23" t="str">
        <f t="shared" ca="1" si="2"/>
        <v>Pee Wee Oakleaf Hydrangea #5-2020</v>
      </c>
      <c r="J274" s="10"/>
      <c r="K274" s="26">
        <f t="shared" ca="1" si="3"/>
        <v>0</v>
      </c>
    </row>
    <row r="275" spans="1:11" ht="12.75">
      <c r="A275" s="23" t="str">
        <f ca="1">'Landscape Trees '!A131</f>
        <v>Hydrangea que. 'Snow Queen'</v>
      </c>
      <c r="B275" s="23" t="str">
        <f ca="1">'Landscape Trees '!C131</f>
        <v>Snow Queen Oakleaf Hydrangea</v>
      </c>
      <c r="C275" s="23" t="str">
        <f ca="1">'Landscape Trees '!D131</f>
        <v>#5</v>
      </c>
      <c r="D275" s="24" t="str">
        <f ca="1">'Landscape Trees '!E131</f>
        <v>Multi</v>
      </c>
      <c r="E275" s="23" t="str">
        <f ca="1">'Landscape Trees '!F131</f>
        <v>2-3'</v>
      </c>
      <c r="F275" s="25">
        <f ca="1">'Landscape Trees '!G131</f>
        <v>43</v>
      </c>
      <c r="G275" s="23">
        <f ca="1">'Landscape Trees '!H131</f>
        <v>50</v>
      </c>
      <c r="H275" s="26">
        <f ca="1">'Landscape Trees '!I131</f>
        <v>30</v>
      </c>
      <c r="I275" s="23" t="str">
        <f t="shared" ca="1" si="2"/>
        <v>Snow Queen Oakleaf Hydrangea #5-2020</v>
      </c>
      <c r="J275" s="10"/>
      <c r="K275" s="26">
        <f t="shared" ca="1" si="3"/>
        <v>0</v>
      </c>
    </row>
    <row r="276" spans="1:11" ht="12.75">
      <c r="A276" s="23" t="str">
        <f ca="1">'Landscape Trees '!A132</f>
        <v>Hydrangea quercifolia 'Alice'</v>
      </c>
      <c r="B276" s="23" t="str">
        <f ca="1">'Landscape Trees '!C132</f>
        <v>Alice Oakleaf Hydrangea</v>
      </c>
      <c r="C276" s="23" t="str">
        <f ca="1">'Landscape Trees '!D132</f>
        <v>#5</v>
      </c>
      <c r="D276" s="27" t="str">
        <f ca="1">'Landscape Trees '!E132</f>
        <v>Multi</v>
      </c>
      <c r="E276" s="23" t="str">
        <f ca="1">'Landscape Trees '!F132</f>
        <v>1-2'</v>
      </c>
      <c r="F276" s="25">
        <f ca="1">'Landscape Trees '!G132</f>
        <v>3</v>
      </c>
      <c r="G276" s="23">
        <f ca="1">'Landscape Trees '!H132</f>
        <v>0</v>
      </c>
      <c r="H276" s="26">
        <f ca="1">'Landscape Trees '!I132</f>
        <v>30</v>
      </c>
      <c r="I276" s="23" t="str">
        <f t="shared" ca="1" si="2"/>
        <v>Alice Oakleaf Hydrangea #5-2020</v>
      </c>
      <c r="J276" s="10"/>
      <c r="K276" s="26">
        <f t="shared" ca="1" si="3"/>
        <v>0</v>
      </c>
    </row>
    <row r="277" spans="1:11" ht="12.75">
      <c r="A277" s="23" t="str">
        <f ca="1">'Landscape Trees '!A133</f>
        <v>Hypericum calycinum 'Fiesta'</v>
      </c>
      <c r="B277" s="23" t="str">
        <f ca="1">'Landscape Trees '!C133</f>
        <v>Fiesta St. John's wort</v>
      </c>
      <c r="C277" s="23" t="str">
        <f ca="1">'Landscape Trees '!D133</f>
        <v>#5</v>
      </c>
      <c r="D277" s="27" t="str">
        <f ca="1">'Landscape Trees '!E133</f>
        <v>Multi</v>
      </c>
      <c r="E277" s="23" t="str">
        <f ca="1">'Landscape Trees '!F133</f>
        <v>0.5-1'</v>
      </c>
      <c r="F277" s="25">
        <f ca="1">'Landscape Trees '!G133</f>
        <v>4</v>
      </c>
      <c r="G277" s="23">
        <f ca="1">'Landscape Trees '!H133</f>
        <v>0</v>
      </c>
      <c r="H277" s="26">
        <f ca="1">'Landscape Trees '!I133</f>
        <v>30</v>
      </c>
      <c r="I277" s="23" t="str">
        <f t="shared" ca="1" si="2"/>
        <v>Fiesta St. John's wort #5-2020</v>
      </c>
      <c r="J277" s="10"/>
      <c r="K277" s="26">
        <f t="shared" ca="1" si="3"/>
        <v>0</v>
      </c>
    </row>
    <row r="278" spans="1:11" ht="12.75">
      <c r="A278" s="23" t="str">
        <f ca="1">'Landscape Trees '!A134</f>
        <v>Ilex opaca</v>
      </c>
      <c r="B278" s="23" t="str">
        <f ca="1">'Landscape Trees '!C134</f>
        <v>Satyr Hill American Holly</v>
      </c>
      <c r="C278" s="23" t="str">
        <f ca="1">'Landscape Trees '!D134</f>
        <v>#7</v>
      </c>
      <c r="D278" s="24" t="str">
        <f ca="1">'Landscape Trees '!E134</f>
        <v>1-1"</v>
      </c>
      <c r="E278" s="23" t="str">
        <f ca="1">'Landscape Trees '!F134</f>
        <v>7-7'</v>
      </c>
      <c r="F278" s="25">
        <f ca="1">'Landscape Trees '!G134</f>
        <v>1</v>
      </c>
      <c r="G278" s="23">
        <f ca="1">'Landscape Trees '!H134</f>
        <v>0</v>
      </c>
      <c r="H278" s="26">
        <f ca="1">'Landscape Trees '!I134</f>
        <v>85</v>
      </c>
      <c r="I278" s="23" t="str">
        <f t="shared" ca="1" si="2"/>
        <v>Satyr Hill American Holly #7-2020</v>
      </c>
      <c r="J278" s="10"/>
      <c r="K278" s="26">
        <f t="shared" ca="1" si="3"/>
        <v>0</v>
      </c>
    </row>
    <row r="279" spans="1:11" ht="12.75">
      <c r="A279" s="23" t="str">
        <f ca="1">'Landscape Trees '!A135</f>
        <v>Ilex verticillata 'Southern Gentleman'</v>
      </c>
      <c r="B279" s="23" t="str">
        <f ca="1">'Landscape Trees '!C135</f>
        <v>Southern Gentleman Winterberry Holly</v>
      </c>
      <c r="C279" s="23" t="str">
        <f ca="1">'Landscape Trees '!D135</f>
        <v>#5</v>
      </c>
      <c r="D279" s="24" t="str">
        <f ca="1">'Landscape Trees '!E135</f>
        <v>Multi</v>
      </c>
      <c r="E279" s="23" t="str">
        <f ca="1">'Landscape Trees '!F135</f>
        <v>1-2'</v>
      </c>
      <c r="F279" s="25">
        <f ca="1">'Landscape Trees '!G135</f>
        <v>0</v>
      </c>
      <c r="G279" s="23">
        <f ca="1">'Landscape Trees '!H135</f>
        <v>50</v>
      </c>
      <c r="H279" s="26">
        <f ca="1">'Landscape Trees '!I135</f>
        <v>30</v>
      </c>
      <c r="I279" s="23" t="str">
        <f t="shared" ca="1" si="2"/>
        <v>Southern Gentleman Winterberry Holly #5-2020</v>
      </c>
      <c r="J279" s="10"/>
      <c r="K279" s="26">
        <f t="shared" ca="1" si="3"/>
        <v>0</v>
      </c>
    </row>
    <row r="280" spans="1:11" ht="12.75">
      <c r="A280" s="23" t="str">
        <f ca="1">'Landscape Trees '!A136</f>
        <v>Ilex verticillata 'Winter Gold'</v>
      </c>
      <c r="B280" s="23" t="str">
        <f ca="1">'Landscape Trees '!C136</f>
        <v>Winter Gold Holly</v>
      </c>
      <c r="C280" s="23" t="str">
        <f ca="1">'Landscape Trees '!D136</f>
        <v>#2</v>
      </c>
      <c r="D280" s="27" t="str">
        <f ca="1">'Landscape Trees '!E136</f>
        <v>Multi</v>
      </c>
      <c r="E280" s="23" t="str">
        <f ca="1">'Landscape Trees '!F136</f>
        <v>2-3'</v>
      </c>
      <c r="F280" s="25">
        <f ca="1">'Landscape Trees '!G136</f>
        <v>2</v>
      </c>
      <c r="G280" s="23">
        <f ca="1">'Landscape Trees '!H136</f>
        <v>50</v>
      </c>
      <c r="H280" s="26">
        <f ca="1">'Landscape Trees '!I136</f>
        <v>15</v>
      </c>
      <c r="I280" s="23" t="str">
        <f t="shared" ca="1" si="2"/>
        <v>Winter Gold Holly #2-2020</v>
      </c>
      <c r="J280" s="10"/>
      <c r="K280" s="26">
        <f t="shared" ca="1" si="3"/>
        <v>0</v>
      </c>
    </row>
    <row r="281" spans="1:11" ht="12.75">
      <c r="A281" s="23" t="str">
        <f ca="1">'Landscape Trees '!A137</f>
        <v>Ilex verticillata 'Winter Red'</v>
      </c>
      <c r="B281" s="23" t="str">
        <f ca="1">'Landscape Trees '!C137</f>
        <v>Winter Red Winterberry Holly</v>
      </c>
      <c r="C281" s="23" t="str">
        <f ca="1">'Landscape Trees '!D137</f>
        <v>#5</v>
      </c>
      <c r="D281" s="24" t="str">
        <f ca="1">'Landscape Trees '!E137</f>
        <v>Multi</v>
      </c>
      <c r="E281" s="23" t="str">
        <f ca="1">'Landscape Trees '!F137</f>
        <v>2-2'</v>
      </c>
      <c r="F281" s="25">
        <f ca="1">'Landscape Trees '!G137</f>
        <v>17</v>
      </c>
      <c r="G281" s="23">
        <f ca="1">'Landscape Trees '!H137</f>
        <v>100</v>
      </c>
      <c r="H281" s="26">
        <f ca="1">'Landscape Trees '!I137</f>
        <v>30</v>
      </c>
      <c r="I281" s="23" t="str">
        <f t="shared" ca="1" si="2"/>
        <v>Winter Red Winterberry Holly #5-2020</v>
      </c>
      <c r="J281" s="10"/>
      <c r="K281" s="26">
        <f t="shared" ca="1" si="3"/>
        <v>0</v>
      </c>
    </row>
    <row r="282" spans="1:11" ht="12.75">
      <c r="A282" s="23" t="str">
        <f ca="1">'Landscape Trees '!A138</f>
        <v>Juglans cinerea</v>
      </c>
      <c r="B282" s="23" t="str">
        <f ca="1">'Landscape Trees '!C138</f>
        <v>Butternut</v>
      </c>
      <c r="C282" s="23" t="str">
        <f ca="1">'Landscape Trees '!D138</f>
        <v>#5</v>
      </c>
      <c r="D282" s="24" t="str">
        <f ca="1">'Landscape Trees '!E138</f>
        <v>0.5-0.75"</v>
      </c>
      <c r="E282" s="23" t="str">
        <f ca="1">'Landscape Trees '!F138</f>
        <v>3-5'</v>
      </c>
      <c r="F282" s="25">
        <f ca="1">'Landscape Trees '!G138</f>
        <v>62</v>
      </c>
      <c r="G282" s="23">
        <f ca="1">'Landscape Trees '!H138</f>
        <v>0</v>
      </c>
      <c r="H282" s="26">
        <f ca="1">'Landscape Trees '!I138</f>
        <v>35</v>
      </c>
      <c r="I282" s="23" t="str">
        <f t="shared" ca="1" si="2"/>
        <v>Butternut #5-2020</v>
      </c>
      <c r="J282" s="10"/>
      <c r="K282" s="26">
        <f t="shared" ca="1" si="3"/>
        <v>0</v>
      </c>
    </row>
    <row r="283" spans="1:11" ht="12.75">
      <c r="A283" s="23" t="str">
        <f ca="1">'Landscape Trees '!A139</f>
        <v>Juglans nigra</v>
      </c>
      <c r="B283" s="23" t="str">
        <f ca="1">'Landscape Trees '!C139</f>
        <v>Black Walnut</v>
      </c>
      <c r="C283" s="23" t="str">
        <f ca="1">'Landscape Trees '!D139</f>
        <v>#15</v>
      </c>
      <c r="D283" s="24" t="str">
        <f ca="1">'Landscape Trees '!E139</f>
        <v>1.25-1.75"</v>
      </c>
      <c r="E283" s="23" t="str">
        <f ca="1">'Landscape Trees '!F139</f>
        <v>8-9'</v>
      </c>
      <c r="F283" s="25">
        <f ca="1">'Landscape Trees '!G139</f>
        <v>2</v>
      </c>
      <c r="G283" s="23">
        <f ca="1">'Landscape Trees '!H139</f>
        <v>0</v>
      </c>
      <c r="H283" s="26">
        <f ca="1">'Landscape Trees '!I139</f>
        <v>110</v>
      </c>
      <c r="I283" s="23" t="str">
        <f t="shared" ca="1" si="2"/>
        <v>Black Walnut #15-2020</v>
      </c>
      <c r="J283" s="10"/>
      <c r="K283" s="26">
        <f t="shared" ca="1" si="3"/>
        <v>0</v>
      </c>
    </row>
    <row r="284" spans="1:11" ht="12.75">
      <c r="A284" s="23" t="str">
        <f ca="1">'Landscape Trees '!A140</f>
        <v>Koelreuteria paniculata</v>
      </c>
      <c r="B284" s="23" t="str">
        <f ca="1">'Landscape Trees '!C140</f>
        <v>Golden Rain Tree</v>
      </c>
      <c r="C284" s="23" t="str">
        <f ca="1">'Landscape Trees '!D140</f>
        <v>#5</v>
      </c>
      <c r="D284" s="24" t="str">
        <f ca="1">'Landscape Trees '!E140</f>
        <v>0.75-1"</v>
      </c>
      <c r="E284" s="23" t="str">
        <f ca="1">'Landscape Trees '!F140</f>
        <v>6-9'</v>
      </c>
      <c r="F284" s="25">
        <f ca="1">'Landscape Trees '!G140</f>
        <v>16</v>
      </c>
      <c r="G284" s="23">
        <f ca="1">'Landscape Trees '!H140</f>
        <v>0</v>
      </c>
      <c r="H284" s="26">
        <f ca="1">'Landscape Trees '!I140</f>
        <v>35</v>
      </c>
      <c r="I284" s="23" t="str">
        <f t="shared" ca="1" si="2"/>
        <v>Golden Rain Tree #5-2020</v>
      </c>
      <c r="J284" s="10"/>
      <c r="K284" s="26">
        <f t="shared" ca="1" si="3"/>
        <v>0</v>
      </c>
    </row>
    <row r="285" spans="1:11" ht="12.75">
      <c r="A285" s="23" t="str">
        <f ca="1">'Landscape Trees '!A141</f>
        <v>Laburnum anagyroides</v>
      </c>
      <c r="B285" s="23" t="str">
        <f ca="1">'Landscape Trees '!C141</f>
        <v>Golden Chain Tree</v>
      </c>
      <c r="C285" s="23" t="str">
        <f ca="1">'Landscape Trees '!D141</f>
        <v>#5</v>
      </c>
      <c r="D285" s="27" t="str">
        <f ca="1">'Landscape Trees '!E141</f>
        <v>Multi</v>
      </c>
      <c r="E285" s="23" t="str">
        <f ca="1">'Landscape Trees '!F141</f>
        <v>2-7'</v>
      </c>
      <c r="F285" s="25">
        <f ca="1">'Landscape Trees '!G141</f>
        <v>36</v>
      </c>
      <c r="G285" s="23">
        <f ca="1">'Landscape Trees '!H141</f>
        <v>0</v>
      </c>
      <c r="H285" s="26">
        <f ca="1">'Landscape Trees '!I141</f>
        <v>40</v>
      </c>
      <c r="I285" s="23" t="str">
        <f t="shared" ca="1" si="2"/>
        <v>Golden Chain Tree #5-2020</v>
      </c>
      <c r="J285" s="10"/>
      <c r="K285" s="26">
        <f t="shared" ca="1" si="3"/>
        <v>0</v>
      </c>
    </row>
    <row r="286" spans="1:11" ht="12.75">
      <c r="A286" s="23" t="str">
        <f ca="1">'Landscape Trees '!A142</f>
        <v>Lindera benzoin</v>
      </c>
      <c r="B286" s="23" t="str">
        <f ca="1">'Landscape Trees '!C142</f>
        <v>Spice Bush</v>
      </c>
      <c r="C286" s="23" t="str">
        <f ca="1">'Landscape Trees '!D142</f>
        <v>#5</v>
      </c>
      <c r="D286" s="24" t="str">
        <f ca="1">'Landscape Trees '!E142</f>
        <v>Multi</v>
      </c>
      <c r="E286" s="23" t="str">
        <f ca="1">'Landscape Trees '!F142</f>
        <v>1-2'</v>
      </c>
      <c r="F286" s="25">
        <f ca="1">'Landscape Trees '!G142</f>
        <v>0</v>
      </c>
      <c r="G286" s="23">
        <f ca="1">'Landscape Trees '!H142</f>
        <v>300</v>
      </c>
      <c r="H286" s="26">
        <f ca="1">'Landscape Trees '!I142</f>
        <v>30</v>
      </c>
      <c r="I286" s="23" t="str">
        <f t="shared" ca="1" si="2"/>
        <v>Spice Bush #5-2020</v>
      </c>
      <c r="J286" s="10"/>
      <c r="K286" s="26">
        <f t="shared" ca="1" si="3"/>
        <v>0</v>
      </c>
    </row>
    <row r="287" spans="1:11" ht="12.75">
      <c r="A287" s="23" t="str">
        <f ca="1">'Landscape Trees '!A143</f>
        <v>Liquidambar styraciflua</v>
      </c>
      <c r="B287" s="23" t="str">
        <f ca="1">'Landscape Trees '!C143</f>
        <v>Sweet Gum</v>
      </c>
      <c r="C287" s="23" t="str">
        <f ca="1">'Landscape Trees '!D143</f>
        <v>#5</v>
      </c>
      <c r="D287" s="24" t="str">
        <f ca="1">'Landscape Trees '!E143</f>
        <v>0.25-1"</v>
      </c>
      <c r="E287" s="23" t="str">
        <f ca="1">'Landscape Trees '!F143</f>
        <v>2-6.5'</v>
      </c>
      <c r="F287" s="25">
        <f ca="1">'Landscape Trees '!G143</f>
        <v>78</v>
      </c>
      <c r="G287" s="23">
        <f ca="1">'Landscape Trees '!H143</f>
        <v>0</v>
      </c>
      <c r="H287" s="26">
        <f ca="1">'Landscape Trees '!I143</f>
        <v>35</v>
      </c>
      <c r="I287" s="23" t="str">
        <f t="shared" ca="1" si="2"/>
        <v>Sweet Gum #5-2020</v>
      </c>
      <c r="J287" s="10"/>
      <c r="K287" s="26">
        <f t="shared" ca="1" si="3"/>
        <v>0</v>
      </c>
    </row>
    <row r="288" spans="1:11" ht="12.75">
      <c r="A288" s="23" t="str">
        <f ca="1">'Landscape Trees '!A144</f>
        <v>Liquidambar styraciflua</v>
      </c>
      <c r="B288" s="23" t="str">
        <f ca="1">'Landscape Trees '!C144</f>
        <v>Sweet Gum</v>
      </c>
      <c r="C288" s="23" t="str">
        <f ca="1">'Landscape Trees '!D144</f>
        <v>#7</v>
      </c>
      <c r="D288" s="24" t="str">
        <f ca="1">'Landscape Trees '!E144</f>
        <v>0.5-0.5"</v>
      </c>
      <c r="E288" s="23" t="str">
        <f ca="1">'Landscape Trees '!F144</f>
        <v>3-4'</v>
      </c>
      <c r="F288" s="25">
        <f ca="1">'Landscape Trees '!G144</f>
        <v>8</v>
      </c>
      <c r="G288" s="23">
        <f ca="1">'Landscape Trees '!H144</f>
        <v>0</v>
      </c>
      <c r="H288" s="26">
        <f ca="1">'Landscape Trees '!I144</f>
        <v>45</v>
      </c>
      <c r="I288" s="23" t="str">
        <f t="shared" ca="1" si="2"/>
        <v>Sweet Gum #7-2020</v>
      </c>
      <c r="J288" s="10"/>
      <c r="K288" s="26">
        <f t="shared" ca="1" si="3"/>
        <v>0</v>
      </c>
    </row>
    <row r="289" spans="1:11" ht="12.75">
      <c r="A289" s="23" t="str">
        <f ca="1">'Landscape Trees '!A145</f>
        <v>Liquidambar styraciflua 'Rotundaloba'</v>
      </c>
      <c r="B289" s="23" t="str">
        <f ca="1">'Landscape Trees '!C145</f>
        <v>Rotundaloba Sweet Gum</v>
      </c>
      <c r="C289" s="23" t="str">
        <f ca="1">'Landscape Trees '!D145</f>
        <v>#7</v>
      </c>
      <c r="D289" s="24" t="str">
        <f ca="1">'Landscape Trees '!E145</f>
        <v>1-1.25"</v>
      </c>
      <c r="E289" s="23" t="str">
        <f ca="1">'Landscape Trees '!F145</f>
        <v>6-8'</v>
      </c>
      <c r="F289" s="25">
        <f ca="1">'Landscape Trees '!G145</f>
        <v>18</v>
      </c>
      <c r="G289" s="23">
        <f ca="1">'Landscape Trees '!H145</f>
        <v>0</v>
      </c>
      <c r="H289" s="26">
        <f ca="1">'Landscape Trees '!I145</f>
        <v>55</v>
      </c>
      <c r="I289" s="23" t="str">
        <f t="shared" ca="1" si="2"/>
        <v>Rotundaloba Sweet Gum #7-2020</v>
      </c>
      <c r="J289" s="10"/>
      <c r="K289" s="26">
        <f t="shared" ca="1" si="3"/>
        <v>0</v>
      </c>
    </row>
    <row r="290" spans="1:11" ht="12.75">
      <c r="A290" s="23" t="str">
        <f ca="1">'Landscape Trees '!A146</f>
        <v>Liquidambar styraciflua 'Slender Silhouette'</v>
      </c>
      <c r="B290" s="23" t="str">
        <f ca="1">'Landscape Trees '!C146</f>
        <v>Slender Silhouette Sweet Gum</v>
      </c>
      <c r="C290" s="23" t="str">
        <f ca="1">'Landscape Trees '!D146</f>
        <v>#15</v>
      </c>
      <c r="D290" s="24" t="str">
        <f ca="1">'Landscape Trees '!E146</f>
        <v>2.25-2.25"</v>
      </c>
      <c r="E290" s="23" t="str">
        <f ca="1">'Landscape Trees '!F146</f>
        <v>10-10'</v>
      </c>
      <c r="F290" s="25">
        <f ca="1">'Landscape Trees '!G146</f>
        <v>1</v>
      </c>
      <c r="G290" s="23">
        <f ca="1">'Landscape Trees '!H146</f>
        <v>0</v>
      </c>
      <c r="H290" s="26">
        <f ca="1">'Landscape Trees '!I146</f>
        <v>110</v>
      </c>
      <c r="I290" s="23" t="str">
        <f t="shared" ca="1" si="2"/>
        <v>Slender Silhouette Sweet Gum #15-2020</v>
      </c>
      <c r="J290" s="10"/>
      <c r="K290" s="26">
        <f t="shared" ca="1" si="3"/>
        <v>0</v>
      </c>
    </row>
    <row r="291" spans="1:11" ht="12.75">
      <c r="A291" s="23" t="str">
        <f ca="1">'Landscape Trees '!A147</f>
        <v>Liriodendron tulipifera</v>
      </c>
      <c r="B291" s="23" t="str">
        <f ca="1">'Landscape Trees '!C147</f>
        <v>Tulip Poplar</v>
      </c>
      <c r="C291" s="23" t="str">
        <f ca="1">'Landscape Trees '!D147</f>
        <v>#5</v>
      </c>
      <c r="D291" s="24" t="str">
        <f ca="1">'Landscape Trees '!E147</f>
        <v>0.5-1.25"</v>
      </c>
      <c r="E291" s="23" t="str">
        <f ca="1">'Landscape Trees '!F147</f>
        <v>5-10'</v>
      </c>
      <c r="F291" s="25">
        <f ca="1">'Landscape Trees '!G147</f>
        <v>42</v>
      </c>
      <c r="G291" s="23">
        <f ca="1">'Landscape Trees '!H147</f>
        <v>50</v>
      </c>
      <c r="H291" s="26">
        <f ca="1">'Landscape Trees '!I147</f>
        <v>35</v>
      </c>
      <c r="I291" s="23" t="str">
        <f t="shared" ca="1" si="2"/>
        <v>Tulip Poplar #5-2020</v>
      </c>
      <c r="J291" s="10"/>
      <c r="K291" s="26">
        <f t="shared" ca="1" si="3"/>
        <v>0</v>
      </c>
    </row>
    <row r="292" spans="1:11" ht="12.75">
      <c r="A292" s="23" t="str">
        <f ca="1">'Landscape Trees '!A148</f>
        <v>Liriodendron tulipifera</v>
      </c>
      <c r="B292" s="23" t="str">
        <f ca="1">'Landscape Trees '!C148</f>
        <v>Tulip Poplar</v>
      </c>
      <c r="C292" s="23" t="str">
        <f ca="1">'Landscape Trees '!D148</f>
        <v>#15</v>
      </c>
      <c r="D292" s="24" t="str">
        <f ca="1">'Landscape Trees '!E148</f>
        <v>0.75-1"</v>
      </c>
      <c r="E292" s="23" t="str">
        <f ca="1">'Landscape Trees '!F148</f>
        <v>5-8'</v>
      </c>
      <c r="F292" s="25">
        <f ca="1">'Landscape Trees '!G148</f>
        <v>5</v>
      </c>
      <c r="G292" s="23">
        <f ca="1">'Landscape Trees '!H148</f>
        <v>10</v>
      </c>
      <c r="H292" s="26">
        <f ca="1">'Landscape Trees '!I148</f>
        <v>110</v>
      </c>
      <c r="I292" s="23" t="str">
        <f t="shared" ca="1" si="2"/>
        <v>Tulip Poplar #15-2020</v>
      </c>
      <c r="J292" s="10"/>
      <c r="K292" s="26">
        <f t="shared" ca="1" si="3"/>
        <v>0</v>
      </c>
    </row>
    <row r="293" spans="1:11" ht="12.75">
      <c r="A293" s="23" t="str">
        <f ca="1">'Landscape Trees '!A149</f>
        <v>Maackia amurensis</v>
      </c>
      <c r="B293" s="23" t="str">
        <f ca="1">'Landscape Trees '!C149</f>
        <v>Amur Maackia</v>
      </c>
      <c r="C293" s="23" t="str">
        <f ca="1">'Landscape Trees '!D149</f>
        <v>#5</v>
      </c>
      <c r="D293" s="24" t="str">
        <f ca="1">'Landscape Trees '!E149</f>
        <v>0.25-1"</v>
      </c>
      <c r="E293" s="23" t="str">
        <f ca="1">'Landscape Trees '!F149</f>
        <v>2-9'</v>
      </c>
      <c r="F293" s="25">
        <f ca="1">'Landscape Trees '!G149</f>
        <v>70</v>
      </c>
      <c r="G293" s="23">
        <f ca="1">'Landscape Trees '!H149</f>
        <v>0</v>
      </c>
      <c r="H293" s="26">
        <f ca="1">'Landscape Trees '!I149</f>
        <v>35</v>
      </c>
      <c r="I293" s="23" t="str">
        <f t="shared" ca="1" si="2"/>
        <v>Amur Maackia #5-2020</v>
      </c>
      <c r="J293" s="10"/>
      <c r="K293" s="26">
        <f t="shared" ca="1" si="3"/>
        <v>0</v>
      </c>
    </row>
    <row r="294" spans="1:11" ht="12.75">
      <c r="A294" s="23" t="str">
        <f ca="1">'Landscape Trees '!A150</f>
        <v>Maackia amurensis</v>
      </c>
      <c r="B294" s="23" t="str">
        <f ca="1">'Landscape Trees '!C150</f>
        <v>Amur Maackia</v>
      </c>
      <c r="C294" s="23" t="str">
        <f ca="1">'Landscape Trees '!D150</f>
        <v>#15</v>
      </c>
      <c r="D294" s="24" t="str">
        <f ca="1">'Landscape Trees '!E150</f>
        <v>1.25-1.25"</v>
      </c>
      <c r="E294" s="23" t="str">
        <f ca="1">'Landscape Trees '!F150</f>
        <v>11-11'</v>
      </c>
      <c r="F294" s="25">
        <f ca="1">'Landscape Trees '!G150</f>
        <v>2</v>
      </c>
      <c r="G294" s="23">
        <f ca="1">'Landscape Trees '!H150</f>
        <v>0</v>
      </c>
      <c r="H294" s="26">
        <f ca="1">'Landscape Trees '!I150</f>
        <v>110</v>
      </c>
      <c r="I294" s="23" t="str">
        <f t="shared" ca="1" si="2"/>
        <v>Amur Maackia #15-2020</v>
      </c>
      <c r="J294" s="10"/>
      <c r="K294" s="26">
        <f t="shared" ca="1" si="3"/>
        <v>0</v>
      </c>
    </row>
    <row r="295" spans="1:11" ht="12.75">
      <c r="A295" s="23" t="str">
        <f ca="1">'Landscape Trees '!A151</f>
        <v>Magnolia 'Black Tulip'</v>
      </c>
      <c r="B295" s="23" t="str">
        <f ca="1">'Landscape Trees '!C151</f>
        <v>Black Tulip Magnolia</v>
      </c>
      <c r="C295" s="23" t="str">
        <f ca="1">'Landscape Trees '!D151</f>
        <v>#5</v>
      </c>
      <c r="D295" s="24" t="str">
        <f ca="1">'Landscape Trees '!E151</f>
        <v>0.5-0.75"</v>
      </c>
      <c r="E295" s="23" t="str">
        <f ca="1">'Landscape Trees '!F151</f>
        <v>3-4.5'</v>
      </c>
      <c r="F295" s="25">
        <f ca="1">'Landscape Trees '!G151</f>
        <v>13</v>
      </c>
      <c r="G295" s="23">
        <f ca="1">'Landscape Trees '!H151</f>
        <v>0</v>
      </c>
      <c r="H295" s="26">
        <f ca="1">'Landscape Trees '!I151</f>
        <v>50</v>
      </c>
      <c r="I295" s="23" t="str">
        <f t="shared" ca="1" si="2"/>
        <v>Black Tulip Magnolia #5-2020</v>
      </c>
      <c r="J295" s="10"/>
      <c r="K295" s="26">
        <f t="shared" ca="1" si="3"/>
        <v>0</v>
      </c>
    </row>
    <row r="296" spans="1:11" ht="12.75">
      <c r="A296" s="23" t="str">
        <f ca="1">'Landscape Trees '!A152</f>
        <v>Magnolia 'Galaxy'</v>
      </c>
      <c r="B296" s="23" t="str">
        <f ca="1">'Landscape Trees '!C152</f>
        <v>Galaxy Magnolia</v>
      </c>
      <c r="C296" s="23" t="str">
        <f ca="1">'Landscape Trees '!D152</f>
        <v>#5</v>
      </c>
      <c r="D296" s="27" t="str">
        <f ca="1">'Landscape Trees '!E152</f>
        <v>Multi</v>
      </c>
      <c r="E296" s="23" t="str">
        <f ca="1">'Landscape Trees '!F152</f>
        <v>4-5'</v>
      </c>
      <c r="F296" s="25">
        <f ca="1">'Landscape Trees '!G152</f>
        <v>28</v>
      </c>
      <c r="G296" s="23">
        <f ca="1">'Landscape Trees '!H152</f>
        <v>20</v>
      </c>
      <c r="H296" s="26">
        <f ca="1">'Landscape Trees '!I152</f>
        <v>50</v>
      </c>
      <c r="I296" s="23" t="str">
        <f t="shared" ca="1" si="2"/>
        <v>Galaxy Magnolia #5-2020</v>
      </c>
      <c r="J296" s="10"/>
      <c r="K296" s="26">
        <f t="shared" ca="1" si="3"/>
        <v>0</v>
      </c>
    </row>
    <row r="297" spans="1:11" ht="12.75">
      <c r="A297" s="23" t="str">
        <f ca="1">'Landscape Trees '!A153</f>
        <v>Magnolia 'Leonard Messel'</v>
      </c>
      <c r="B297" s="23" t="str">
        <f ca="1">'Landscape Trees '!C153</f>
        <v>Leonard Messel Magnolia</v>
      </c>
      <c r="C297" s="23" t="str">
        <f ca="1">'Landscape Trees '!D153</f>
        <v>#15</v>
      </c>
      <c r="D297" s="27" t="str">
        <f ca="1">'Landscape Trees '!E153</f>
        <v>Multi</v>
      </c>
      <c r="E297" s="23" t="str">
        <f ca="1">'Landscape Trees '!F153</f>
        <v>5-6'</v>
      </c>
      <c r="F297" s="25">
        <f ca="1">'Landscape Trees '!G153</f>
        <v>3</v>
      </c>
      <c r="G297" s="23">
        <f ca="1">'Landscape Trees '!H153</f>
        <v>0</v>
      </c>
      <c r="H297" s="26">
        <f ca="1">'Landscape Trees '!I153</f>
        <v>110</v>
      </c>
      <c r="I297" s="23" t="str">
        <f t="shared" ca="1" si="2"/>
        <v>Leonard Messel Magnolia #15-2020</v>
      </c>
      <c r="J297" s="10"/>
      <c r="K297" s="26">
        <f t="shared" ca="1" si="3"/>
        <v>0</v>
      </c>
    </row>
    <row r="298" spans="1:11" ht="12.75">
      <c r="A298" s="23" t="str">
        <f ca="1">'Landscape Trees '!A154</f>
        <v>Magnolia 'Northern Belle'</v>
      </c>
      <c r="B298" s="23" t="str">
        <f ca="1">'Landscape Trees '!C154</f>
        <v>Northern Belle Magnolia</v>
      </c>
      <c r="C298" s="23" t="str">
        <f ca="1">'Landscape Trees '!D154</f>
        <v>#5</v>
      </c>
      <c r="D298" s="24" t="str">
        <f ca="1">'Landscape Trees '!E154</f>
        <v>0.25-0.5"</v>
      </c>
      <c r="E298" s="23" t="str">
        <f ca="1">'Landscape Trees '!F154</f>
        <v>3-4'</v>
      </c>
      <c r="F298" s="25">
        <f ca="1">'Landscape Trees '!G154</f>
        <v>10</v>
      </c>
      <c r="G298" s="23">
        <f ca="1">'Landscape Trees '!H154</f>
        <v>0</v>
      </c>
      <c r="H298" s="26">
        <f ca="1">'Landscape Trees '!I154</f>
        <v>50</v>
      </c>
      <c r="I298" s="23" t="str">
        <f t="shared" ca="1" si="2"/>
        <v>Northern Belle Magnolia #5-2020</v>
      </c>
      <c r="J298" s="10"/>
      <c r="K298" s="26">
        <f t="shared" ca="1" si="3"/>
        <v>0</v>
      </c>
    </row>
    <row r="299" spans="1:11" ht="12.75">
      <c r="A299" s="23" t="str">
        <f ca="1">'Landscape Trees '!A155</f>
        <v>Magnolia 'Sunsation'</v>
      </c>
      <c r="B299" s="23" t="str">
        <f ca="1">'Landscape Trees '!C155</f>
        <v>Sunsation Magnolia</v>
      </c>
      <c r="C299" s="23" t="str">
        <f ca="1">'Landscape Trees '!D155</f>
        <v>#5</v>
      </c>
      <c r="D299" s="24" t="str">
        <f ca="1">'Landscape Trees '!E155</f>
        <v>Multi</v>
      </c>
      <c r="E299" s="23" t="str">
        <f ca="1">'Landscape Trees '!F155</f>
        <v>3-4.5'</v>
      </c>
      <c r="F299" s="25">
        <f ca="1">'Landscape Trees '!G155</f>
        <v>8</v>
      </c>
      <c r="G299" s="23">
        <f ca="1">'Landscape Trees '!H155</f>
        <v>0</v>
      </c>
      <c r="H299" s="26">
        <f ca="1">'Landscape Trees '!I155</f>
        <v>45</v>
      </c>
      <c r="I299" s="23" t="str">
        <f t="shared" ca="1" si="2"/>
        <v>Sunsation Magnolia #5-2020</v>
      </c>
      <c r="J299" s="10"/>
      <c r="K299" s="26">
        <f t="shared" ca="1" si="3"/>
        <v>0</v>
      </c>
    </row>
    <row r="300" spans="1:11" ht="12.75">
      <c r="A300" s="23" t="str">
        <f ca="1">'Landscape Trees '!A156</f>
        <v>Magnolia 'Yellow Bird'</v>
      </c>
      <c r="B300" s="23" t="str">
        <f ca="1">'Landscape Trees '!C156</f>
        <v>Yellow Bird Magnolia</v>
      </c>
      <c r="C300" s="23" t="str">
        <f ca="1">'Landscape Trees '!D156</f>
        <v>#5</v>
      </c>
      <c r="D300" s="27" t="str">
        <f ca="1">'Landscape Trees '!E156</f>
        <v>Multi</v>
      </c>
      <c r="E300" s="23" t="str">
        <f ca="1">'Landscape Trees '!F156</f>
        <v>4-5'</v>
      </c>
      <c r="F300" s="25">
        <f ca="1">'Landscape Trees '!G156</f>
        <v>25</v>
      </c>
      <c r="G300" s="23">
        <f ca="1">'Landscape Trees '!H156</f>
        <v>0</v>
      </c>
      <c r="H300" s="26">
        <f ca="1">'Landscape Trees '!I156</f>
        <v>50</v>
      </c>
      <c r="I300" s="23" t="str">
        <f t="shared" ca="1" si="2"/>
        <v>Yellow Bird Magnolia #5-2020</v>
      </c>
      <c r="J300" s="10"/>
      <c r="K300" s="26">
        <f t="shared" ca="1" si="3"/>
        <v>0</v>
      </c>
    </row>
    <row r="301" spans="1:11" ht="12.75">
      <c r="A301" s="23" t="str">
        <f ca="1">'Landscape Trees '!A157</f>
        <v>Magnolia ashei</v>
      </c>
      <c r="B301" s="23" t="str">
        <f ca="1">'Landscape Trees '!C157</f>
        <v>Ashe's Magnolia</v>
      </c>
      <c r="C301" s="23" t="str">
        <f ca="1">'Landscape Trees '!D157</f>
        <v>#5</v>
      </c>
      <c r="D301" s="24" t="str">
        <f ca="1">'Landscape Trees '!E157</f>
        <v>0.25-0.5"</v>
      </c>
      <c r="E301" s="23" t="str">
        <f ca="1">'Landscape Trees '!F157</f>
        <v>2-3'</v>
      </c>
      <c r="F301" s="25">
        <f ca="1">'Landscape Trees '!G157</f>
        <v>30</v>
      </c>
      <c r="G301" s="23">
        <f ca="1">'Landscape Trees '!H157</f>
        <v>50</v>
      </c>
      <c r="H301" s="26">
        <f ca="1">'Landscape Trees '!I157</f>
        <v>35</v>
      </c>
      <c r="I301" s="23" t="str">
        <f t="shared" ca="1" si="2"/>
        <v>Ashe's Magnolia #5-2020</v>
      </c>
      <c r="J301" s="10"/>
      <c r="K301" s="26">
        <f t="shared" ca="1" si="3"/>
        <v>0</v>
      </c>
    </row>
    <row r="302" spans="1:11" ht="12.75">
      <c r="A302" s="23" t="str">
        <f ca="1">'Landscape Trees '!A158</f>
        <v>Magnolia virginiana</v>
      </c>
      <c r="B302" s="23" t="str">
        <f ca="1">'Landscape Trees '!C158</f>
        <v>Sweet Bay Magnolia</v>
      </c>
      <c r="C302" s="23" t="str">
        <f ca="1">'Landscape Trees '!D158</f>
        <v>#5</v>
      </c>
      <c r="D302" s="24" t="str">
        <f ca="1">'Landscape Trees '!E158</f>
        <v>0.25-0.5"</v>
      </c>
      <c r="E302" s="23" t="str">
        <f ca="1">'Landscape Trees '!F158</f>
        <v>2-3'</v>
      </c>
      <c r="F302" s="25">
        <f ca="1">'Landscape Trees '!G158</f>
        <v>180</v>
      </c>
      <c r="G302" s="23">
        <f ca="1">'Landscape Trees '!H158</f>
        <v>200</v>
      </c>
      <c r="H302" s="26">
        <f ca="1">'Landscape Trees '!I158</f>
        <v>35</v>
      </c>
      <c r="I302" s="23" t="str">
        <f t="shared" ca="1" si="2"/>
        <v>Sweet Bay Magnolia #5-2020</v>
      </c>
      <c r="J302" s="10"/>
      <c r="K302" s="26">
        <f t="shared" ca="1" si="3"/>
        <v>0</v>
      </c>
    </row>
    <row r="303" spans="1:11" ht="12.75">
      <c r="A303" s="23" t="str">
        <f ca="1">'Landscape Trees '!A159</f>
        <v>Magnolia virginiana</v>
      </c>
      <c r="B303" s="23" t="str">
        <f ca="1">'Landscape Trees '!C159</f>
        <v>Sweet Bay Magnolia</v>
      </c>
      <c r="C303" s="23" t="str">
        <f ca="1">'Landscape Trees '!D159</f>
        <v>#15</v>
      </c>
      <c r="D303" s="24" t="str">
        <f ca="1">'Landscape Trees '!E159</f>
        <v>Multi</v>
      </c>
      <c r="E303" s="23" t="str">
        <f ca="1">'Landscape Trees '!F159</f>
        <v>3-7'</v>
      </c>
      <c r="F303" s="25">
        <f ca="1">'Landscape Trees '!G159</f>
        <v>25</v>
      </c>
      <c r="G303" s="23">
        <f ca="1">'Landscape Trees '!H159</f>
        <v>0</v>
      </c>
      <c r="H303" s="26">
        <f ca="1">'Landscape Trees '!I159</f>
        <v>115</v>
      </c>
      <c r="I303" s="23" t="str">
        <f t="shared" ca="1" si="2"/>
        <v>Sweet Bay Magnolia #15-2020</v>
      </c>
      <c r="J303" s="10"/>
      <c r="K303" s="26">
        <f t="shared" ca="1" si="3"/>
        <v>0</v>
      </c>
    </row>
    <row r="304" spans="1:11" ht="12.75">
      <c r="A304" s="23" t="str">
        <f ca="1">'Landscape Trees '!A160</f>
        <v>Magnolia virginiana</v>
      </c>
      <c r="B304" s="23" t="str">
        <f ca="1">'Landscape Trees '!C160</f>
        <v>Sweet Bay Magnolia (Single Stem)</v>
      </c>
      <c r="C304" s="23" t="str">
        <f ca="1">'Landscape Trees '!D160</f>
        <v>#15</v>
      </c>
      <c r="D304" s="24" t="str">
        <f ca="1">'Landscape Trees '!E160</f>
        <v>1-1.25"</v>
      </c>
      <c r="E304" s="23" t="str">
        <f ca="1">'Landscape Trees '!F160</f>
        <v>7-7'</v>
      </c>
      <c r="F304" s="25">
        <f ca="1">'Landscape Trees '!G160</f>
        <v>2</v>
      </c>
      <c r="G304" s="23">
        <f ca="1">'Landscape Trees '!H160</f>
        <v>0</v>
      </c>
      <c r="H304" s="26">
        <f ca="1">'Landscape Trees '!I160</f>
        <v>115</v>
      </c>
      <c r="I304" s="23" t="str">
        <f t="shared" ca="1" si="2"/>
        <v>Sweet Bay Magnolia (Single Stem) #15-2020</v>
      </c>
      <c r="J304" s="10"/>
      <c r="K304" s="26">
        <f t="shared" ca="1" si="3"/>
        <v>0</v>
      </c>
    </row>
    <row r="305" spans="1:11" ht="12.75">
      <c r="A305" s="23" t="str">
        <f ca="1">'Landscape Trees '!A161</f>
        <v>Magnolia virginiana 'Moonglow'</v>
      </c>
      <c r="B305" s="23" t="str">
        <f ca="1">'Landscape Trees '!C161</f>
        <v>Moonglow Magnolia</v>
      </c>
      <c r="C305" s="23" t="str">
        <f ca="1">'Landscape Trees '!D161</f>
        <v>#5</v>
      </c>
      <c r="D305" s="24" t="str">
        <f ca="1">'Landscape Trees '!E161</f>
        <v>0.25-0.5"</v>
      </c>
      <c r="E305" s="23" t="str">
        <f ca="1">'Landscape Trees '!F161</f>
        <v>3-4'</v>
      </c>
      <c r="F305" s="25">
        <f ca="1">'Landscape Trees '!G161</f>
        <v>70</v>
      </c>
      <c r="G305" s="23">
        <f ca="1">'Landscape Trees '!H161</f>
        <v>100</v>
      </c>
      <c r="H305" s="26">
        <f ca="1">'Landscape Trees '!I161</f>
        <v>35</v>
      </c>
      <c r="I305" s="23" t="str">
        <f t="shared" ca="1" si="2"/>
        <v>Moonglow Magnolia #5-2020</v>
      </c>
      <c r="J305" s="10"/>
      <c r="K305" s="26">
        <f t="shared" ca="1" si="3"/>
        <v>0</v>
      </c>
    </row>
    <row r="306" spans="1:11" ht="12.75">
      <c r="A306" s="23" t="str">
        <f ca="1">'Landscape Trees '!A162</f>
        <v>Magnolia x 'Ann'</v>
      </c>
      <c r="B306" s="23" t="str">
        <f ca="1">'Landscape Trees '!C162</f>
        <v>Ann Magnolia</v>
      </c>
      <c r="C306" s="23" t="str">
        <f ca="1">'Landscape Trees '!D162</f>
        <v>#5</v>
      </c>
      <c r="D306" s="27" t="str">
        <f ca="1">'Landscape Trees '!E162</f>
        <v>Multi</v>
      </c>
      <c r="E306" s="23" t="str">
        <f ca="1">'Landscape Trees '!F162</f>
        <v>2-3'</v>
      </c>
      <c r="F306" s="25">
        <f ca="1">'Landscape Trees '!G162</f>
        <v>25</v>
      </c>
      <c r="G306" s="23">
        <f ca="1">'Landscape Trees '!H162</f>
        <v>0</v>
      </c>
      <c r="H306" s="26">
        <f ca="1">'Landscape Trees '!I162</f>
        <v>45</v>
      </c>
      <c r="I306" s="23" t="str">
        <f t="shared" ca="1" si="2"/>
        <v>Ann Magnolia #5-2020</v>
      </c>
      <c r="J306" s="10"/>
      <c r="K306" s="26">
        <f t="shared" ca="1" si="3"/>
        <v>0</v>
      </c>
    </row>
    <row r="307" spans="1:11" ht="12.75">
      <c r="A307" s="23" t="str">
        <f ca="1">'Landscape Trees '!A163</f>
        <v>Magnolia x 'Jane'</v>
      </c>
      <c r="B307" s="23" t="str">
        <f ca="1">'Landscape Trees '!C163</f>
        <v>Jane Magnolia</v>
      </c>
      <c r="C307" s="23" t="str">
        <f ca="1">'Landscape Trees '!D163</f>
        <v>#5</v>
      </c>
      <c r="D307" s="24" t="str">
        <f ca="1">'Landscape Trees '!E163</f>
        <v>0.25-0.5"</v>
      </c>
      <c r="E307" s="23" t="str">
        <f ca="1">'Landscape Trees '!F163</f>
        <v>2-3.5'</v>
      </c>
      <c r="F307" s="25">
        <f ca="1">'Landscape Trees '!G163</f>
        <v>19</v>
      </c>
      <c r="G307" s="23">
        <f ca="1">'Landscape Trees '!H163</f>
        <v>0</v>
      </c>
      <c r="H307" s="26">
        <f ca="1">'Landscape Trees '!I163</f>
        <v>45</v>
      </c>
      <c r="I307" s="23" t="str">
        <f t="shared" ca="1" si="2"/>
        <v>Jane Magnolia #5-2020</v>
      </c>
      <c r="J307" s="10"/>
      <c r="K307" s="26">
        <f t="shared" ca="1" si="3"/>
        <v>0</v>
      </c>
    </row>
    <row r="308" spans="1:11" ht="12.75">
      <c r="A308" s="23" t="str">
        <f ca="1">'Landscape Trees '!A164</f>
        <v>Malus 'Prariefire'</v>
      </c>
      <c r="B308" s="23" t="str">
        <f ca="1">'Landscape Trees '!C164</f>
        <v>Prairifire Crabapple</v>
      </c>
      <c r="C308" s="23" t="str">
        <f ca="1">'Landscape Trees '!D164</f>
        <v>#5</v>
      </c>
      <c r="D308" s="24" t="str">
        <f ca="1">'Landscape Trees '!E164</f>
        <v>0.5-0.75"</v>
      </c>
      <c r="E308" s="23" t="str">
        <f ca="1">'Landscape Trees '!F164</f>
        <v>5-6'</v>
      </c>
      <c r="F308" s="25">
        <f ca="1">'Landscape Trees '!G164</f>
        <v>47</v>
      </c>
      <c r="G308" s="23">
        <f ca="1">'Landscape Trees '!H164</f>
        <v>100</v>
      </c>
      <c r="H308" s="26">
        <f ca="1">'Landscape Trees '!I164</f>
        <v>35</v>
      </c>
      <c r="I308" s="23" t="str">
        <f t="shared" ca="1" si="2"/>
        <v>Prairifire Crabapple #5-2020</v>
      </c>
      <c r="J308" s="10"/>
      <c r="K308" s="26">
        <f t="shared" ca="1" si="3"/>
        <v>0</v>
      </c>
    </row>
    <row r="309" spans="1:11" ht="12.75">
      <c r="A309" s="23" t="str">
        <f ca="1">'Landscape Trees '!A165</f>
        <v>Malus 'Prariefire'</v>
      </c>
      <c r="B309" s="23" t="str">
        <f ca="1">'Landscape Trees '!C165</f>
        <v>Prairifire Crabapple</v>
      </c>
      <c r="C309" s="23" t="str">
        <f ca="1">'Landscape Trees '!D165</f>
        <v>#7</v>
      </c>
      <c r="D309" s="24" t="str">
        <f ca="1">'Landscape Trees '!E165</f>
        <v>0.5-0.75"</v>
      </c>
      <c r="E309" s="23" t="str">
        <f ca="1">'Landscape Trees '!F165</f>
        <v>5-6'</v>
      </c>
      <c r="F309" s="25">
        <f ca="1">'Landscape Trees '!G165</f>
        <v>41</v>
      </c>
      <c r="G309" s="23">
        <f ca="1">'Landscape Trees '!H165</f>
        <v>0</v>
      </c>
      <c r="H309" s="26">
        <f ca="1">'Landscape Trees '!I165</f>
        <v>55</v>
      </c>
      <c r="I309" s="23" t="str">
        <f t="shared" ca="1" si="2"/>
        <v>Prairifire Crabapple #7-2020</v>
      </c>
      <c r="J309" s="10"/>
      <c r="K309" s="26">
        <f t="shared" ca="1" si="3"/>
        <v>0</v>
      </c>
    </row>
    <row r="310" spans="1:11" ht="12.75">
      <c r="A310" s="23" t="str">
        <f ca="1">'Landscape Trees '!A166</f>
        <v>Malus 'Prariefire'</v>
      </c>
      <c r="B310" s="23" t="str">
        <f ca="1">'Landscape Trees '!C166</f>
        <v>Prairifire Crabapple</v>
      </c>
      <c r="C310" s="23" t="str">
        <f ca="1">'Landscape Trees '!D166</f>
        <v>#15</v>
      </c>
      <c r="D310" s="24" t="str">
        <f ca="1">'Landscape Trees '!E166</f>
        <v>1-1"</v>
      </c>
      <c r="E310" s="23" t="str">
        <f ca="1">'Landscape Trees '!F166</f>
        <v>10-10'</v>
      </c>
      <c r="F310" s="25">
        <f ca="1">'Landscape Trees '!G166</f>
        <v>1</v>
      </c>
      <c r="G310" s="23">
        <f ca="1">'Landscape Trees '!H166</f>
        <v>30</v>
      </c>
      <c r="H310" s="26">
        <f ca="1">'Landscape Trees '!I166</f>
        <v>110</v>
      </c>
      <c r="I310" s="23" t="str">
        <f t="shared" ca="1" si="2"/>
        <v>Prairifire Crabapple #15-2020</v>
      </c>
      <c r="J310" s="10"/>
      <c r="K310" s="26">
        <f t="shared" ca="1" si="3"/>
        <v>0</v>
      </c>
    </row>
    <row r="311" spans="1:11" ht="12.75">
      <c r="A311" s="23" t="str">
        <f ca="1">'Landscape Trees '!A167</f>
        <v>Malus 'Sargent Tina'</v>
      </c>
      <c r="B311" s="23" t="str">
        <f ca="1">'Landscape Trees '!C167</f>
        <v>Sargent Tina Crabapple</v>
      </c>
      <c r="C311" s="23" t="str">
        <f ca="1">'Landscape Trees '!D167</f>
        <v>#15</v>
      </c>
      <c r="D311" s="24" t="str">
        <f ca="1">'Landscape Trees '!E167</f>
        <v>1-1.25"</v>
      </c>
      <c r="E311" s="23" t="str">
        <f ca="1">'Landscape Trees '!F167</f>
        <v>5-6'</v>
      </c>
      <c r="F311" s="25">
        <f ca="1">'Landscape Trees '!G167</f>
        <v>2</v>
      </c>
      <c r="G311" s="23">
        <f ca="1">'Landscape Trees '!H167</f>
        <v>0</v>
      </c>
      <c r="H311" s="26">
        <f ca="1">'Landscape Trees '!I167</f>
        <v>110</v>
      </c>
      <c r="I311" s="23" t="str">
        <f t="shared" ca="1" si="2"/>
        <v>Sargent Tina Crabapple #15-2020</v>
      </c>
      <c r="J311" s="10"/>
      <c r="K311" s="26">
        <f t="shared" ca="1" si="3"/>
        <v>0</v>
      </c>
    </row>
    <row r="312" spans="1:11" ht="12.75">
      <c r="A312" s="23" t="str">
        <f ca="1">'Landscape Trees '!A168</f>
        <v>Malus 'Snowdrift'</v>
      </c>
      <c r="B312" s="23" t="str">
        <f ca="1">'Landscape Trees '!C168</f>
        <v>Snowdrift Crabapple</v>
      </c>
      <c r="C312" s="23" t="str">
        <f ca="1">'Landscape Trees '!D168</f>
        <v>#5</v>
      </c>
      <c r="D312" s="24" t="str">
        <f ca="1">'Landscape Trees '!E168</f>
        <v>0.75-1"</v>
      </c>
      <c r="E312" s="23" t="str">
        <f ca="1">'Landscape Trees '!F168</f>
        <v>5-6'</v>
      </c>
      <c r="F312" s="25">
        <f ca="1">'Landscape Trees '!G168</f>
        <v>27</v>
      </c>
      <c r="G312" s="23">
        <f ca="1">'Landscape Trees '!H168</f>
        <v>0</v>
      </c>
      <c r="H312" s="26">
        <f ca="1">'Landscape Trees '!I168</f>
        <v>35</v>
      </c>
      <c r="I312" s="23" t="str">
        <f t="shared" ca="1" si="2"/>
        <v>Snowdrift Crabapple #5-2020</v>
      </c>
      <c r="J312" s="10"/>
      <c r="K312" s="26">
        <f t="shared" ca="1" si="3"/>
        <v>0</v>
      </c>
    </row>
    <row r="313" spans="1:11" ht="12.75">
      <c r="A313" s="23" t="str">
        <f ca="1">'Landscape Trees '!A169</f>
        <v>Malus dolgo</v>
      </c>
      <c r="B313" s="23" t="str">
        <f ca="1">'Landscape Trees '!C169</f>
        <v>Dolgo Crabapple</v>
      </c>
      <c r="C313" s="23" t="str">
        <f ca="1">'Landscape Trees '!D169</f>
        <v>#5</v>
      </c>
      <c r="D313" s="27" t="str">
        <f ca="1">'Landscape Trees '!E169</f>
        <v>Multi</v>
      </c>
      <c r="E313" s="23" t="str">
        <f ca="1">'Landscape Trees '!F169</f>
        <v>4-5'</v>
      </c>
      <c r="F313" s="25">
        <f ca="1">'Landscape Trees '!G169</f>
        <v>5</v>
      </c>
      <c r="G313" s="23">
        <f ca="1">'Landscape Trees '!H169</f>
        <v>0</v>
      </c>
      <c r="H313" s="26">
        <f ca="1">'Landscape Trees '!I169</f>
        <v>35</v>
      </c>
      <c r="I313" s="23" t="str">
        <f t="shared" ca="1" si="2"/>
        <v>Dolgo Crabapple #5-2020</v>
      </c>
      <c r="J313" s="10"/>
      <c r="K313" s="26">
        <f t="shared" ca="1" si="3"/>
        <v>0</v>
      </c>
    </row>
    <row r="314" spans="1:11" ht="12.75">
      <c r="A314" s="23" t="str">
        <f ca="1">'Landscape Trees '!A170</f>
        <v>Malus domestica</v>
      </c>
      <c r="B314" s="23" t="str">
        <f ca="1">'Landscape Trees '!C170</f>
        <v>Common Apple</v>
      </c>
      <c r="C314" s="23" t="str">
        <f ca="1">'Landscape Trees '!D170</f>
        <v>#5</v>
      </c>
      <c r="D314" s="24" t="str">
        <f ca="1">'Landscape Trees '!E170</f>
        <v>0.75-0.5"</v>
      </c>
      <c r="E314" s="23" t="str">
        <f ca="1">'Landscape Trees '!F170</f>
        <v>4-5'</v>
      </c>
      <c r="F314" s="25">
        <f ca="1">'Landscape Trees '!G170</f>
        <v>38</v>
      </c>
      <c r="G314" s="23">
        <f ca="1">'Landscape Trees '!H170</f>
        <v>0</v>
      </c>
      <c r="H314" s="26">
        <f ca="1">'Landscape Trees '!I170</f>
        <v>30</v>
      </c>
      <c r="I314" s="23" t="str">
        <f t="shared" ca="1" si="2"/>
        <v>Common Apple #5-2020</v>
      </c>
      <c r="J314" s="10"/>
      <c r="K314" s="26">
        <f t="shared" ca="1" si="3"/>
        <v>0</v>
      </c>
    </row>
    <row r="315" spans="1:11" ht="12.75">
      <c r="A315" s="23" t="str">
        <f ca="1">'Landscape Trees '!A171</f>
        <v>Metasequoia glyptostroboides</v>
      </c>
      <c r="B315" s="23" t="str">
        <f ca="1">'Landscape Trees '!C171</f>
        <v>Dawn Redwood</v>
      </c>
      <c r="C315" s="23" t="str">
        <f ca="1">'Landscape Trees '!D171</f>
        <v>#5</v>
      </c>
      <c r="D315" s="24" t="str">
        <f ca="1">'Landscape Trees '!E171</f>
        <v>0.5-1.5"</v>
      </c>
      <c r="E315" s="23" t="str">
        <f ca="1">'Landscape Trees '!F171</f>
        <v>4-10'</v>
      </c>
      <c r="F315" s="25">
        <f ca="1">'Landscape Trees '!G171</f>
        <v>59</v>
      </c>
      <c r="G315" s="23">
        <f ca="1">'Landscape Trees '!H171</f>
        <v>50</v>
      </c>
      <c r="H315" s="26">
        <f ca="1">'Landscape Trees '!I171</f>
        <v>35</v>
      </c>
      <c r="I315" s="23" t="str">
        <f t="shared" ca="1" si="2"/>
        <v>Dawn Redwood #5-2020</v>
      </c>
      <c r="J315" s="10"/>
      <c r="K315" s="26">
        <f t="shared" ca="1" si="3"/>
        <v>0</v>
      </c>
    </row>
    <row r="316" spans="1:11" ht="12.75">
      <c r="A316" s="23" t="str">
        <f ca="1">'Landscape Trees '!A172</f>
        <v>Myrica pennsylvanica</v>
      </c>
      <c r="B316" s="23" t="str">
        <f ca="1">'Landscape Trees '!C172</f>
        <v>Bayberry</v>
      </c>
      <c r="C316" s="23" t="str">
        <f ca="1">'Landscape Trees '!D172</f>
        <v>#5</v>
      </c>
      <c r="D316" s="27" t="str">
        <f ca="1">'Landscape Trees '!E172</f>
        <v>Multi</v>
      </c>
      <c r="E316" s="23" t="str">
        <f ca="1">'Landscape Trees '!F172</f>
        <v>0-2'</v>
      </c>
      <c r="F316" s="25">
        <f ca="1">'Landscape Trees '!G172</f>
        <v>0</v>
      </c>
      <c r="G316" s="23">
        <f ca="1">'Landscape Trees '!H172</f>
        <v>100</v>
      </c>
      <c r="H316" s="26">
        <f ca="1">'Landscape Trees '!I172</f>
        <v>30</v>
      </c>
      <c r="I316" s="23" t="str">
        <f t="shared" ca="1" si="2"/>
        <v>Bayberry #5-2020</v>
      </c>
      <c r="J316" s="10"/>
      <c r="K316" s="26">
        <f t="shared" ca="1" si="3"/>
        <v>0</v>
      </c>
    </row>
    <row r="317" spans="1:11" ht="12.75">
      <c r="A317" s="23" t="str">
        <f ca="1">'Landscape Trees '!A173</f>
        <v>Nandina domestica</v>
      </c>
      <c r="B317" s="23" t="str">
        <f ca="1">'Landscape Trees '!C173</f>
        <v>Nandina</v>
      </c>
      <c r="C317" s="23" t="str">
        <f ca="1">'Landscape Trees '!D173</f>
        <v>#5</v>
      </c>
      <c r="D317" s="24" t="str">
        <f ca="1">'Landscape Trees '!E173</f>
        <v>Multi</v>
      </c>
      <c r="E317" s="23" t="str">
        <f ca="1">'Landscape Trees '!F173</f>
        <v>0.25-1'</v>
      </c>
      <c r="F317" s="25">
        <f ca="1">'Landscape Trees '!G173</f>
        <v>14</v>
      </c>
      <c r="G317" s="23">
        <f ca="1">'Landscape Trees '!H173</f>
        <v>0</v>
      </c>
      <c r="H317" s="26">
        <f ca="1">'Landscape Trees '!I173</f>
        <v>30</v>
      </c>
      <c r="I317" s="23" t="str">
        <f t="shared" ca="1" si="2"/>
        <v>Nandina #5-2020</v>
      </c>
      <c r="J317" s="10"/>
      <c r="K317" s="26">
        <f t="shared" ca="1" si="3"/>
        <v>0</v>
      </c>
    </row>
    <row r="318" spans="1:11" ht="12.75">
      <c r="A318" s="23" t="str">
        <f ca="1">'Landscape Trees '!A174</f>
        <v>Nyssa sylvatica</v>
      </c>
      <c r="B318" s="23" t="str">
        <f ca="1">'Landscape Trees '!C174</f>
        <v>Black Gum</v>
      </c>
      <c r="C318" s="23" t="str">
        <f ca="1">'Landscape Trees '!D174</f>
        <v>#7</v>
      </c>
      <c r="D318" s="24" t="str">
        <f ca="1">'Landscape Trees '!E174</f>
        <v>0.5-0.75"</v>
      </c>
      <c r="E318" s="23" t="str">
        <f ca="1">'Landscape Trees '!F174</f>
        <v>4-5'</v>
      </c>
      <c r="F318" s="25">
        <f ca="1">'Landscape Trees '!G174</f>
        <v>80</v>
      </c>
      <c r="G318" s="23">
        <f ca="1">'Landscape Trees '!H174</f>
        <v>0</v>
      </c>
      <c r="H318" s="26">
        <f ca="1">'Landscape Trees '!I174</f>
        <v>40</v>
      </c>
      <c r="I318" s="23" t="str">
        <f t="shared" ca="1" si="2"/>
        <v>Black Gum #7-2020</v>
      </c>
      <c r="J318" s="10"/>
      <c r="K318" s="26">
        <f t="shared" ca="1" si="3"/>
        <v>0</v>
      </c>
    </row>
    <row r="319" spans="1:11" ht="12.75">
      <c r="A319" s="23" t="str">
        <f ca="1">'Landscape Trees '!A175</f>
        <v>Nyssa sylvatica 'Green Gable'</v>
      </c>
      <c r="B319" s="23" t="str">
        <f ca="1">'Landscape Trees '!C175</f>
        <v>Green Gable Black Gum</v>
      </c>
      <c r="C319" s="23" t="str">
        <f ca="1">'Landscape Trees '!D175</f>
        <v>#5</v>
      </c>
      <c r="D319" s="24" t="str">
        <f ca="1">'Landscape Trees '!E175</f>
        <v>0.5-0.5"</v>
      </c>
      <c r="E319" s="23" t="str">
        <f ca="1">'Landscape Trees '!F175</f>
        <v>3-5'</v>
      </c>
      <c r="F319" s="25">
        <f ca="1">'Landscape Trees '!G175</f>
        <v>7</v>
      </c>
      <c r="G319" s="23">
        <f ca="1">'Landscape Trees '!H175</f>
        <v>10</v>
      </c>
      <c r="H319" s="26">
        <f ca="1">'Landscape Trees '!I175</f>
        <v>45</v>
      </c>
      <c r="I319" s="23" t="str">
        <f t="shared" ca="1" si="2"/>
        <v>Green Gable Black Gum #5-2020</v>
      </c>
      <c r="J319" s="10"/>
      <c r="K319" s="26">
        <f t="shared" ca="1" si="3"/>
        <v>0</v>
      </c>
    </row>
    <row r="320" spans="1:11" ht="12.75">
      <c r="A320" s="23" t="str">
        <f ca="1">'Landscape Trees '!A176</f>
        <v>Nyssa sylvatica 'Tupelo Tower'</v>
      </c>
      <c r="B320" s="23" t="str">
        <f ca="1">'Landscape Trees '!C176</f>
        <v>Tupelo Tower Black Gum</v>
      </c>
      <c r="C320" s="23" t="str">
        <f ca="1">'Landscape Trees '!D176</f>
        <v>#5</v>
      </c>
      <c r="D320" s="24" t="str">
        <f ca="1">'Landscape Trees '!E176</f>
        <v>0.5-0.5"</v>
      </c>
      <c r="E320" s="23" t="str">
        <f ca="1">'Landscape Trees '!F176</f>
        <v>3-5'</v>
      </c>
      <c r="F320" s="25">
        <f ca="1">'Landscape Trees '!G176</f>
        <v>5</v>
      </c>
      <c r="G320" s="23">
        <f ca="1">'Landscape Trees '!H176</f>
        <v>0</v>
      </c>
      <c r="H320" s="26">
        <f ca="1">'Landscape Trees '!I176</f>
        <v>45</v>
      </c>
      <c r="I320" s="23" t="str">
        <f t="shared" ca="1" si="2"/>
        <v>Tupelo Tower Black Gum #5-2020</v>
      </c>
      <c r="J320" s="10"/>
      <c r="K320" s="26">
        <f t="shared" ca="1" si="3"/>
        <v>0</v>
      </c>
    </row>
    <row r="321" spans="1:11" ht="12.75">
      <c r="A321" s="23" t="str">
        <f ca="1">'Landscape Trees '!A177</f>
        <v>Nyssa sylvatica 'Wildfire'</v>
      </c>
      <c r="B321" s="23" t="str">
        <f ca="1">'Landscape Trees '!C177</f>
        <v>Wildfire Black Gum</v>
      </c>
      <c r="C321" s="23" t="str">
        <f ca="1">'Landscape Trees '!D177</f>
        <v>#5</v>
      </c>
      <c r="D321" s="24" t="str">
        <f ca="1">'Landscape Trees '!E177</f>
        <v>0.5-0.5"</v>
      </c>
      <c r="E321" s="23" t="str">
        <f ca="1">'Landscape Trees '!F177</f>
        <v>4.5-4.5'</v>
      </c>
      <c r="F321" s="25">
        <f ca="1">'Landscape Trees '!G177</f>
        <v>1</v>
      </c>
      <c r="G321" s="23">
        <f ca="1">'Landscape Trees '!H177</f>
        <v>0</v>
      </c>
      <c r="H321" s="26">
        <f ca="1">'Landscape Trees '!I177</f>
        <v>50</v>
      </c>
      <c r="I321" s="23" t="str">
        <f t="shared" ca="1" si="2"/>
        <v>Wildfire Black Gum #5-2020</v>
      </c>
      <c r="J321" s="10"/>
      <c r="K321" s="26">
        <f t="shared" ca="1" si="3"/>
        <v>0</v>
      </c>
    </row>
    <row r="322" spans="1:11" ht="12.75">
      <c r="A322" s="23" t="str">
        <f ca="1">'Landscape Trees '!A178</f>
        <v>Ostrya virginiana</v>
      </c>
      <c r="B322" s="23" t="str">
        <f ca="1">'Landscape Trees '!C178</f>
        <v>American Hophornbeam</v>
      </c>
      <c r="C322" s="23" t="str">
        <f ca="1">'Landscape Trees '!D178</f>
        <v>#5</v>
      </c>
      <c r="D322" s="24" t="str">
        <f ca="1">'Landscape Trees '!E178</f>
        <v>0.125-1"</v>
      </c>
      <c r="E322" s="23" t="str">
        <f ca="1">'Landscape Trees '!F178</f>
        <v>2-8'</v>
      </c>
      <c r="F322" s="25">
        <f ca="1">'Landscape Trees '!G178</f>
        <v>69</v>
      </c>
      <c r="G322" s="23">
        <f ca="1">'Landscape Trees '!H178</f>
        <v>100</v>
      </c>
      <c r="H322" s="26">
        <f ca="1">'Landscape Trees '!I178</f>
        <v>35</v>
      </c>
      <c r="I322" s="23" t="str">
        <f t="shared" ca="1" si="2"/>
        <v>American Hophornbeam #5-2020</v>
      </c>
      <c r="J322" s="10"/>
      <c r="K322" s="26">
        <f t="shared" ca="1" si="3"/>
        <v>0</v>
      </c>
    </row>
    <row r="323" spans="1:11" ht="12.75">
      <c r="A323" s="23" t="str">
        <f ca="1">'Landscape Trees '!A179</f>
        <v>Ostrya virginiana</v>
      </c>
      <c r="B323" s="23" t="str">
        <f ca="1">'Landscape Trees '!C179</f>
        <v>American Hophornbeam</v>
      </c>
      <c r="C323" s="23" t="str">
        <f ca="1">'Landscape Trees '!D179</f>
        <v>#15</v>
      </c>
      <c r="D323" s="24" t="str">
        <f ca="1">'Landscape Trees '!E179</f>
        <v>1-1"</v>
      </c>
      <c r="E323" s="23" t="str">
        <f ca="1">'Landscape Trees '!F179</f>
        <v>10-12'</v>
      </c>
      <c r="F323" s="25">
        <f ca="1">'Landscape Trees '!G179</f>
        <v>4</v>
      </c>
      <c r="G323" s="23">
        <f ca="1">'Landscape Trees '!H179</f>
        <v>0</v>
      </c>
      <c r="H323" s="26">
        <f ca="1">'Landscape Trees '!I179</f>
        <v>110</v>
      </c>
      <c r="I323" s="23" t="str">
        <f t="shared" ca="1" si="2"/>
        <v>American Hophornbeam #15-2020</v>
      </c>
      <c r="J323" s="10"/>
      <c r="K323" s="26">
        <f t="shared" ca="1" si="3"/>
        <v>0</v>
      </c>
    </row>
    <row r="324" spans="1:11" ht="12.75">
      <c r="A324" s="23" t="str">
        <f ca="1">'Landscape Trees '!A180</f>
        <v>Oxydendrum arboreum</v>
      </c>
      <c r="B324" s="23" t="str">
        <f ca="1">'Landscape Trees '!C180</f>
        <v>Sourwood</v>
      </c>
      <c r="C324" s="23" t="str">
        <f ca="1">'Landscape Trees '!D180</f>
        <v>#7</v>
      </c>
      <c r="D324" s="24" t="str">
        <f ca="1">'Landscape Trees '!E180</f>
        <v>Multi</v>
      </c>
      <c r="E324" s="23" t="str">
        <f ca="1">'Landscape Trees '!F180</f>
        <v>1-2'</v>
      </c>
      <c r="F324" s="25">
        <f ca="1">'Landscape Trees '!G180</f>
        <v>0</v>
      </c>
      <c r="G324" s="23">
        <f ca="1">'Landscape Trees '!H180</f>
        <v>20</v>
      </c>
      <c r="H324" s="26">
        <f ca="1">'Landscape Trees '!I180</f>
        <v>45</v>
      </c>
      <c r="I324" s="23" t="str">
        <f t="shared" ca="1" si="2"/>
        <v>Sourwood #7-2020</v>
      </c>
      <c r="J324" s="10"/>
      <c r="K324" s="26">
        <f t="shared" ca="1" si="3"/>
        <v>0</v>
      </c>
    </row>
    <row r="325" spans="1:11" ht="12.75">
      <c r="A325" s="23" t="str">
        <f ca="1">'Landscape Trees '!A181</f>
        <v>Parrotia persica</v>
      </c>
      <c r="B325" s="23" t="str">
        <f ca="1">'Landscape Trees '!C181</f>
        <v>Persian Parrotia</v>
      </c>
      <c r="C325" s="23" t="str">
        <f ca="1">'Landscape Trees '!D181</f>
        <v>#5</v>
      </c>
      <c r="D325" s="24" t="str">
        <f ca="1">'Landscape Trees '!E181</f>
        <v>0.25-0.5"</v>
      </c>
      <c r="E325" s="23" t="str">
        <f ca="1">'Landscape Trees '!F181</f>
        <v>1-4'</v>
      </c>
      <c r="F325" s="25">
        <f ca="1">'Landscape Trees '!G181</f>
        <v>39</v>
      </c>
      <c r="G325" s="23">
        <f ca="1">'Landscape Trees '!H181</f>
        <v>0</v>
      </c>
      <c r="H325" s="26">
        <f ca="1">'Landscape Trees '!I181</f>
        <v>35</v>
      </c>
      <c r="I325" s="23" t="str">
        <f t="shared" ca="1" si="2"/>
        <v>Persian Parrotia #5-2020</v>
      </c>
      <c r="J325" s="10"/>
      <c r="K325" s="26">
        <f t="shared" ca="1" si="3"/>
        <v>0</v>
      </c>
    </row>
    <row r="326" spans="1:11" ht="12.75">
      <c r="A326" s="23" t="str">
        <f ca="1">'Landscape Trees '!A182</f>
        <v>Parrotia persica</v>
      </c>
      <c r="B326" s="23" t="str">
        <f ca="1">'Landscape Trees '!C182</f>
        <v>Persian Parrotia</v>
      </c>
      <c r="C326" s="23" t="str">
        <f ca="1">'Landscape Trees '!D182</f>
        <v>#15</v>
      </c>
      <c r="D326" s="24" t="str">
        <f ca="1">'Landscape Trees '!E182</f>
        <v>0.75-1"</v>
      </c>
      <c r="E326" s="23" t="str">
        <f ca="1">'Landscape Trees '!F182</f>
        <v>5-7'</v>
      </c>
      <c r="F326" s="25">
        <f ca="1">'Landscape Trees '!G182</f>
        <v>6</v>
      </c>
      <c r="G326" s="23">
        <f ca="1">'Landscape Trees '!H182</f>
        <v>0</v>
      </c>
      <c r="H326" s="26">
        <f ca="1">'Landscape Trees '!I182</f>
        <v>110</v>
      </c>
      <c r="I326" s="23" t="str">
        <f t="shared" ca="1" si="2"/>
        <v>Persian Parrotia #15-2020</v>
      </c>
      <c r="J326" s="10"/>
      <c r="K326" s="26">
        <f t="shared" ca="1" si="3"/>
        <v>0</v>
      </c>
    </row>
    <row r="327" spans="1:11" ht="12.75">
      <c r="A327" s="23" t="str">
        <f ca="1">'Landscape Trees '!A183</f>
        <v>Parrotia persica</v>
      </c>
      <c r="B327" s="23" t="str">
        <f ca="1">'Landscape Trees '!C183</f>
        <v>Persian Parrotia</v>
      </c>
      <c r="C327" s="23" t="str">
        <f ca="1">'Landscape Trees '!D183</f>
        <v>#25</v>
      </c>
      <c r="D327" s="24" t="str">
        <f ca="1">'Landscape Trees '!E183</f>
        <v>0.75-1"</v>
      </c>
      <c r="E327" s="23" t="str">
        <f ca="1">'Landscape Trees '!F183</f>
        <v>7-8'</v>
      </c>
      <c r="F327" s="25">
        <f ca="1">'Landscape Trees '!G183</f>
        <v>2</v>
      </c>
      <c r="G327" s="23">
        <f ca="1">'Landscape Trees '!H183</f>
        <v>0</v>
      </c>
      <c r="H327" s="26">
        <f ca="1">'Landscape Trees '!I183</f>
        <v>135</v>
      </c>
      <c r="I327" s="23" t="str">
        <f t="shared" ca="1" si="2"/>
        <v>Persian Parrotia #25-2020</v>
      </c>
      <c r="J327" s="10"/>
      <c r="K327" s="26">
        <f t="shared" ca="1" si="3"/>
        <v>0</v>
      </c>
    </row>
    <row r="328" spans="1:11" ht="12.75">
      <c r="A328" s="23" t="str">
        <f ca="1">'Landscape Trees '!A184</f>
        <v>Physocarpus opulifolius</v>
      </c>
      <c r="B328" s="23" t="str">
        <f ca="1">'Landscape Trees '!C184</f>
        <v>Eastern Ninebark</v>
      </c>
      <c r="C328" s="23" t="str">
        <f ca="1">'Landscape Trees '!D184</f>
        <v>#5</v>
      </c>
      <c r="D328" s="27" t="str">
        <f ca="1">'Landscape Trees '!E184</f>
        <v>Multi</v>
      </c>
      <c r="E328" s="23" t="str">
        <f ca="1">'Landscape Trees '!F184</f>
        <v>4-5'</v>
      </c>
      <c r="F328" s="25">
        <f ca="1">'Landscape Trees '!G184</f>
        <v>13</v>
      </c>
      <c r="G328" s="23">
        <f ca="1">'Landscape Trees '!H184</f>
        <v>25</v>
      </c>
      <c r="H328" s="26">
        <f ca="1">'Landscape Trees '!I184</f>
        <v>30</v>
      </c>
      <c r="I328" s="23" t="str">
        <f t="shared" ca="1" si="2"/>
        <v>Eastern Ninebark #5-2020</v>
      </c>
      <c r="J328" s="10"/>
      <c r="K328" s="26">
        <f t="shared" ca="1" si="3"/>
        <v>0</v>
      </c>
    </row>
    <row r="329" spans="1:11" ht="12.75">
      <c r="A329" s="23" t="str">
        <f ca="1">'Landscape Trees '!A185</f>
        <v>Picea abies</v>
      </c>
      <c r="B329" s="23" t="str">
        <f ca="1">'Landscape Trees '!C185</f>
        <v>Norway Spruce</v>
      </c>
      <c r="C329" s="23" t="str">
        <f ca="1">'Landscape Trees '!D185</f>
        <v>#5</v>
      </c>
      <c r="D329" s="24" t="str">
        <f ca="1">'Landscape Trees '!E185</f>
        <v>0.5-0.75"</v>
      </c>
      <c r="E329" s="23" t="str">
        <f ca="1">'Landscape Trees '!F185</f>
        <v>1-3'</v>
      </c>
      <c r="F329" s="25">
        <f ca="1">'Landscape Trees '!G185</f>
        <v>61</v>
      </c>
      <c r="G329" s="23">
        <f ca="1">'Landscape Trees '!H185</f>
        <v>0</v>
      </c>
      <c r="H329" s="26">
        <f ca="1">'Landscape Trees '!I185</f>
        <v>35</v>
      </c>
      <c r="I329" s="23" t="str">
        <f t="shared" ca="1" si="2"/>
        <v>Norway Spruce #5-2020</v>
      </c>
      <c r="J329" s="10"/>
      <c r="K329" s="26">
        <f t="shared" ca="1" si="3"/>
        <v>0</v>
      </c>
    </row>
    <row r="330" spans="1:11" ht="12.75">
      <c r="A330" s="23" t="str">
        <f ca="1">'Landscape Trees '!A186</f>
        <v>Picea omorika</v>
      </c>
      <c r="B330" s="23" t="str">
        <f ca="1">'Landscape Trees '!C186</f>
        <v>Serbian Spruce</v>
      </c>
      <c r="C330" s="23" t="str">
        <f ca="1">'Landscape Trees '!D186</f>
        <v>#5</v>
      </c>
      <c r="D330" s="24" t="str">
        <f ca="1">'Landscape Trees '!E186</f>
        <v>0.5-0.75"</v>
      </c>
      <c r="E330" s="23" t="str">
        <f ca="1">'Landscape Trees '!F186</f>
        <v>3-4'</v>
      </c>
      <c r="F330" s="25">
        <f ca="1">'Landscape Trees '!G186</f>
        <v>20</v>
      </c>
      <c r="G330" s="23">
        <f ca="1">'Landscape Trees '!H186</f>
        <v>0</v>
      </c>
      <c r="H330" s="26">
        <f ca="1">'Landscape Trees '!I186</f>
        <v>35</v>
      </c>
      <c r="I330" s="23" t="str">
        <f t="shared" ca="1" si="2"/>
        <v>Serbian Spruce #5-2020</v>
      </c>
      <c r="J330" s="10"/>
      <c r="K330" s="26">
        <f t="shared" ca="1" si="3"/>
        <v>0</v>
      </c>
    </row>
    <row r="331" spans="1:11" ht="12.75">
      <c r="A331" s="23" t="str">
        <f ca="1">'Landscape Trees '!A187</f>
        <v>Pinus strobus</v>
      </c>
      <c r="B331" s="23" t="str">
        <f ca="1">'Landscape Trees '!C187</f>
        <v>Eastern White Pine</v>
      </c>
      <c r="C331" s="23" t="str">
        <f ca="1">'Landscape Trees '!D187</f>
        <v>#5</v>
      </c>
      <c r="D331" s="24" t="str">
        <f ca="1">'Landscape Trees '!E187</f>
        <v>0.5-0.75"</v>
      </c>
      <c r="E331" s="23" t="str">
        <f ca="1">'Landscape Trees '!F187</f>
        <v>2-3'</v>
      </c>
      <c r="F331" s="25">
        <f ca="1">'Landscape Trees '!G187</f>
        <v>1</v>
      </c>
      <c r="G331" s="23">
        <f ca="1">'Landscape Trees '!H187</f>
        <v>0</v>
      </c>
      <c r="H331" s="26">
        <f ca="1">'Landscape Trees '!I187</f>
        <v>35</v>
      </c>
      <c r="I331" s="23" t="str">
        <f t="shared" ca="1" si="2"/>
        <v>Eastern White Pine #5-2020</v>
      </c>
      <c r="J331" s="10"/>
      <c r="K331" s="26">
        <f t="shared" ca="1" si="3"/>
        <v>0</v>
      </c>
    </row>
    <row r="332" spans="1:11" ht="12.75">
      <c r="A332" s="23" t="str">
        <f ca="1">'Landscape Trees '!A188</f>
        <v xml:space="preserve">Pinus virginiana </v>
      </c>
      <c r="B332" s="23" t="str">
        <f ca="1">'Landscape Trees '!C188</f>
        <v>Virginia Pine</v>
      </c>
      <c r="C332" s="23" t="str">
        <f ca="1">'Landscape Trees '!D188</f>
        <v>#5</v>
      </c>
      <c r="D332" s="24" t="str">
        <f ca="1">'Landscape Trees '!E188</f>
        <v>0.25-0.5"</v>
      </c>
      <c r="E332" s="23" t="str">
        <f ca="1">'Landscape Trees '!F188</f>
        <v>1-2'</v>
      </c>
      <c r="F332" s="25">
        <f ca="1">'Landscape Trees '!G188</f>
        <v>0</v>
      </c>
      <c r="G332" s="23">
        <f ca="1">'Landscape Trees '!H188</f>
        <v>25</v>
      </c>
      <c r="H332" s="26">
        <f ca="1">'Landscape Trees '!I188</f>
        <v>35</v>
      </c>
      <c r="I332" s="23" t="str">
        <f t="shared" ca="1" si="2"/>
        <v>Virginia Pine #5-2020</v>
      </c>
      <c r="J332" s="10"/>
      <c r="K332" s="26">
        <f t="shared" ca="1" si="3"/>
        <v>0</v>
      </c>
    </row>
    <row r="333" spans="1:11" ht="12.75">
      <c r="A333" s="23" t="str">
        <f ca="1">'Landscape Trees '!A189</f>
        <v>Platanus occidentalis</v>
      </c>
      <c r="B333" s="23" t="str">
        <f ca="1">'Landscape Trees '!C189</f>
        <v>American Sycamore</v>
      </c>
      <c r="C333" s="23" t="str">
        <f ca="1">'Landscape Trees '!D189</f>
        <v>#5</v>
      </c>
      <c r="D333" s="24" t="str">
        <f ca="1">'Landscape Trees '!E189</f>
        <v>0.75-1.25"</v>
      </c>
      <c r="E333" s="23" t="str">
        <f ca="1">'Landscape Trees '!F189</f>
        <v>4-9'</v>
      </c>
      <c r="F333" s="25">
        <f ca="1">'Landscape Trees '!G189</f>
        <v>34</v>
      </c>
      <c r="G333" s="23">
        <f ca="1">'Landscape Trees '!H189</f>
        <v>320</v>
      </c>
      <c r="H333" s="26">
        <f ca="1">'Landscape Trees '!I189</f>
        <v>40</v>
      </c>
      <c r="I333" s="23" t="str">
        <f t="shared" ca="1" si="2"/>
        <v>American Sycamore #5-2020</v>
      </c>
      <c r="J333" s="10"/>
      <c r="K333" s="26">
        <f t="shared" ca="1" si="3"/>
        <v>0</v>
      </c>
    </row>
    <row r="334" spans="1:11" ht="12.75">
      <c r="A334" s="23" t="str">
        <f ca="1">'Landscape Trees '!A190</f>
        <v>Platanus occidentalis</v>
      </c>
      <c r="B334" s="23" t="str">
        <f ca="1">'Landscape Trees '!C190</f>
        <v>American Sycamore</v>
      </c>
      <c r="C334" s="23" t="str">
        <f ca="1">'Landscape Trees '!D190</f>
        <v>#10</v>
      </c>
      <c r="D334" s="24" t="str">
        <f ca="1">'Landscape Trees '!E190</f>
        <v>1-1"</v>
      </c>
      <c r="E334" s="23" t="str">
        <f ca="1">'Landscape Trees '!F190</f>
        <v>5-6'</v>
      </c>
      <c r="F334" s="25">
        <f ca="1">'Landscape Trees '!G190</f>
        <v>0</v>
      </c>
      <c r="G334" s="23">
        <f ca="1">'Landscape Trees '!H190</f>
        <v>20</v>
      </c>
      <c r="H334" s="26">
        <f ca="1">'Landscape Trees '!I190</f>
        <v>85</v>
      </c>
      <c r="I334" s="23" t="str">
        <f t="shared" ca="1" si="2"/>
        <v>American Sycamore #10-2020</v>
      </c>
      <c r="J334" s="10"/>
      <c r="K334" s="26">
        <f t="shared" ca="1" si="3"/>
        <v>0</v>
      </c>
    </row>
    <row r="335" spans="1:11" ht="12.75">
      <c r="A335" s="23" t="str">
        <f ca="1">'Landscape Trees '!A191</f>
        <v>Platanus x acerifolia 'Bloodgood'</v>
      </c>
      <c r="B335" s="23" t="str">
        <f ca="1">'Landscape Trees '!C191</f>
        <v>Bloodgood London Plane Tree</v>
      </c>
      <c r="C335" s="23" t="str">
        <f ca="1">'Landscape Trees '!D191</f>
        <v>#5</v>
      </c>
      <c r="D335" s="24" t="str">
        <f ca="1">'Landscape Trees '!E191</f>
        <v>0.75-1"</v>
      </c>
      <c r="E335" s="23" t="str">
        <f ca="1">'Landscape Trees '!F191</f>
        <v>8-10'</v>
      </c>
      <c r="F335" s="25">
        <f ca="1">'Landscape Trees '!G191</f>
        <v>90</v>
      </c>
      <c r="G335" s="23">
        <f ca="1">'Landscape Trees '!H191</f>
        <v>0</v>
      </c>
      <c r="H335" s="26">
        <f ca="1">'Landscape Trees '!I191</f>
        <v>40</v>
      </c>
      <c r="I335" s="23" t="str">
        <f t="shared" ca="1" si="2"/>
        <v>Bloodgood London Plane Tree #5-2020</v>
      </c>
      <c r="J335" s="10"/>
      <c r="K335" s="26">
        <f t="shared" ca="1" si="3"/>
        <v>0</v>
      </c>
    </row>
    <row r="336" spans="1:11" ht="12.75">
      <c r="A336" s="23" t="str">
        <f ca="1">'Landscape Trees '!A192</f>
        <v>Platanus x acerifolia 'Exclamation'</v>
      </c>
      <c r="B336" s="23" t="str">
        <f ca="1">'Landscape Trees '!C192</f>
        <v>Exclamation London Plane Tree</v>
      </c>
      <c r="C336" s="23" t="str">
        <f ca="1">'Landscape Trees '!D192</f>
        <v>#5</v>
      </c>
      <c r="D336" s="24" t="str">
        <f ca="1">'Landscape Trees '!E192</f>
        <v>0.25-0.5"</v>
      </c>
      <c r="E336" s="23" t="str">
        <f ca="1">'Landscape Trees '!F192</f>
        <v>3-4'</v>
      </c>
      <c r="F336" s="25">
        <f ca="1">'Landscape Trees '!G192</f>
        <v>0</v>
      </c>
      <c r="G336" s="23">
        <f ca="1">'Landscape Trees '!H192</f>
        <v>45</v>
      </c>
      <c r="H336" s="26">
        <f ca="1">'Landscape Trees '!I192</f>
        <v>35</v>
      </c>
      <c r="I336" s="23" t="str">
        <f t="shared" ca="1" si="2"/>
        <v>Exclamation London Plane Tree #5-2020</v>
      </c>
      <c r="J336" s="10"/>
      <c r="K336" s="26">
        <f t="shared" ca="1" si="3"/>
        <v>0</v>
      </c>
    </row>
    <row r="337" spans="1:11" ht="12.75">
      <c r="A337" s="23" t="str">
        <f ca="1">'Landscape Trees '!A193</f>
        <v>Platanus x acerifolia 'Exclamation'</v>
      </c>
      <c r="B337" s="23" t="str">
        <f ca="1">'Landscape Trees '!C193</f>
        <v>Exclamation London Plane Tree</v>
      </c>
      <c r="C337" s="23" t="str">
        <f ca="1">'Landscape Trees '!D193</f>
        <v>#15</v>
      </c>
      <c r="D337" s="24" t="str">
        <f ca="1">'Landscape Trees '!E193</f>
        <v>1-1.25"</v>
      </c>
      <c r="E337" s="23" t="str">
        <f ca="1">'Landscape Trees '!F193</f>
        <v>9-12'</v>
      </c>
      <c r="F337" s="25">
        <f ca="1">'Landscape Trees '!G193</f>
        <v>7</v>
      </c>
      <c r="G337" s="23">
        <f ca="1">'Landscape Trees '!H193</f>
        <v>20</v>
      </c>
      <c r="H337" s="26">
        <f ca="1">'Landscape Trees '!I193</f>
        <v>110</v>
      </c>
      <c r="I337" s="23" t="str">
        <f t="shared" ca="1" si="2"/>
        <v>Exclamation London Plane Tree #15-2020</v>
      </c>
      <c r="J337" s="10"/>
      <c r="K337" s="26">
        <f t="shared" ca="1" si="3"/>
        <v>0</v>
      </c>
    </row>
    <row r="338" spans="1:11" ht="12.75">
      <c r="A338" s="23" t="str">
        <f ca="1">'Landscape Trees '!A194</f>
        <v>Populus tremuloides</v>
      </c>
      <c r="B338" s="23" t="str">
        <f ca="1">'Landscape Trees '!C194</f>
        <v>Quaking Aspen</v>
      </c>
      <c r="C338" s="23" t="str">
        <f ca="1">'Landscape Trees '!D194</f>
        <v>#5</v>
      </c>
      <c r="D338" s="24" t="str">
        <f ca="1">'Landscape Trees '!E194</f>
        <v>0.25-1"</v>
      </c>
      <c r="E338" s="23" t="str">
        <f ca="1">'Landscape Trees '!F194</f>
        <v>4-6'</v>
      </c>
      <c r="F338" s="25">
        <f ca="1">'Landscape Trees '!G194</f>
        <v>3</v>
      </c>
      <c r="G338" s="23">
        <f ca="1">'Landscape Trees '!H194</f>
        <v>50</v>
      </c>
      <c r="H338" s="26">
        <f ca="1">'Landscape Trees '!I194</f>
        <v>35</v>
      </c>
      <c r="I338" s="23" t="str">
        <f t="shared" ca="1" si="2"/>
        <v>Quaking Aspen #5-2020</v>
      </c>
      <c r="J338" s="10"/>
      <c r="K338" s="26">
        <f t="shared" ca="1" si="3"/>
        <v>0</v>
      </c>
    </row>
    <row r="339" spans="1:11" ht="12.75">
      <c r="A339" s="23" t="str">
        <f ca="1">'Landscape Trees '!A195</f>
        <v>Populus tremuloides</v>
      </c>
      <c r="B339" s="23" t="str">
        <f ca="1">'Landscape Trees '!C195</f>
        <v>Quaking Aspen</v>
      </c>
      <c r="C339" s="23" t="str">
        <f ca="1">'Landscape Trees '!D195</f>
        <v>#15</v>
      </c>
      <c r="D339" s="24" t="str">
        <f ca="1">'Landscape Trees '!E195</f>
        <v>1-1'</v>
      </c>
      <c r="E339" s="23" t="str">
        <f ca="1">'Landscape Trees '!F195</f>
        <v>7-8'</v>
      </c>
      <c r="F339" s="25">
        <f ca="1">'Landscape Trees '!G195</f>
        <v>0</v>
      </c>
      <c r="G339" s="23">
        <f ca="1">'Landscape Trees '!H195</f>
        <v>10</v>
      </c>
      <c r="H339" s="26">
        <f ca="1">'Landscape Trees '!I195</f>
        <v>110</v>
      </c>
      <c r="I339" s="23" t="str">
        <f t="shared" ca="1" si="2"/>
        <v>Quaking Aspen #15-2020</v>
      </c>
      <c r="J339" s="10"/>
      <c r="K339" s="26">
        <f t="shared" ca="1" si="3"/>
        <v>0</v>
      </c>
    </row>
    <row r="340" spans="1:11" ht="12.75">
      <c r="A340" s="23" t="str">
        <f ca="1">'Landscape Trees '!A196</f>
        <v>Prunus 'Autumnalis'</v>
      </c>
      <c r="B340" s="23" t="str">
        <f ca="1">'Landscape Trees '!C196</f>
        <v>Autumnalis cherry</v>
      </c>
      <c r="C340" s="23" t="str">
        <f ca="1">'Landscape Trees '!D196</f>
        <v>#5</v>
      </c>
      <c r="D340" s="24" t="str">
        <f ca="1">'Landscape Trees '!E196</f>
        <v>1-1.25"</v>
      </c>
      <c r="E340" s="23" t="str">
        <f ca="1">'Landscape Trees '!F196</f>
        <v>11-12'</v>
      </c>
      <c r="F340" s="25">
        <f ca="1">'Landscape Trees '!G196</f>
        <v>28</v>
      </c>
      <c r="G340" s="23">
        <f ca="1">'Landscape Trees '!H196</f>
        <v>0</v>
      </c>
      <c r="H340" s="26">
        <f ca="1">'Landscape Trees '!I196</f>
        <v>35</v>
      </c>
      <c r="I340" s="23" t="str">
        <f t="shared" ca="1" si="2"/>
        <v>Autumnalis cherry #5-2020</v>
      </c>
      <c r="J340" s="10"/>
      <c r="K340" s="26">
        <f t="shared" ca="1" si="3"/>
        <v>0</v>
      </c>
    </row>
    <row r="341" spans="1:11" ht="12.75">
      <c r="A341" s="23" t="str">
        <f ca="1">'Landscape Trees '!A197</f>
        <v>Prunus 'Autumnalis'</v>
      </c>
      <c r="B341" s="23" t="str">
        <f ca="1">'Landscape Trees '!C197</f>
        <v>Autumnalis Cherry</v>
      </c>
      <c r="C341" s="23" t="str">
        <f ca="1">'Landscape Trees '!D197</f>
        <v>#7</v>
      </c>
      <c r="D341" s="24" t="str">
        <f ca="1">'Landscape Trees '!E197</f>
        <v>0.75-1"</v>
      </c>
      <c r="E341" s="23" t="str">
        <f ca="1">'Landscape Trees '!F197</f>
        <v>5-6'</v>
      </c>
      <c r="F341" s="25">
        <f ca="1">'Landscape Trees '!G197</f>
        <v>0</v>
      </c>
      <c r="G341" s="23">
        <f ca="1">'Landscape Trees '!H197</f>
        <v>20</v>
      </c>
      <c r="H341" s="26">
        <f ca="1">'Landscape Trees '!I197</f>
        <v>55</v>
      </c>
      <c r="I341" s="23" t="str">
        <f t="shared" ca="1" si="2"/>
        <v>Autumnalis Cherry #7-2020</v>
      </c>
      <c r="J341" s="10"/>
      <c r="K341" s="26">
        <f t="shared" ca="1" si="3"/>
        <v>0</v>
      </c>
    </row>
    <row r="342" spans="1:11" ht="12.75">
      <c r="A342" s="23" t="str">
        <f ca="1">'Landscape Trees '!A198</f>
        <v>Prunus 'Autumnalis'</v>
      </c>
      <c r="B342" s="23" t="str">
        <f ca="1">'Landscape Trees '!C198</f>
        <v>Autumnalis cherry</v>
      </c>
      <c r="C342" s="23" t="str">
        <f ca="1">'Landscape Trees '!D198</f>
        <v>#15</v>
      </c>
      <c r="D342" s="24" t="str">
        <f ca="1">'Landscape Trees '!E198</f>
        <v>1-1.5"</v>
      </c>
      <c r="E342" s="23" t="str">
        <f ca="1">'Landscape Trees '!F198</f>
        <v>8-11'</v>
      </c>
      <c r="F342" s="25">
        <f ca="1">'Landscape Trees '!G198</f>
        <v>12</v>
      </c>
      <c r="G342" s="23">
        <f ca="1">'Landscape Trees '!H198</f>
        <v>5</v>
      </c>
      <c r="H342" s="26">
        <f ca="1">'Landscape Trees '!I198</f>
        <v>110</v>
      </c>
      <c r="I342" s="23" t="str">
        <f t="shared" ca="1" si="2"/>
        <v>Autumnalis cherry #15-2020</v>
      </c>
      <c r="J342" s="10"/>
      <c r="K342" s="26">
        <f t="shared" ca="1" si="3"/>
        <v>0</v>
      </c>
    </row>
    <row r="343" spans="1:11" ht="12.75">
      <c r="A343" s="23" t="str">
        <f ca="1">'Landscape Trees '!A199</f>
        <v>Prunus 'Okame'</v>
      </c>
      <c r="B343" s="23" t="str">
        <f ca="1">'Landscape Trees '!C199</f>
        <v>Okame Cherry</v>
      </c>
      <c r="C343" s="23" t="str">
        <f ca="1">'Landscape Trees '!D199</f>
        <v>#5</v>
      </c>
      <c r="D343" s="24" t="str">
        <f ca="1">'Landscape Trees '!E199</f>
        <v>0.75-1"</v>
      </c>
      <c r="E343" s="23" t="str">
        <f ca="1">'Landscape Trees '!F199</f>
        <v>7-9'</v>
      </c>
      <c r="F343" s="25">
        <f ca="1">'Landscape Trees '!G199</f>
        <v>9</v>
      </c>
      <c r="G343" s="23">
        <f ca="1">'Landscape Trees '!H199</f>
        <v>0</v>
      </c>
      <c r="H343" s="26">
        <f ca="1">'Landscape Trees '!I199</f>
        <v>35</v>
      </c>
      <c r="I343" s="23" t="str">
        <f t="shared" ca="1" si="2"/>
        <v>Okame Cherry #5-2020</v>
      </c>
      <c r="J343" s="10"/>
      <c r="K343" s="26">
        <f t="shared" ca="1" si="3"/>
        <v>0</v>
      </c>
    </row>
    <row r="344" spans="1:11" ht="12.75">
      <c r="A344" s="23" t="str">
        <f ca="1">'Landscape Trees '!A200</f>
        <v>Prunus 'Okame'</v>
      </c>
      <c r="B344" s="23" t="str">
        <f ca="1">'Landscape Trees '!C200</f>
        <v>Okame Cherry</v>
      </c>
      <c r="C344" s="23" t="str">
        <f ca="1">'Landscape Trees '!D200</f>
        <v>#7</v>
      </c>
      <c r="D344" s="24" t="str">
        <f ca="1">'Landscape Trees '!E200</f>
        <v>0.75-1"</v>
      </c>
      <c r="E344" s="23" t="str">
        <f ca="1">'Landscape Trees '!F200</f>
        <v>6-7'</v>
      </c>
      <c r="F344" s="25">
        <f ca="1">'Landscape Trees '!G200</f>
        <v>0</v>
      </c>
      <c r="G344" s="23">
        <f ca="1">'Landscape Trees '!H200</f>
        <v>30</v>
      </c>
      <c r="H344" s="26">
        <f ca="1">'Landscape Trees '!I200</f>
        <v>55</v>
      </c>
      <c r="I344" s="23" t="str">
        <f t="shared" ca="1" si="2"/>
        <v>Okame Cherry #7-2020</v>
      </c>
      <c r="J344" s="10"/>
      <c r="K344" s="26">
        <f t="shared" ca="1" si="3"/>
        <v>0</v>
      </c>
    </row>
    <row r="345" spans="1:11" ht="12.75">
      <c r="A345" s="23" t="str">
        <f ca="1">'Landscape Trees '!A201</f>
        <v>Prunus 'Okame'</v>
      </c>
      <c r="B345" s="23" t="str">
        <f ca="1">'Landscape Trees '!C201</f>
        <v>Okame Cherry</v>
      </c>
      <c r="C345" s="23" t="str">
        <f ca="1">'Landscape Trees '!D201</f>
        <v>#15</v>
      </c>
      <c r="D345" s="24" t="str">
        <f ca="1">'Landscape Trees '!E201</f>
        <v>1-1"</v>
      </c>
      <c r="E345" s="23" t="str">
        <f ca="1">'Landscape Trees '!F201</f>
        <v>10-11'</v>
      </c>
      <c r="F345" s="25">
        <f ca="1">'Landscape Trees '!G201</f>
        <v>4</v>
      </c>
      <c r="G345" s="23">
        <f ca="1">'Landscape Trees '!H201</f>
        <v>10</v>
      </c>
      <c r="H345" s="26">
        <f ca="1">'Landscape Trees '!I201</f>
        <v>110</v>
      </c>
      <c r="I345" s="23" t="str">
        <f t="shared" ca="1" si="2"/>
        <v>Okame Cherry #15-2020</v>
      </c>
      <c r="J345" s="10"/>
      <c r="K345" s="26">
        <f t="shared" ca="1" si="3"/>
        <v>0</v>
      </c>
    </row>
    <row r="346" spans="1:11" ht="12.75">
      <c r="A346" s="23" t="str">
        <f ca="1">'Landscape Trees '!A202</f>
        <v>Prunus 'Okame'</v>
      </c>
      <c r="B346" s="23" t="str">
        <f ca="1">'Landscape Trees '!C202</f>
        <v>Okame Cherry</v>
      </c>
      <c r="C346" s="23" t="str">
        <f ca="1">'Landscape Trees '!D202</f>
        <v>#25</v>
      </c>
      <c r="D346" s="24" t="str">
        <f ca="1">'Landscape Trees '!E202</f>
        <v>1-1"</v>
      </c>
      <c r="E346" s="23" t="str">
        <f ca="1">'Landscape Trees '!F202</f>
        <v>10-10'</v>
      </c>
      <c r="F346" s="25">
        <f ca="1">'Landscape Trees '!G202</f>
        <v>1</v>
      </c>
      <c r="G346" s="23">
        <f ca="1">'Landscape Trees '!H202</f>
        <v>0</v>
      </c>
      <c r="H346" s="26">
        <f ca="1">'Landscape Trees '!I202</f>
        <v>135</v>
      </c>
      <c r="I346" s="23" t="str">
        <f t="shared" ca="1" si="2"/>
        <v>Okame Cherry #25-2020</v>
      </c>
      <c r="J346" s="10"/>
      <c r="K346" s="26">
        <f t="shared" ca="1" si="3"/>
        <v>0</v>
      </c>
    </row>
    <row r="347" spans="1:11" ht="12.75">
      <c r="A347" s="23" t="str">
        <f ca="1">'Landscape Trees '!A203</f>
        <v>Prunus × yedoensis</v>
      </c>
      <c r="B347" s="23" t="str">
        <f ca="1">'Landscape Trees '!C203</f>
        <v>Yoshino Cherry</v>
      </c>
      <c r="C347" s="23" t="str">
        <f ca="1">'Landscape Trees '!D203</f>
        <v>#15</v>
      </c>
      <c r="D347" s="24" t="str">
        <f ca="1">'Landscape Trees '!E203</f>
        <v>1.25-1.25"</v>
      </c>
      <c r="E347" s="23" t="str">
        <f ca="1">'Landscape Trees '!F203</f>
        <v>10-10'</v>
      </c>
      <c r="F347" s="25">
        <f ca="1">'Landscape Trees '!G203</f>
        <v>1</v>
      </c>
      <c r="G347" s="23">
        <f ca="1">'Landscape Trees '!H203</f>
        <v>10</v>
      </c>
      <c r="H347" s="26">
        <f ca="1">'Landscape Trees '!I203</f>
        <v>110</v>
      </c>
      <c r="I347" s="23" t="str">
        <f t="shared" ca="1" si="2"/>
        <v>Yoshino Cherry #15-2020</v>
      </c>
      <c r="J347" s="10"/>
      <c r="K347" s="26">
        <f t="shared" ca="1" si="3"/>
        <v>0</v>
      </c>
    </row>
    <row r="348" spans="1:11" ht="12.75">
      <c r="A348" s="23" t="str">
        <f ca="1">'Landscape Trees '!A204</f>
        <v>Prunus × yedoensis</v>
      </c>
      <c r="B348" s="23" t="str">
        <f ca="1">'Landscape Trees '!C204</f>
        <v>Yoshino Cherry</v>
      </c>
      <c r="C348" s="23" t="str">
        <f ca="1">'Landscape Trees '!D204</f>
        <v>#25</v>
      </c>
      <c r="D348" s="24" t="str">
        <f ca="1">'Landscape Trees '!E204</f>
        <v>1.25-1.25"</v>
      </c>
      <c r="E348" s="23" t="str">
        <f ca="1">'Landscape Trees '!F204</f>
        <v>10-10'</v>
      </c>
      <c r="F348" s="25">
        <f ca="1">'Landscape Trees '!G204</f>
        <v>1</v>
      </c>
      <c r="G348" s="23">
        <f ca="1">'Landscape Trees '!H204</f>
        <v>0</v>
      </c>
      <c r="H348" s="26">
        <f ca="1">'Landscape Trees '!I204</f>
        <v>135</v>
      </c>
      <c r="I348" s="23" t="str">
        <f t="shared" ca="1" si="2"/>
        <v>Yoshino Cherry #25-2020</v>
      </c>
      <c r="J348" s="10"/>
      <c r="K348" s="26">
        <f t="shared" ca="1" si="3"/>
        <v>0</v>
      </c>
    </row>
    <row r="349" spans="1:11" ht="12.75">
      <c r="A349" s="23" t="str">
        <f ca="1">'Landscape Trees '!A205</f>
        <v>Prunus americana</v>
      </c>
      <c r="B349" s="23" t="str">
        <f ca="1">'Landscape Trees '!C205</f>
        <v>American Plum</v>
      </c>
      <c r="C349" s="23" t="str">
        <f ca="1">'Landscape Trees '!D205</f>
        <v>#5</v>
      </c>
      <c r="D349" s="24" t="str">
        <f ca="1">'Landscape Trees '!E205</f>
        <v>0.25-0.75"</v>
      </c>
      <c r="E349" s="23" t="str">
        <f ca="1">'Landscape Trees '!F205</f>
        <v>4-7'</v>
      </c>
      <c r="F349" s="25">
        <f ca="1">'Landscape Trees '!G205</f>
        <v>176</v>
      </c>
      <c r="G349" s="23">
        <f ca="1">'Landscape Trees '!H205</f>
        <v>50</v>
      </c>
      <c r="H349" s="26">
        <f ca="1">'Landscape Trees '!I205</f>
        <v>35</v>
      </c>
      <c r="I349" s="23" t="str">
        <f t="shared" ca="1" si="2"/>
        <v>American Plum #5-2020</v>
      </c>
      <c r="J349" s="10"/>
      <c r="K349" s="26">
        <f t="shared" ca="1" si="3"/>
        <v>0</v>
      </c>
    </row>
    <row r="350" spans="1:11" ht="12.75">
      <c r="A350" s="23" t="str">
        <f ca="1">'Landscape Trees '!A206</f>
        <v>Prunus cerasifera 'Thundercloud'</v>
      </c>
      <c r="B350" s="23" t="str">
        <f ca="1">'Landscape Trees '!C206</f>
        <v>Thundercloud Plum</v>
      </c>
      <c r="C350" s="23" t="str">
        <f ca="1">'Landscape Trees '!D206</f>
        <v>#15</v>
      </c>
      <c r="D350" s="24" t="str">
        <f ca="1">'Landscape Trees '!E206</f>
        <v>1.25-1.5"</v>
      </c>
      <c r="E350" s="23" t="str">
        <f ca="1">'Landscape Trees '!F206</f>
        <v>11-11'</v>
      </c>
      <c r="F350" s="25">
        <f ca="1">'Landscape Trees '!G206</f>
        <v>2</v>
      </c>
      <c r="G350" s="23">
        <f ca="1">'Landscape Trees '!H206</f>
        <v>10</v>
      </c>
      <c r="H350" s="26">
        <f ca="1">'Landscape Trees '!I206</f>
        <v>110</v>
      </c>
      <c r="I350" s="23" t="str">
        <f t="shared" ca="1" si="2"/>
        <v>Thundercloud Plum #15-2020</v>
      </c>
      <c r="J350" s="10"/>
      <c r="K350" s="26">
        <f t="shared" ca="1" si="3"/>
        <v>0</v>
      </c>
    </row>
    <row r="351" spans="1:11" ht="12.75">
      <c r="A351" s="23" t="str">
        <f ca="1">'Landscape Trees '!A207</f>
        <v>Prunus serotina</v>
      </c>
      <c r="B351" s="23" t="str">
        <f ca="1">'Landscape Trees '!C207</f>
        <v>Black Cherry</v>
      </c>
      <c r="C351" s="23" t="str">
        <f ca="1">'Landscape Trees '!D207</f>
        <v>#5</v>
      </c>
      <c r="D351" s="24" t="str">
        <f ca="1">'Landscape Trees '!E207</f>
        <v>0.25-0.5"</v>
      </c>
      <c r="E351" s="23" t="str">
        <f ca="1">'Landscape Trees '!F207</f>
        <v>1-2'</v>
      </c>
      <c r="F351" s="25">
        <f ca="1">'Landscape Trees '!G207</f>
        <v>0</v>
      </c>
      <c r="G351" s="23">
        <f ca="1">'Landscape Trees '!H207</f>
        <v>50</v>
      </c>
      <c r="H351" s="26">
        <f ca="1">'Landscape Trees '!I207</f>
        <v>35</v>
      </c>
      <c r="I351" s="23" t="str">
        <f t="shared" ca="1" si="2"/>
        <v>Black Cherry #5-2020</v>
      </c>
      <c r="J351" s="10"/>
      <c r="K351" s="26">
        <f t="shared" ca="1" si="3"/>
        <v>0</v>
      </c>
    </row>
    <row r="352" spans="1:11" ht="12.75">
      <c r="A352" s="23" t="str">
        <f ca="1">'Landscape Trees '!A208</f>
        <v>Prunus serrulata 'Kwanzan'</v>
      </c>
      <c r="B352" s="23" t="str">
        <f ca="1">'Landscape Trees '!C208</f>
        <v>Kwanzan Cherry</v>
      </c>
      <c r="C352" s="23" t="str">
        <f ca="1">'Landscape Trees '!D208</f>
        <v>#5</v>
      </c>
      <c r="D352" s="24" t="str">
        <f ca="1">'Landscape Trees '!E208</f>
        <v>0.5-1"</v>
      </c>
      <c r="E352" s="23" t="str">
        <f ca="1">'Landscape Trees '!F208</f>
        <v>5-7'</v>
      </c>
      <c r="F352" s="25">
        <f ca="1">'Landscape Trees '!G208</f>
        <v>6</v>
      </c>
      <c r="G352" s="23">
        <f ca="1">'Landscape Trees '!H208</f>
        <v>25</v>
      </c>
      <c r="H352" s="26">
        <f ca="1">'Landscape Trees '!I208</f>
        <v>35</v>
      </c>
      <c r="I352" s="23" t="str">
        <f t="shared" ca="1" si="2"/>
        <v>Kwanzan Cherry #5-2020</v>
      </c>
      <c r="J352" s="10"/>
      <c r="K352" s="26">
        <f t="shared" ca="1" si="3"/>
        <v>0</v>
      </c>
    </row>
    <row r="353" spans="1:11" ht="12.75">
      <c r="A353" s="23" t="str">
        <f ca="1">'Landscape Trees '!A209</f>
        <v>Prunus serrulata 'Kwanzan'</v>
      </c>
      <c r="B353" s="23" t="str">
        <f ca="1">'Landscape Trees '!C209</f>
        <v>Kwanzan Cherry</v>
      </c>
      <c r="C353" s="23" t="str">
        <f ca="1">'Landscape Trees '!D209</f>
        <v>#10</v>
      </c>
      <c r="D353" s="24" t="str">
        <f ca="1">'Landscape Trees '!E209</f>
        <v>1-1.5"</v>
      </c>
      <c r="E353" s="23" t="str">
        <f ca="1">'Landscape Trees '!F209</f>
        <v>9-10'</v>
      </c>
      <c r="F353" s="25">
        <f ca="1">'Landscape Trees '!G209</f>
        <v>4</v>
      </c>
      <c r="G353" s="23">
        <f ca="1">'Landscape Trees '!H209</f>
        <v>30</v>
      </c>
      <c r="H353" s="26">
        <f ca="1">'Landscape Trees '!I209</f>
        <v>95</v>
      </c>
      <c r="I353" s="23" t="str">
        <f t="shared" ca="1" si="2"/>
        <v>Kwanzan Cherry #10-2020</v>
      </c>
      <c r="J353" s="10"/>
      <c r="K353" s="26">
        <f t="shared" ca="1" si="3"/>
        <v>0</v>
      </c>
    </row>
    <row r="354" spans="1:11" ht="12.75">
      <c r="A354" s="23" t="str">
        <f ca="1">'Landscape Trees '!A210</f>
        <v>Prunus serrulata 'Kwanzan'</v>
      </c>
      <c r="B354" s="23" t="str">
        <f ca="1">'Landscape Trees '!C210</f>
        <v>Kwanzan Cherry</v>
      </c>
      <c r="C354" s="23" t="str">
        <f ca="1">'Landscape Trees '!D210</f>
        <v>#15</v>
      </c>
      <c r="D354" s="24" t="str">
        <f ca="1">'Landscape Trees '!E210</f>
        <v>1-1"</v>
      </c>
      <c r="E354" s="23" t="str">
        <f ca="1">'Landscape Trees '!F210</f>
        <v>8-9'</v>
      </c>
      <c r="F354" s="25">
        <f ca="1">'Landscape Trees '!G210</f>
        <v>0</v>
      </c>
      <c r="G354" s="23">
        <f ca="1">'Landscape Trees '!H210</f>
        <v>20</v>
      </c>
      <c r="H354" s="26">
        <f ca="1">'Landscape Trees '!I210</f>
        <v>110</v>
      </c>
      <c r="I354" s="23" t="str">
        <f t="shared" ca="1" si="2"/>
        <v>Kwanzan Cherry #15-2020</v>
      </c>
      <c r="J354" s="10"/>
      <c r="K354" s="26">
        <f t="shared" ca="1" si="3"/>
        <v>0</v>
      </c>
    </row>
    <row r="355" spans="1:11" ht="12.75">
      <c r="A355" s="23" t="str">
        <f ca="1">'Landscape Trees '!A211</f>
        <v>Prunus subhirtella 'Snow Fountains'</v>
      </c>
      <c r="B355" s="23" t="str">
        <f ca="1">'Landscape Trees '!C211</f>
        <v>Snow Fountains Cherry</v>
      </c>
      <c r="C355" s="23" t="str">
        <f ca="1">'Landscape Trees '!D211</f>
        <v>#15</v>
      </c>
      <c r="D355" s="24" t="str">
        <f ca="1">'Landscape Trees '!E211</f>
        <v>1.25-1.25"</v>
      </c>
      <c r="E355" s="23" t="str">
        <f ca="1">'Landscape Trees '!F211</f>
        <v>6.5-6.5'</v>
      </c>
      <c r="F355" s="25">
        <f ca="1">'Landscape Trees '!G211</f>
        <v>6</v>
      </c>
      <c r="G355" s="23">
        <f ca="1">'Landscape Trees '!H211</f>
        <v>15</v>
      </c>
      <c r="H355" s="26">
        <f ca="1">'Landscape Trees '!I211</f>
        <v>115</v>
      </c>
      <c r="I355" s="23" t="str">
        <f t="shared" ca="1" si="2"/>
        <v>Snow Fountains Cherry #15-2020</v>
      </c>
      <c r="J355" s="10"/>
      <c r="K355" s="26">
        <f t="shared" ca="1" si="3"/>
        <v>0</v>
      </c>
    </row>
    <row r="356" spans="1:11" ht="12.75">
      <c r="A356" s="23" t="str">
        <f ca="1">'Landscape Trees '!A212</f>
        <v>Prunus subhirtella 'Snow Fountains'</v>
      </c>
      <c r="B356" s="23" t="str">
        <f ca="1">'Landscape Trees '!C212</f>
        <v>Snow Fountains Cherry</v>
      </c>
      <c r="C356" s="23" t="str">
        <f ca="1">'Landscape Trees '!D212</f>
        <v>#25</v>
      </c>
      <c r="D356" s="24" t="str">
        <f ca="1">'Landscape Trees '!E212</f>
        <v>1-1.25"</v>
      </c>
      <c r="E356" s="23" t="str">
        <f ca="1">'Landscape Trees '!F212</f>
        <v>6.5-6.5'</v>
      </c>
      <c r="F356" s="25">
        <f ca="1">'Landscape Trees '!G212</f>
        <v>3</v>
      </c>
      <c r="G356" s="23">
        <f ca="1">'Landscape Trees '!H212</f>
        <v>0</v>
      </c>
      <c r="H356" s="26">
        <f ca="1">'Landscape Trees '!I212</f>
        <v>135</v>
      </c>
      <c r="I356" s="23" t="str">
        <f t="shared" ca="1" si="2"/>
        <v>Snow Fountains Cherry #25-2020</v>
      </c>
      <c r="J356" s="10"/>
      <c r="K356" s="26">
        <f t="shared" ca="1" si="3"/>
        <v>0</v>
      </c>
    </row>
    <row r="357" spans="1:11" ht="12.75">
      <c r="A357" s="23" t="str">
        <f ca="1">'Landscape Trees '!A213</f>
        <v>Prunus subhirtella 'Snow Goose'</v>
      </c>
      <c r="B357" s="23" t="str">
        <f ca="1">'Landscape Trees '!C213</f>
        <v>Snow Goose Cherry</v>
      </c>
      <c r="C357" s="23" t="str">
        <f ca="1">'Landscape Trees '!D213</f>
        <v>#15</v>
      </c>
      <c r="D357" s="24" t="str">
        <f ca="1">'Landscape Trees '!E213</f>
        <v>1-1.75"</v>
      </c>
      <c r="E357" s="23" t="str">
        <f ca="1">'Landscape Trees '!F213</f>
        <v>9-10'</v>
      </c>
      <c r="F357" s="25">
        <f ca="1">'Landscape Trees '!G213</f>
        <v>5</v>
      </c>
      <c r="G357" s="23">
        <f ca="1">'Landscape Trees '!H213</f>
        <v>0</v>
      </c>
      <c r="H357" s="26">
        <f ca="1">'Landscape Trees '!I213</f>
        <v>110</v>
      </c>
      <c r="I357" s="23" t="str">
        <f t="shared" ca="1" si="2"/>
        <v>Snow Goose Cherry #15-2020</v>
      </c>
      <c r="J357" s="10"/>
      <c r="K357" s="26">
        <f t="shared" ca="1" si="3"/>
        <v>0</v>
      </c>
    </row>
    <row r="358" spans="1:11" ht="12.75">
      <c r="A358" s="23" t="str">
        <f ca="1">'Landscape Trees '!A214</f>
        <v>Prunus subhirtella 'Snow Goose'</v>
      </c>
      <c r="B358" s="23" t="str">
        <f ca="1">'Landscape Trees '!C214</f>
        <v>Snow Goose Cherry</v>
      </c>
      <c r="C358" s="23" t="str">
        <f ca="1">'Landscape Trees '!D214</f>
        <v>#25</v>
      </c>
      <c r="D358" s="24" t="str">
        <f ca="1">'Landscape Trees '!E214</f>
        <v>1.25-1.25"</v>
      </c>
      <c r="E358" s="23" t="str">
        <f ca="1">'Landscape Trees '!F214</f>
        <v>9-10'</v>
      </c>
      <c r="F358" s="25">
        <f ca="1">'Landscape Trees '!G214</f>
        <v>2</v>
      </c>
      <c r="G358" s="23">
        <f ca="1">'Landscape Trees '!H214</f>
        <v>0</v>
      </c>
      <c r="H358" s="26">
        <f ca="1">'Landscape Trees '!I214</f>
        <v>135</v>
      </c>
      <c r="I358" s="23" t="str">
        <f t="shared" ca="1" si="2"/>
        <v>Snow Goose Cherry #25-2020</v>
      </c>
      <c r="J358" s="10"/>
      <c r="K358" s="26">
        <f t="shared" ca="1" si="3"/>
        <v>0</v>
      </c>
    </row>
    <row r="359" spans="1:11" ht="12.75">
      <c r="A359" s="23" t="str">
        <f ca="1">'Landscape Trees '!A215</f>
        <v>Prunus subhirtella "Pendula plena rosea"</v>
      </c>
      <c r="B359" s="23" t="str">
        <f ca="1">'Landscape Trees '!C215</f>
        <v>Double Pink Weeping Cherry</v>
      </c>
      <c r="C359" s="23" t="str">
        <f ca="1">'Landscape Trees '!D215</f>
        <v>#15</v>
      </c>
      <c r="D359" s="24" t="str">
        <f ca="1">'Landscape Trees '!E215</f>
        <v>1.25-1.5"</v>
      </c>
      <c r="E359" s="23" t="str">
        <f ca="1">'Landscape Trees '!F215</f>
        <v>6.5-6.5'</v>
      </c>
      <c r="F359" s="25">
        <f ca="1">'Landscape Trees '!G215</f>
        <v>4</v>
      </c>
      <c r="G359" s="23">
        <f ca="1">'Landscape Trees '!H215</f>
        <v>15</v>
      </c>
      <c r="H359" s="26">
        <f ca="1">'Landscape Trees '!I215</f>
        <v>115</v>
      </c>
      <c r="I359" s="23" t="str">
        <f t="shared" ca="1" si="2"/>
        <v>Double Pink Weeping Cherry #15-2020</v>
      </c>
      <c r="J359" s="10"/>
      <c r="K359" s="26">
        <f t="shared" ca="1" si="3"/>
        <v>0</v>
      </c>
    </row>
    <row r="360" spans="1:11" ht="12.75">
      <c r="A360" s="23" t="str">
        <f ca="1">'Landscape Trees '!A216</f>
        <v>Prunus virginiana</v>
      </c>
      <c r="B360" s="23" t="str">
        <f ca="1">'Landscape Trees '!C216</f>
        <v>Chokecherry</v>
      </c>
      <c r="C360" s="23" t="str">
        <f ca="1">'Landscape Trees '!D216</f>
        <v>#5</v>
      </c>
      <c r="D360" s="27" t="str">
        <f ca="1">'Landscape Trees '!E216</f>
        <v>Multi</v>
      </c>
      <c r="E360" s="23" t="str">
        <f ca="1">'Landscape Trees '!F216</f>
        <v>1-6.5'</v>
      </c>
      <c r="F360" s="25">
        <f ca="1">'Landscape Trees '!G216</f>
        <v>58</v>
      </c>
      <c r="G360" s="23">
        <f ca="1">'Landscape Trees '!H216</f>
        <v>10</v>
      </c>
      <c r="H360" s="26">
        <f ca="1">'Landscape Trees '!I216</f>
        <v>30</v>
      </c>
      <c r="I360" s="23" t="str">
        <f t="shared" ca="1" si="2"/>
        <v>Chokecherry #5-2020</v>
      </c>
      <c r="J360" s="10"/>
      <c r="K360" s="26">
        <f t="shared" ca="1" si="3"/>
        <v>0</v>
      </c>
    </row>
    <row r="361" spans="1:11" ht="12.75">
      <c r="A361" s="23" t="str">
        <f ca="1">'Landscape Trees '!A217</f>
        <v>Prunus x cistena</v>
      </c>
      <c r="B361" s="23" t="str">
        <f ca="1">'Landscape Trees '!C217</f>
        <v>Purple Sand Cherry</v>
      </c>
      <c r="C361" s="23" t="str">
        <f ca="1">'Landscape Trees '!D217</f>
        <v>#5</v>
      </c>
      <c r="D361" s="27" t="str">
        <f ca="1">'Landscape Trees '!E217</f>
        <v>Multi</v>
      </c>
      <c r="E361" s="23" t="str">
        <f ca="1">'Landscape Trees '!F217</f>
        <v>4-5'</v>
      </c>
      <c r="F361" s="25">
        <f ca="1">'Landscape Trees '!G217</f>
        <v>3</v>
      </c>
      <c r="G361" s="23">
        <f ca="1">'Landscape Trees '!H217</f>
        <v>0</v>
      </c>
      <c r="H361" s="26">
        <f ca="1">'Landscape Trees '!I217</f>
        <v>35</v>
      </c>
      <c r="I361" s="23" t="str">
        <f t="shared" ca="1" si="2"/>
        <v>Purple Sand Cherry #5-2020</v>
      </c>
      <c r="J361" s="10"/>
      <c r="K361" s="26">
        <f t="shared" ca="1" si="3"/>
        <v>0</v>
      </c>
    </row>
    <row r="362" spans="1:11" ht="12.75">
      <c r="A362" s="23" t="str">
        <f ca="1">'Landscape Trees '!A218</f>
        <v>Quercus 'Kindred Spirit'</v>
      </c>
      <c r="B362" s="23" t="str">
        <f ca="1">'Landscape Trees '!C218</f>
        <v>Kindred Spirit Oak</v>
      </c>
      <c r="C362" s="23" t="str">
        <f ca="1">'Landscape Trees '!D218</f>
        <v>#7</v>
      </c>
      <c r="D362" s="24" t="str">
        <f ca="1">'Landscape Trees '!E218</f>
        <v>0.75-0.5"</v>
      </c>
      <c r="E362" s="23" t="str">
        <f ca="1">'Landscape Trees '!F218</f>
        <v>4-5'</v>
      </c>
      <c r="F362" s="25">
        <f ca="1">'Landscape Trees '!G218</f>
        <v>10</v>
      </c>
      <c r="G362" s="23">
        <f ca="1">'Landscape Trees '!H218</f>
        <v>10</v>
      </c>
      <c r="H362" s="26">
        <f ca="1">'Landscape Trees '!I218</f>
        <v>45</v>
      </c>
      <c r="I362" s="23" t="str">
        <f t="shared" ca="1" si="2"/>
        <v>Kindred Spirit Oak #7-2020</v>
      </c>
      <c r="J362" s="10"/>
      <c r="K362" s="26">
        <f t="shared" ca="1" si="3"/>
        <v>0</v>
      </c>
    </row>
    <row r="363" spans="1:11" ht="12.75">
      <c r="A363" s="23" t="str">
        <f ca="1">'Landscape Trees '!A219</f>
        <v>Quercus alba</v>
      </c>
      <c r="B363" s="23" t="str">
        <f ca="1">'Landscape Trees '!C219</f>
        <v>White Oak</v>
      </c>
      <c r="C363" s="23" t="str">
        <f ca="1">'Landscape Trees '!D219</f>
        <v>#5</v>
      </c>
      <c r="D363" s="24" t="str">
        <f ca="1">'Landscape Trees '!E219</f>
        <v>0.5-0.75"</v>
      </c>
      <c r="E363" s="23" t="str">
        <f ca="1">'Landscape Trees '!F219</f>
        <v>3-4'</v>
      </c>
      <c r="F363" s="25">
        <f ca="1">'Landscape Trees '!G219</f>
        <v>80</v>
      </c>
      <c r="G363" s="23">
        <f ca="1">'Landscape Trees '!H219</f>
        <v>200</v>
      </c>
      <c r="H363" s="26">
        <f ca="1">'Landscape Trees '!I219</f>
        <v>40</v>
      </c>
      <c r="I363" s="23" t="str">
        <f t="shared" ca="1" si="2"/>
        <v>White Oak #5-2020</v>
      </c>
      <c r="J363" s="10"/>
      <c r="K363" s="26">
        <f t="shared" ca="1" si="3"/>
        <v>0</v>
      </c>
    </row>
    <row r="364" spans="1:11" ht="12.75">
      <c r="A364" s="23" t="str">
        <f ca="1">'Landscape Trees '!A220</f>
        <v>Quercus alba</v>
      </c>
      <c r="B364" s="23" t="str">
        <f ca="1">'Landscape Trees '!C220</f>
        <v>White Oak</v>
      </c>
      <c r="C364" s="23" t="str">
        <f ca="1">'Landscape Trees '!D220</f>
        <v>#7</v>
      </c>
      <c r="D364" s="24" t="str">
        <f ca="1">'Landscape Trees '!E220</f>
        <v>0.5-0.75"</v>
      </c>
      <c r="E364" s="23" t="str">
        <f ca="1">'Landscape Trees '!F220</f>
        <v>3-4'</v>
      </c>
      <c r="F364" s="25">
        <f ca="1">'Landscape Trees '!G220</f>
        <v>42</v>
      </c>
      <c r="G364" s="23">
        <f ca="1">'Landscape Trees '!H220</f>
        <v>150</v>
      </c>
      <c r="H364" s="26">
        <f ca="1">'Landscape Trees '!I220</f>
        <v>50</v>
      </c>
      <c r="I364" s="23" t="str">
        <f t="shared" ca="1" si="2"/>
        <v>White Oak #7-2020</v>
      </c>
      <c r="J364" s="10"/>
      <c r="K364" s="26">
        <f t="shared" ca="1" si="3"/>
        <v>0</v>
      </c>
    </row>
    <row r="365" spans="1:11" ht="12.75">
      <c r="A365" s="23" t="str">
        <f ca="1">'Landscape Trees '!A221</f>
        <v>Quercus alba</v>
      </c>
      <c r="B365" s="23" t="str">
        <f ca="1">'Landscape Trees '!C221</f>
        <v>White Oak</v>
      </c>
      <c r="C365" s="23" t="str">
        <f ca="1">'Landscape Trees '!D221</f>
        <v>#10</v>
      </c>
      <c r="D365" s="24" t="str">
        <f ca="1">'Landscape Trees '!E221</f>
        <v>0.25-0.75"</v>
      </c>
      <c r="E365" s="23" t="str">
        <f ca="1">'Landscape Trees '!F221</f>
        <v>3-4'</v>
      </c>
      <c r="F365" s="25">
        <f ca="1">'Landscape Trees '!G221</f>
        <v>0</v>
      </c>
      <c r="G365" s="23">
        <f ca="1">'Landscape Trees '!H221</f>
        <v>30</v>
      </c>
      <c r="H365" s="26">
        <f ca="1">'Landscape Trees '!I221</f>
        <v>80</v>
      </c>
      <c r="I365" s="23" t="str">
        <f t="shared" ca="1" si="2"/>
        <v>White Oak #10-2020</v>
      </c>
      <c r="J365" s="10"/>
      <c r="K365" s="26">
        <f t="shared" ca="1" si="3"/>
        <v>0</v>
      </c>
    </row>
    <row r="366" spans="1:11" ht="12.75">
      <c r="A366" s="23" t="str">
        <f ca="1">'Landscape Trees '!A222</f>
        <v>Quercus alba</v>
      </c>
      <c r="B366" s="23" t="str">
        <f ca="1">'Landscape Trees '!C222</f>
        <v>White Oak</v>
      </c>
      <c r="C366" s="23" t="str">
        <f ca="1">'Landscape Trees '!D222</f>
        <v>#15</v>
      </c>
      <c r="D366" s="24" t="str">
        <f ca="1">'Landscape Trees '!E222</f>
        <v>1-2"</v>
      </c>
      <c r="E366" s="23" t="str">
        <f ca="1">'Landscape Trees '!F222</f>
        <v>7-9'</v>
      </c>
      <c r="F366" s="25">
        <f ca="1">'Landscape Trees '!G222</f>
        <v>28</v>
      </c>
      <c r="G366" s="23">
        <f ca="1">'Landscape Trees '!H222</f>
        <v>0</v>
      </c>
      <c r="H366" s="26">
        <f ca="1">'Landscape Trees '!I222</f>
        <v>125</v>
      </c>
      <c r="I366" s="23" t="str">
        <f t="shared" ca="1" si="2"/>
        <v>White Oak #15-2020</v>
      </c>
      <c r="J366" s="10"/>
      <c r="K366" s="26">
        <f t="shared" ca="1" si="3"/>
        <v>0</v>
      </c>
    </row>
    <row r="367" spans="1:11" ht="12.75">
      <c r="A367" s="23" t="str">
        <f ca="1">'Landscape Trees '!A223</f>
        <v>Quercus bicolor</v>
      </c>
      <c r="B367" s="23" t="str">
        <f ca="1">'Landscape Trees '!C223</f>
        <v>Swamp White Oak</v>
      </c>
      <c r="C367" s="23" t="str">
        <f ca="1">'Landscape Trees '!D223</f>
        <v>#5</v>
      </c>
      <c r="D367" s="24" t="str">
        <f ca="1">'Landscape Trees '!E223</f>
        <v>0.25-1"</v>
      </c>
      <c r="E367" s="23" t="str">
        <f ca="1">'Landscape Trees '!F223</f>
        <v>2-6'</v>
      </c>
      <c r="F367" s="25">
        <f ca="1">'Landscape Trees '!G223</f>
        <v>212</v>
      </c>
      <c r="G367" s="23">
        <f ca="1">'Landscape Trees '!H223</f>
        <v>200</v>
      </c>
      <c r="H367" s="26">
        <f ca="1">'Landscape Trees '!I223</f>
        <v>35</v>
      </c>
      <c r="I367" s="23" t="str">
        <f t="shared" ca="1" si="2"/>
        <v>Swamp White Oak #5-2020</v>
      </c>
      <c r="J367" s="10"/>
      <c r="K367" s="26">
        <f t="shared" ca="1" si="3"/>
        <v>0</v>
      </c>
    </row>
    <row r="368" spans="1:11" ht="12.75">
      <c r="A368" s="23" t="str">
        <f ca="1">'Landscape Trees '!A224</f>
        <v>Quercus bicolor</v>
      </c>
      <c r="B368" s="23" t="str">
        <f ca="1">'Landscape Trees '!C224</f>
        <v>Swamp White Oak</v>
      </c>
      <c r="C368" s="23" t="str">
        <f ca="1">'Landscape Trees '!D224</f>
        <v>#15</v>
      </c>
      <c r="D368" s="24" t="str">
        <f ca="1">'Landscape Trees '!E224</f>
        <v>1-1.25"</v>
      </c>
      <c r="E368" s="23" t="str">
        <f ca="1">'Landscape Trees '!F224</f>
        <v>9-9'</v>
      </c>
      <c r="F368" s="25">
        <f ca="1">'Landscape Trees '!G224</f>
        <v>1</v>
      </c>
      <c r="G368" s="23">
        <f ca="1">'Landscape Trees '!H224</f>
        <v>20</v>
      </c>
      <c r="H368" s="26">
        <f ca="1">'Landscape Trees '!I224</f>
        <v>110</v>
      </c>
      <c r="I368" s="23" t="str">
        <f t="shared" ca="1" si="2"/>
        <v>Swamp White Oak #15-2020</v>
      </c>
      <c r="J368" s="10"/>
      <c r="K368" s="26">
        <f t="shared" ca="1" si="3"/>
        <v>0</v>
      </c>
    </row>
    <row r="369" spans="1:11" ht="12.75">
      <c r="A369" s="23" t="str">
        <f ca="1">'Landscape Trees '!A225</f>
        <v>Quercus bicolor</v>
      </c>
      <c r="B369" s="23" t="str">
        <f ca="1">'Landscape Trees '!C225</f>
        <v>Swamp White Oak</v>
      </c>
      <c r="C369" s="23" t="str">
        <f ca="1">'Landscape Trees '!D225</f>
        <v>#15</v>
      </c>
      <c r="D369" s="24" t="str">
        <f ca="1">'Landscape Trees '!E225</f>
        <v>1-1"</v>
      </c>
      <c r="E369" s="23" t="str">
        <f ca="1">'Landscape Trees '!F225</f>
        <v>8-9'</v>
      </c>
      <c r="F369" s="25">
        <f ca="1">'Landscape Trees '!G225</f>
        <v>0</v>
      </c>
      <c r="G369" s="23">
        <f ca="1">'Landscape Trees '!H225</f>
        <v>20</v>
      </c>
      <c r="H369" s="26">
        <f ca="1">'Landscape Trees '!I225</f>
        <v>110</v>
      </c>
      <c r="I369" s="23" t="str">
        <f t="shared" ca="1" si="2"/>
        <v>Swamp White Oak #15-2020</v>
      </c>
      <c r="J369" s="10"/>
      <c r="K369" s="26">
        <f t="shared" ca="1" si="3"/>
        <v>0</v>
      </c>
    </row>
    <row r="370" spans="1:11" ht="12.75">
      <c r="A370" s="23" t="str">
        <f ca="1">'Landscape Trees '!A226</f>
        <v>Quercus bicolor</v>
      </c>
      <c r="B370" s="23" t="str">
        <f ca="1">'Landscape Trees '!C226</f>
        <v>Swamp White Oak</v>
      </c>
      <c r="C370" s="23" t="str">
        <f ca="1">'Landscape Trees '!D226</f>
        <v>#25</v>
      </c>
      <c r="D370" s="24" t="str">
        <f ca="1">'Landscape Trees '!E226</f>
        <v>1-1.25"</v>
      </c>
      <c r="E370" s="23" t="str">
        <f ca="1">'Landscape Trees '!F226</f>
        <v>9-9'</v>
      </c>
      <c r="F370" s="25">
        <f ca="1">'Landscape Trees '!G226</f>
        <v>4</v>
      </c>
      <c r="G370" s="23">
        <f ca="1">'Landscape Trees '!H226</f>
        <v>5</v>
      </c>
      <c r="H370" s="26">
        <f ca="1">'Landscape Trees '!I226</f>
        <v>135</v>
      </c>
      <c r="I370" s="23" t="str">
        <f t="shared" ca="1" si="2"/>
        <v>Swamp White Oak #25-2020</v>
      </c>
      <c r="J370" s="10"/>
      <c r="K370" s="26">
        <f t="shared" ca="1" si="3"/>
        <v>0</v>
      </c>
    </row>
    <row r="371" spans="1:11" ht="12.75">
      <c r="A371" s="23" t="str">
        <f ca="1">'Landscape Trees '!A227</f>
        <v>Quercus coccinea</v>
      </c>
      <c r="B371" s="23" t="str">
        <f ca="1">'Landscape Trees '!C227</f>
        <v>Scarlet Oak</v>
      </c>
      <c r="C371" s="23" t="str">
        <f ca="1">'Landscape Trees '!D227</f>
        <v>#5</v>
      </c>
      <c r="D371" s="24" t="str">
        <f ca="1">'Landscape Trees '!E227</f>
        <v>0.5-0.75"</v>
      </c>
      <c r="E371" s="23" t="str">
        <f ca="1">'Landscape Trees '!F227</f>
        <v>4-6'</v>
      </c>
      <c r="F371" s="25">
        <f ca="1">'Landscape Trees '!G227</f>
        <v>67</v>
      </c>
      <c r="G371" s="23">
        <f ca="1">'Landscape Trees '!H227</f>
        <v>50</v>
      </c>
      <c r="H371" s="26">
        <f ca="1">'Landscape Trees '!I227</f>
        <v>35</v>
      </c>
      <c r="I371" s="23" t="str">
        <f t="shared" ca="1" si="2"/>
        <v>Scarlet Oak #5-2020</v>
      </c>
      <c r="J371" s="10"/>
      <c r="K371" s="26">
        <f t="shared" ca="1" si="3"/>
        <v>0</v>
      </c>
    </row>
    <row r="372" spans="1:11" ht="12.75">
      <c r="A372" s="23" t="str">
        <f ca="1">'Landscape Trees '!A228</f>
        <v>Quercus coccinea</v>
      </c>
      <c r="B372" s="23" t="str">
        <f ca="1">'Landscape Trees '!C228</f>
        <v>Scarlet Oak</v>
      </c>
      <c r="C372" s="23" t="str">
        <f ca="1">'Landscape Trees '!D228</f>
        <v>#7</v>
      </c>
      <c r="D372" s="24" t="str">
        <f ca="1">'Landscape Trees '!E228</f>
        <v>0.5-0.75"</v>
      </c>
      <c r="E372" s="23" t="str">
        <f ca="1">'Landscape Trees '!F228</f>
        <v>4-4'</v>
      </c>
      <c r="F372" s="25">
        <f ca="1">'Landscape Trees '!G228</f>
        <v>4</v>
      </c>
      <c r="G372" s="23">
        <f ca="1">'Landscape Trees '!H228</f>
        <v>0</v>
      </c>
      <c r="H372" s="26">
        <f ca="1">'Landscape Trees '!I228</f>
        <v>50</v>
      </c>
      <c r="I372" s="23" t="str">
        <f t="shared" ca="1" si="2"/>
        <v>Scarlet Oak #7-2020</v>
      </c>
      <c r="J372" s="10"/>
      <c r="K372" s="26">
        <f t="shared" ca="1" si="3"/>
        <v>0</v>
      </c>
    </row>
    <row r="373" spans="1:11" ht="12.75">
      <c r="A373" s="23" t="str">
        <f ca="1">'Landscape Trees '!A229</f>
        <v>Quercus coccinea</v>
      </c>
      <c r="B373" s="23" t="str">
        <f ca="1">'Landscape Trees '!C229</f>
        <v>Scarlet Oak</v>
      </c>
      <c r="C373" s="23" t="str">
        <f ca="1">'Landscape Trees '!D229</f>
        <v>#15</v>
      </c>
      <c r="D373" s="24" t="str">
        <f ca="1">'Landscape Trees '!E229</f>
        <v>1.25-1.25"</v>
      </c>
      <c r="E373" s="23" t="str">
        <f ca="1">'Landscape Trees '!F229</f>
        <v>10-12'</v>
      </c>
      <c r="F373" s="25">
        <f ca="1">'Landscape Trees '!G229</f>
        <v>2</v>
      </c>
      <c r="G373" s="23">
        <f ca="1">'Landscape Trees '!H229</f>
        <v>10</v>
      </c>
      <c r="H373" s="26">
        <f ca="1">'Landscape Trees '!I229</f>
        <v>110</v>
      </c>
      <c r="I373" s="23" t="str">
        <f t="shared" ca="1" si="2"/>
        <v>Scarlet Oak #15-2020</v>
      </c>
      <c r="J373" s="10"/>
      <c r="K373" s="26">
        <f t="shared" ca="1" si="3"/>
        <v>0</v>
      </c>
    </row>
    <row r="374" spans="1:11" ht="12.75">
      <c r="A374" s="23" t="str">
        <f ca="1">'Landscape Trees '!A230</f>
        <v>Quercus imbricaria</v>
      </c>
      <c r="B374" s="23" t="str">
        <f ca="1">'Landscape Trees '!C230</f>
        <v>Shingle Oak</v>
      </c>
      <c r="C374" s="23" t="str">
        <f ca="1">'Landscape Trees '!D230</f>
        <v>#5</v>
      </c>
      <c r="D374" s="24" t="str">
        <f ca="1">'Landscape Trees '!E230</f>
        <v>0.25-0.5"</v>
      </c>
      <c r="E374" s="23" t="str">
        <f ca="1">'Landscape Trees '!F230</f>
        <v>2-4'</v>
      </c>
      <c r="F374" s="25">
        <f ca="1">'Landscape Trees '!G230</f>
        <v>5</v>
      </c>
      <c r="G374" s="23">
        <f ca="1">'Landscape Trees '!H230</f>
        <v>25</v>
      </c>
      <c r="H374" s="26">
        <f ca="1">'Landscape Trees '!I230</f>
        <v>35</v>
      </c>
      <c r="I374" s="23" t="str">
        <f t="shared" ca="1" si="2"/>
        <v>Shingle Oak #5-2020</v>
      </c>
      <c r="J374" s="10"/>
      <c r="K374" s="26">
        <f t="shared" ca="1" si="3"/>
        <v>0</v>
      </c>
    </row>
    <row r="375" spans="1:11" ht="12.75">
      <c r="A375" s="23" t="str">
        <f ca="1">'Landscape Trees '!A231</f>
        <v>Quercus imbricaria</v>
      </c>
      <c r="B375" s="23" t="str">
        <f ca="1">'Landscape Trees '!C231</f>
        <v>Shingle Oak</v>
      </c>
      <c r="C375" s="23" t="str">
        <f ca="1">'Landscape Trees '!D231</f>
        <v>#25</v>
      </c>
      <c r="D375" s="24" t="str">
        <f ca="1">'Landscape Trees '!E231</f>
        <v>1.5-1.5"</v>
      </c>
      <c r="E375" s="23" t="str">
        <f ca="1">'Landscape Trees '!F231</f>
        <v>11-11'</v>
      </c>
      <c r="F375" s="25">
        <f ca="1">'Landscape Trees '!G231</f>
        <v>1</v>
      </c>
      <c r="G375" s="23">
        <f ca="1">'Landscape Trees '!H231</f>
        <v>0</v>
      </c>
      <c r="H375" s="26">
        <f ca="1">'Landscape Trees '!I231</f>
        <v>140</v>
      </c>
      <c r="I375" s="23" t="str">
        <f t="shared" ca="1" si="2"/>
        <v>Shingle Oak #25-2020</v>
      </c>
      <c r="J375" s="10"/>
      <c r="K375" s="26">
        <f t="shared" ca="1" si="3"/>
        <v>0</v>
      </c>
    </row>
    <row r="376" spans="1:11" ht="12.75">
      <c r="A376" s="23" t="str">
        <f ca="1">'Landscape Trees '!A232</f>
        <v>Quercus lyrata</v>
      </c>
      <c r="B376" s="23" t="str">
        <f ca="1">'Landscape Trees '!C232</f>
        <v>Overcup Oak</v>
      </c>
      <c r="C376" s="23" t="str">
        <f ca="1">'Landscape Trees '!D232</f>
        <v>#5</v>
      </c>
      <c r="D376" s="24" t="str">
        <f ca="1">'Landscape Trees '!E232</f>
        <v>0.25-0.5"</v>
      </c>
      <c r="E376" s="23" t="str">
        <f ca="1">'Landscape Trees '!F232</f>
        <v>2-4'</v>
      </c>
      <c r="F376" s="25">
        <f ca="1">'Landscape Trees '!G232</f>
        <v>24</v>
      </c>
      <c r="G376" s="23">
        <f ca="1">'Landscape Trees '!H232</f>
        <v>0</v>
      </c>
      <c r="H376" s="26">
        <f ca="1">'Landscape Trees '!I232</f>
        <v>35</v>
      </c>
      <c r="I376" s="23" t="str">
        <f t="shared" ca="1" si="2"/>
        <v>Overcup Oak #5-2020</v>
      </c>
      <c r="J376" s="10"/>
      <c r="K376" s="26">
        <f t="shared" ca="1" si="3"/>
        <v>0</v>
      </c>
    </row>
    <row r="377" spans="1:11" ht="12.75">
      <c r="A377" s="23" t="str">
        <f ca="1">'Landscape Trees '!A233</f>
        <v>Quercus macrocarpa</v>
      </c>
      <c r="B377" s="23" t="str">
        <f ca="1">'Landscape Trees '!C233</f>
        <v>Bur Oak</v>
      </c>
      <c r="C377" s="23" t="str">
        <f ca="1">'Landscape Trees '!D233</f>
        <v>#5</v>
      </c>
      <c r="D377" s="24" t="str">
        <f ca="1">'Landscape Trees '!E233</f>
        <v>0.25-0.5"</v>
      </c>
      <c r="E377" s="23" t="str">
        <f ca="1">'Landscape Trees '!F233</f>
        <v>2-4'</v>
      </c>
      <c r="F377" s="25">
        <f ca="1">'Landscape Trees '!G233</f>
        <v>170</v>
      </c>
      <c r="G377" s="23">
        <f ca="1">'Landscape Trees '!H233</f>
        <v>0</v>
      </c>
      <c r="H377" s="26">
        <f ca="1">'Landscape Trees '!I233</f>
        <v>30</v>
      </c>
      <c r="I377" s="23" t="str">
        <f t="shared" ca="1" si="2"/>
        <v>Bur Oak #5-2020</v>
      </c>
      <c r="J377" s="10"/>
      <c r="K377" s="26">
        <f t="shared" ca="1" si="3"/>
        <v>0</v>
      </c>
    </row>
    <row r="378" spans="1:11" ht="12.75">
      <c r="A378" s="23" t="str">
        <f ca="1">'Landscape Trees '!A234</f>
        <v>Quercus macrocarpa</v>
      </c>
      <c r="B378" s="23" t="str">
        <f ca="1">'Landscape Trees '!C234</f>
        <v>Bur Oak</v>
      </c>
      <c r="C378" s="23" t="str">
        <f ca="1">'Landscape Trees '!D234</f>
        <v>#15</v>
      </c>
      <c r="D378" s="24" t="str">
        <f ca="1">'Landscape Trees '!E234</f>
        <v>0.75-1"</v>
      </c>
      <c r="E378" s="23" t="str">
        <f ca="1">'Landscape Trees '!F234</f>
        <v>8-10'</v>
      </c>
      <c r="F378" s="25">
        <f ca="1">'Landscape Trees '!G234</f>
        <v>4</v>
      </c>
      <c r="G378" s="23">
        <f ca="1">'Landscape Trees '!H234</f>
        <v>25</v>
      </c>
      <c r="H378" s="26">
        <f ca="1">'Landscape Trees '!I234</f>
        <v>110</v>
      </c>
      <c r="I378" s="23" t="str">
        <f t="shared" ca="1" si="2"/>
        <v>Bur Oak #15-2020</v>
      </c>
      <c r="J378" s="10"/>
      <c r="K378" s="26">
        <f t="shared" ca="1" si="3"/>
        <v>0</v>
      </c>
    </row>
    <row r="379" spans="1:11" ht="12.75">
      <c r="A379" s="23" t="str">
        <f ca="1">'Landscape Trees '!A235</f>
        <v>Quercus muehlenbergii</v>
      </c>
      <c r="B379" s="23" t="str">
        <f ca="1">'Landscape Trees '!C235</f>
        <v>Chinkapin Oak</v>
      </c>
      <c r="C379" s="23" t="str">
        <f ca="1">'Landscape Trees '!D235</f>
        <v>#5</v>
      </c>
      <c r="D379" s="24" t="str">
        <f ca="1">'Landscape Trees '!E235</f>
        <v>0.5-0.75"</v>
      </c>
      <c r="E379" s="23" t="str">
        <f ca="1">'Landscape Trees '!F235</f>
        <v>4-5'</v>
      </c>
      <c r="F379" s="25">
        <f ca="1">'Landscape Trees '!G235</f>
        <v>9</v>
      </c>
      <c r="G379" s="23">
        <f ca="1">'Landscape Trees '!H235</f>
        <v>0</v>
      </c>
      <c r="H379" s="26">
        <f ca="1">'Landscape Trees '!I235</f>
        <v>35</v>
      </c>
      <c r="I379" s="23" t="str">
        <f t="shared" ca="1" si="2"/>
        <v>Chinkapin Oak #5-2020</v>
      </c>
      <c r="J379" s="10"/>
      <c r="K379" s="26">
        <f t="shared" ca="1" si="3"/>
        <v>0</v>
      </c>
    </row>
    <row r="380" spans="1:11" ht="12.75">
      <c r="A380" s="23" t="str">
        <f ca="1">'Landscape Trees '!A236</f>
        <v>Quercus muehlenbergii</v>
      </c>
      <c r="B380" s="23" t="str">
        <f ca="1">'Landscape Trees '!C236</f>
        <v>Chinkapin Oak</v>
      </c>
      <c r="C380" s="23" t="str">
        <f ca="1">'Landscape Trees '!D236</f>
        <v>#15</v>
      </c>
      <c r="D380" s="24" t="str">
        <f ca="1">'Landscape Trees '!E236</f>
        <v>1-1"</v>
      </c>
      <c r="E380" s="23" t="str">
        <f ca="1">'Landscape Trees '!F236</f>
        <v>7-10'</v>
      </c>
      <c r="F380" s="25">
        <f ca="1">'Landscape Trees '!G236</f>
        <v>10</v>
      </c>
      <c r="G380" s="23">
        <f ca="1">'Landscape Trees '!H236</f>
        <v>0</v>
      </c>
      <c r="H380" s="26">
        <f ca="1">'Landscape Trees '!I236</f>
        <v>110</v>
      </c>
      <c r="I380" s="23" t="str">
        <f t="shared" ca="1" si="2"/>
        <v>Chinkapin Oak #15-2020</v>
      </c>
      <c r="J380" s="10"/>
      <c r="K380" s="26">
        <f t="shared" ca="1" si="3"/>
        <v>0</v>
      </c>
    </row>
    <row r="381" spans="1:11" ht="12.75">
      <c r="A381" s="23" t="str">
        <f ca="1">'Landscape Trees '!A237</f>
        <v>Quercus muehlenbergii</v>
      </c>
      <c r="B381" s="23" t="str">
        <f ca="1">'Landscape Trees '!C237</f>
        <v>Chinkapin Oak</v>
      </c>
      <c r="C381" s="23" t="str">
        <f ca="1">'Landscape Trees '!D237</f>
        <v>#25</v>
      </c>
      <c r="D381" s="24" t="str">
        <f ca="1">'Landscape Trees '!E237</f>
        <v>1-1"</v>
      </c>
      <c r="E381" s="23" t="str">
        <f ca="1">'Landscape Trees '!F237</f>
        <v>10-10'</v>
      </c>
      <c r="F381" s="25">
        <f ca="1">'Landscape Trees '!G237</f>
        <v>2</v>
      </c>
      <c r="G381" s="23">
        <f ca="1">'Landscape Trees '!H237</f>
        <v>0</v>
      </c>
      <c r="H381" s="26">
        <f ca="1">'Landscape Trees '!I237</f>
        <v>135</v>
      </c>
      <c r="I381" s="23" t="str">
        <f t="shared" ca="1" si="2"/>
        <v>Chinkapin Oak #25-2020</v>
      </c>
      <c r="J381" s="10"/>
      <c r="K381" s="26">
        <f t="shared" ca="1" si="3"/>
        <v>0</v>
      </c>
    </row>
    <row r="382" spans="1:11" ht="12.75">
      <c r="A382" s="23" t="str">
        <f ca="1">'Landscape Trees '!A238</f>
        <v>Quercus palustris</v>
      </c>
      <c r="B382" s="23" t="str">
        <f ca="1">'Landscape Trees '!C238</f>
        <v>Pin Oak</v>
      </c>
      <c r="C382" s="23" t="str">
        <f ca="1">'Landscape Trees '!D238</f>
        <v>#5</v>
      </c>
      <c r="D382" s="24" t="str">
        <f ca="1">'Landscape Trees '!E238</f>
        <v>0.5-1"</v>
      </c>
      <c r="E382" s="23" t="str">
        <f ca="1">'Landscape Trees '!F238</f>
        <v>3-6'</v>
      </c>
      <c r="F382" s="25">
        <f ca="1">'Landscape Trees '!G238</f>
        <v>12</v>
      </c>
      <c r="G382" s="23">
        <f ca="1">'Landscape Trees '!H238</f>
        <v>50</v>
      </c>
      <c r="H382" s="26">
        <f ca="1">'Landscape Trees '!I238</f>
        <v>35</v>
      </c>
      <c r="I382" s="23" t="str">
        <f t="shared" ca="1" si="2"/>
        <v>Pin Oak #5-2020</v>
      </c>
      <c r="J382" s="10"/>
      <c r="K382" s="26">
        <f t="shared" ca="1" si="3"/>
        <v>0</v>
      </c>
    </row>
    <row r="383" spans="1:11" ht="12.75">
      <c r="A383" s="23" t="str">
        <f ca="1">'Landscape Trees '!A239</f>
        <v>Quercus palustris</v>
      </c>
      <c r="B383" s="23" t="str">
        <f ca="1">'Landscape Trees '!C239</f>
        <v>Pin Oak</v>
      </c>
      <c r="C383" s="23" t="str">
        <f ca="1">'Landscape Trees '!D239</f>
        <v>#15</v>
      </c>
      <c r="D383" s="24" t="str">
        <f ca="1">'Landscape Trees '!E239</f>
        <v>1-1"</v>
      </c>
      <c r="E383" s="23" t="str">
        <f ca="1">'Landscape Trees '!F239</f>
        <v>8-9'</v>
      </c>
      <c r="F383" s="25">
        <f ca="1">'Landscape Trees '!G239</f>
        <v>0</v>
      </c>
      <c r="G383" s="23">
        <f ca="1">'Landscape Trees '!H239</f>
        <v>10</v>
      </c>
      <c r="H383" s="26">
        <f ca="1">'Landscape Trees '!I239</f>
        <v>110</v>
      </c>
      <c r="I383" s="23" t="str">
        <f t="shared" ca="1" si="2"/>
        <v>Pin Oak #15-2020</v>
      </c>
      <c r="J383" s="10"/>
      <c r="K383" s="26">
        <f t="shared" ca="1" si="3"/>
        <v>0</v>
      </c>
    </row>
    <row r="384" spans="1:11" ht="12.75">
      <c r="A384" s="23" t="str">
        <f ca="1">'Landscape Trees '!A240</f>
        <v>Quercus palustris</v>
      </c>
      <c r="B384" s="23" t="str">
        <f ca="1">'Landscape Trees '!C240</f>
        <v>Pin Oak</v>
      </c>
      <c r="C384" s="23" t="str">
        <f ca="1">'Landscape Trees '!D240</f>
        <v>#25</v>
      </c>
      <c r="D384" s="24" t="str">
        <f ca="1">'Landscape Trees '!E240</f>
        <v>1.25-1.25"</v>
      </c>
      <c r="E384" s="23" t="str">
        <f ca="1">'Landscape Trees '!F240</f>
        <v>8-8'</v>
      </c>
      <c r="F384" s="25">
        <f ca="1">'Landscape Trees '!G240</f>
        <v>1</v>
      </c>
      <c r="G384" s="23">
        <f ca="1">'Landscape Trees '!H240</f>
        <v>5</v>
      </c>
      <c r="H384" s="26">
        <f ca="1">'Landscape Trees '!I240</f>
        <v>135</v>
      </c>
      <c r="I384" s="23" t="str">
        <f t="shared" ca="1" si="2"/>
        <v>Pin Oak #25-2020</v>
      </c>
      <c r="J384" s="10"/>
      <c r="K384" s="26">
        <f t="shared" ca="1" si="3"/>
        <v>0</v>
      </c>
    </row>
    <row r="385" spans="1:11" ht="12.75">
      <c r="A385" s="23" t="str">
        <f ca="1">'Landscape Trees '!A241</f>
        <v>Quercus palustris 'Green Pillar'</v>
      </c>
      <c r="B385" s="23" t="str">
        <f ca="1">'Landscape Trees '!C241</f>
        <v>Green Pillar Pin Oak</v>
      </c>
      <c r="C385" s="23" t="str">
        <f ca="1">'Landscape Trees '!D241</f>
        <v>#25</v>
      </c>
      <c r="D385" s="24" t="str">
        <f ca="1">'Landscape Trees '!E241</f>
        <v>1-1.25"</v>
      </c>
      <c r="E385" s="23" t="str">
        <f ca="1">'Landscape Trees '!F241</f>
        <v>7-9'</v>
      </c>
      <c r="F385" s="25">
        <f ca="1">'Landscape Trees '!G241</f>
        <v>10</v>
      </c>
      <c r="G385" s="23">
        <f ca="1">'Landscape Trees '!H241</f>
        <v>0</v>
      </c>
      <c r="H385" s="26">
        <f ca="1">'Landscape Trees '!I241</f>
        <v>135</v>
      </c>
      <c r="I385" s="23" t="str">
        <f t="shared" ca="1" si="2"/>
        <v>Green Pillar Pin Oak #25-2020</v>
      </c>
      <c r="J385" s="10"/>
      <c r="K385" s="26">
        <f t="shared" ca="1" si="3"/>
        <v>0</v>
      </c>
    </row>
    <row r="386" spans="1:11" ht="12.75">
      <c r="A386" s="23" t="str">
        <f ca="1">'Landscape Trees '!A242</f>
        <v>Quercus phellos</v>
      </c>
      <c r="B386" s="23" t="str">
        <f ca="1">'Landscape Trees '!C242</f>
        <v>Willow Oak</v>
      </c>
      <c r="C386" s="23" t="str">
        <f ca="1">'Landscape Trees '!D242</f>
        <v>#5</v>
      </c>
      <c r="D386" s="24" t="str">
        <f ca="1">'Landscape Trees '!E242</f>
        <v>0.5-0.75"</v>
      </c>
      <c r="E386" s="23" t="str">
        <f ca="1">'Landscape Trees '!F242</f>
        <v>2-5'</v>
      </c>
      <c r="F386" s="25">
        <f ca="1">'Landscape Trees '!G242</f>
        <v>142</v>
      </c>
      <c r="G386" s="23">
        <f ca="1">'Landscape Trees '!H242</f>
        <v>100</v>
      </c>
      <c r="H386" s="26">
        <f ca="1">'Landscape Trees '!I242</f>
        <v>35</v>
      </c>
      <c r="I386" s="23" t="str">
        <f t="shared" ca="1" si="2"/>
        <v>Willow Oak #5-2020</v>
      </c>
      <c r="J386" s="10"/>
      <c r="K386" s="26">
        <f t="shared" ca="1" si="3"/>
        <v>0</v>
      </c>
    </row>
    <row r="387" spans="1:11" ht="12.75">
      <c r="A387" s="23" t="str">
        <f ca="1">'Landscape Trees '!A243</f>
        <v>Quercus prinus</v>
      </c>
      <c r="B387" s="23" t="str">
        <f ca="1">'Landscape Trees '!C243</f>
        <v>Chestnut Oak</v>
      </c>
      <c r="C387" s="23" t="str">
        <f ca="1">'Landscape Trees '!D243</f>
        <v>#5</v>
      </c>
      <c r="D387" s="24" t="str">
        <f ca="1">'Landscape Trees '!E243</f>
        <v>0.5-1.25"</v>
      </c>
      <c r="E387" s="23" t="str">
        <f ca="1">'Landscape Trees '!F243</f>
        <v>3-8'</v>
      </c>
      <c r="F387" s="25">
        <f ca="1">'Landscape Trees '!G243</f>
        <v>93</v>
      </c>
      <c r="G387" s="23">
        <f ca="1">'Landscape Trees '!H243</f>
        <v>0</v>
      </c>
      <c r="H387" s="26">
        <f ca="1">'Landscape Trees '!I243</f>
        <v>35</v>
      </c>
      <c r="I387" s="23" t="str">
        <f t="shared" ca="1" si="2"/>
        <v>Chestnut Oak #5-2020</v>
      </c>
      <c r="J387" s="10"/>
      <c r="K387" s="26">
        <f t="shared" ca="1" si="3"/>
        <v>0</v>
      </c>
    </row>
    <row r="388" spans="1:11" ht="12.75">
      <c r="A388" s="23" t="str">
        <f ca="1">'Landscape Trees '!A244</f>
        <v>Quercus rubra</v>
      </c>
      <c r="B388" s="23" t="str">
        <f ca="1">'Landscape Trees '!C244</f>
        <v>Red Oak</v>
      </c>
      <c r="C388" s="23" t="str">
        <f ca="1">'Landscape Trees '!D244</f>
        <v>#5</v>
      </c>
      <c r="D388" s="24" t="str">
        <f ca="1">'Landscape Trees '!E244</f>
        <v>0.5-0.75"</v>
      </c>
      <c r="E388" s="23" t="str">
        <f ca="1">'Landscape Trees '!F244</f>
        <v>3-6'</v>
      </c>
      <c r="F388" s="25">
        <f ca="1">'Landscape Trees '!G244</f>
        <v>150</v>
      </c>
      <c r="G388" s="23">
        <f ca="1">'Landscape Trees '!H244</f>
        <v>50</v>
      </c>
      <c r="H388" s="26">
        <f ca="1">'Landscape Trees '!I244</f>
        <v>35</v>
      </c>
      <c r="I388" s="23" t="str">
        <f t="shared" ca="1" si="2"/>
        <v>Red Oak #5-2020</v>
      </c>
      <c r="J388" s="10"/>
      <c r="K388" s="26">
        <f t="shared" ca="1" si="3"/>
        <v>0</v>
      </c>
    </row>
    <row r="389" spans="1:11" ht="12.75">
      <c r="A389" s="23" t="str">
        <f ca="1">'Landscape Trees '!A245</f>
        <v>Quercus rubra</v>
      </c>
      <c r="B389" s="23" t="str">
        <f ca="1">'Landscape Trees '!C245</f>
        <v>Red Oak</v>
      </c>
      <c r="C389" s="23" t="str">
        <f ca="1">'Landscape Trees '!D245</f>
        <v>#7</v>
      </c>
      <c r="D389" s="24" t="str">
        <f ca="1">'Landscape Trees '!E245</f>
        <v>0.5-0.5"</v>
      </c>
      <c r="E389" s="23" t="str">
        <f ca="1">'Landscape Trees '!F245</f>
        <v>5-5'</v>
      </c>
      <c r="F389" s="25">
        <f ca="1">'Landscape Trees '!G245</f>
        <v>5</v>
      </c>
      <c r="G389" s="23">
        <f ca="1">'Landscape Trees '!H245</f>
        <v>20</v>
      </c>
      <c r="H389" s="26">
        <f ca="1">'Landscape Trees '!I245</f>
        <v>50</v>
      </c>
      <c r="I389" s="23" t="str">
        <f t="shared" ca="1" si="2"/>
        <v>Red Oak #7-2020</v>
      </c>
      <c r="J389" s="10"/>
      <c r="K389" s="26">
        <f t="shared" ca="1" si="3"/>
        <v>0</v>
      </c>
    </row>
    <row r="390" spans="1:11" ht="12.75">
      <c r="A390" s="23" t="str">
        <f ca="1">'Landscape Trees '!A246</f>
        <v>Quercus rubra</v>
      </c>
      <c r="B390" s="23" t="str">
        <f ca="1">'Landscape Trees '!C246</f>
        <v>Red Oak</v>
      </c>
      <c r="C390" s="23" t="str">
        <f ca="1">'Landscape Trees '!D246</f>
        <v>#15</v>
      </c>
      <c r="D390" s="24" t="str">
        <f ca="1">'Landscape Trees '!E246</f>
        <v>1-1.25"</v>
      </c>
      <c r="E390" s="23" t="str">
        <f ca="1">'Landscape Trees '!F246</f>
        <v>9-11'</v>
      </c>
      <c r="F390" s="25">
        <f ca="1">'Landscape Trees '!G246</f>
        <v>5</v>
      </c>
      <c r="G390" s="23">
        <f ca="1">'Landscape Trees '!H246</f>
        <v>10</v>
      </c>
      <c r="H390" s="26">
        <f ca="1">'Landscape Trees '!I246</f>
        <v>110</v>
      </c>
      <c r="I390" s="23" t="str">
        <f t="shared" ca="1" si="2"/>
        <v>Red Oak #15-2020</v>
      </c>
      <c r="J390" s="10"/>
      <c r="K390" s="26">
        <f t="shared" ca="1" si="3"/>
        <v>0</v>
      </c>
    </row>
    <row r="391" spans="1:11" ht="12.75">
      <c r="A391" s="23" t="str">
        <f ca="1">'Landscape Trees '!A247</f>
        <v>Quercus shumardii</v>
      </c>
      <c r="B391" s="23" t="str">
        <f ca="1">'Landscape Trees '!C247</f>
        <v>Shumard Oak</v>
      </c>
      <c r="C391" s="23" t="str">
        <f ca="1">'Landscape Trees '!D247</f>
        <v>#25</v>
      </c>
      <c r="D391" s="24" t="str">
        <f ca="1">'Landscape Trees '!E247</f>
        <v>1-1.75"</v>
      </c>
      <c r="E391" s="23" t="str">
        <f ca="1">'Landscape Trees '!F247</f>
        <v>10-12'</v>
      </c>
      <c r="F391" s="25">
        <f ca="1">'Landscape Trees '!G247</f>
        <v>9</v>
      </c>
      <c r="G391" s="23">
        <f ca="1">'Landscape Trees '!H247</f>
        <v>0</v>
      </c>
      <c r="H391" s="26">
        <f ca="1">'Landscape Trees '!I247</f>
        <v>135</v>
      </c>
      <c r="I391" s="23" t="str">
        <f t="shared" ca="1" si="2"/>
        <v>Shumard Oak #25-2020</v>
      </c>
      <c r="J391" s="10"/>
      <c r="K391" s="26">
        <f t="shared" ca="1" si="3"/>
        <v>0</v>
      </c>
    </row>
    <row r="392" spans="1:11" ht="12.75">
      <c r="A392" s="23" t="str">
        <f ca="1">'Landscape Trees '!A248</f>
        <v>Quercus velutina</v>
      </c>
      <c r="B392" s="23" t="str">
        <f ca="1">'Landscape Trees '!C248</f>
        <v>Black Oak</v>
      </c>
      <c r="C392" s="23" t="str">
        <f ca="1">'Landscape Trees '!D248</f>
        <v>#5</v>
      </c>
      <c r="D392" s="24" t="str">
        <f ca="1">'Landscape Trees '!E248</f>
        <v>0.5-0.75"</v>
      </c>
      <c r="E392" s="23" t="str">
        <f ca="1">'Landscape Trees '!F248</f>
        <v>4-5'</v>
      </c>
      <c r="F392" s="25">
        <f ca="1">'Landscape Trees '!G248</f>
        <v>10</v>
      </c>
      <c r="G392" s="23">
        <f ca="1">'Landscape Trees '!H248</f>
        <v>40</v>
      </c>
      <c r="H392" s="26">
        <f ca="1">'Landscape Trees '!I248</f>
        <v>35</v>
      </c>
      <c r="I392" s="23" t="str">
        <f t="shared" ca="1" si="2"/>
        <v>Black Oak #5-2020</v>
      </c>
      <c r="J392" s="10"/>
      <c r="K392" s="26">
        <f t="shared" ca="1" si="3"/>
        <v>0</v>
      </c>
    </row>
    <row r="393" spans="1:11" ht="12.75">
      <c r="A393" s="23" t="str">
        <f ca="1">'Landscape Trees '!A249</f>
        <v>Quercus velutina</v>
      </c>
      <c r="B393" s="23" t="str">
        <f ca="1">'Landscape Trees '!C249</f>
        <v>Black Oak</v>
      </c>
      <c r="C393" s="23" t="str">
        <f ca="1">'Landscape Trees '!D249</f>
        <v>#7</v>
      </c>
      <c r="D393" s="24" t="str">
        <f ca="1">'Landscape Trees '!E249</f>
        <v>0.5-0.75"</v>
      </c>
      <c r="E393" s="23" t="str">
        <f ca="1">'Landscape Trees '!F249</f>
        <v>4-5'</v>
      </c>
      <c r="F393" s="25">
        <f ca="1">'Landscape Trees '!G249</f>
        <v>12</v>
      </c>
      <c r="G393" s="23">
        <f ca="1">'Landscape Trees '!H249</f>
        <v>0</v>
      </c>
      <c r="H393" s="26">
        <f ca="1">'Landscape Trees '!I249</f>
        <v>50</v>
      </c>
      <c r="I393" s="23" t="str">
        <f t="shared" ca="1" si="2"/>
        <v>Black Oak #7-2020</v>
      </c>
      <c r="J393" s="10"/>
      <c r="K393" s="26">
        <f t="shared" ca="1" si="3"/>
        <v>0</v>
      </c>
    </row>
    <row r="394" spans="1:11" ht="12.75">
      <c r="A394" s="23" t="str">
        <f ca="1">'Landscape Trees '!A250</f>
        <v>Quercus x warei 'Regal Prince'</v>
      </c>
      <c r="B394" s="23" t="str">
        <f ca="1">'Landscape Trees '!C250</f>
        <v>Regal Prince Oak</v>
      </c>
      <c r="C394" s="23" t="str">
        <f ca="1">'Landscape Trees '!D250</f>
        <v>#5</v>
      </c>
      <c r="D394" s="24" t="str">
        <f ca="1">'Landscape Trees '!E250</f>
        <v>0.5-0.75"</v>
      </c>
      <c r="E394" s="23" t="str">
        <f ca="1">'Landscape Trees '!F250</f>
        <v>4-5'</v>
      </c>
      <c r="F394" s="25">
        <f ca="1">'Landscape Trees '!G250</f>
        <v>27</v>
      </c>
      <c r="G394" s="23">
        <f ca="1">'Landscape Trees '!H250</f>
        <v>0</v>
      </c>
      <c r="H394" s="26">
        <f ca="1">'Landscape Trees '!I250</f>
        <v>40</v>
      </c>
      <c r="I394" s="23" t="str">
        <f t="shared" ca="1" si="2"/>
        <v>Regal Prince Oak #5-2020</v>
      </c>
      <c r="J394" s="10"/>
      <c r="K394" s="26">
        <f t="shared" ca="1" si="3"/>
        <v>0</v>
      </c>
    </row>
    <row r="395" spans="1:11" ht="12.75">
      <c r="A395" s="23" t="str">
        <f ca="1">'Landscape Trees '!A251</f>
        <v>Quercus x warei 'Regal Prince'</v>
      </c>
      <c r="B395" s="23" t="str">
        <f ca="1">'Landscape Trees '!C251</f>
        <v>Regal Prince Oak</v>
      </c>
      <c r="C395" s="23" t="str">
        <f ca="1">'Landscape Trees '!D251</f>
        <v>#7</v>
      </c>
      <c r="D395" s="24" t="str">
        <f ca="1">'Landscape Trees '!E251</f>
        <v>0.25-0.5"</v>
      </c>
      <c r="E395" s="23" t="str">
        <f ca="1">'Landscape Trees '!F251</f>
        <v>2-3'</v>
      </c>
      <c r="F395" s="25">
        <f ca="1">'Landscape Trees '!G251</f>
        <v>0</v>
      </c>
      <c r="G395" s="23">
        <f ca="1">'Landscape Trees '!H251</f>
        <v>10</v>
      </c>
      <c r="H395" s="26">
        <f ca="1">'Landscape Trees '!I251</f>
        <v>50</v>
      </c>
      <c r="I395" s="23" t="str">
        <f t="shared" ca="1" si="2"/>
        <v>Regal Prince Oak #7-2020</v>
      </c>
      <c r="J395" s="10"/>
      <c r="K395" s="26">
        <f t="shared" ca="1" si="3"/>
        <v>0</v>
      </c>
    </row>
    <row r="396" spans="1:11" ht="12.75">
      <c r="A396" s="23" t="str">
        <f ca="1">'Landscape Trees '!A252</f>
        <v>Quercus x warei 'Regal Prince'</v>
      </c>
      <c r="B396" s="23" t="str">
        <f ca="1">'Landscape Trees '!C252</f>
        <v>Regal Prince Oak</v>
      </c>
      <c r="C396" s="23" t="str">
        <f ca="1">'Landscape Trees '!D252</f>
        <v>#15</v>
      </c>
      <c r="D396" s="24" t="str">
        <f ca="1">'Landscape Trees '!E252</f>
        <v>1-1.5"</v>
      </c>
      <c r="E396" s="23" t="str">
        <f ca="1">'Landscape Trees '!F252</f>
        <v>8-11'</v>
      </c>
      <c r="F396" s="25">
        <f ca="1">'Landscape Trees '!G252</f>
        <v>4</v>
      </c>
      <c r="G396" s="23">
        <f ca="1">'Landscape Trees '!H252</f>
        <v>5</v>
      </c>
      <c r="H396" s="26">
        <f ca="1">'Landscape Trees '!I252</f>
        <v>110</v>
      </c>
      <c r="I396" s="23" t="str">
        <f t="shared" ca="1" si="2"/>
        <v>Regal Prince Oak #15-2020</v>
      </c>
      <c r="J396" s="10"/>
      <c r="K396" s="26">
        <f t="shared" ca="1" si="3"/>
        <v>0</v>
      </c>
    </row>
    <row r="397" spans="1:11" ht="12.75">
      <c r="A397" s="23" t="str">
        <f ca="1">'Landscape Trees '!A253</f>
        <v>Quercus x warei 'Regal Prince'</v>
      </c>
      <c r="B397" s="23" t="str">
        <f ca="1">'Landscape Trees '!C253</f>
        <v>Regal Prince Oak</v>
      </c>
      <c r="C397" s="23" t="str">
        <f ca="1">'Landscape Trees '!D253</f>
        <v>#25</v>
      </c>
      <c r="D397" s="24" t="str">
        <f ca="1">'Landscape Trees '!E253</f>
        <v>1-1.5"</v>
      </c>
      <c r="E397" s="23" t="str">
        <f ca="1">'Landscape Trees '!F253</f>
        <v>8-11'</v>
      </c>
      <c r="F397" s="25">
        <f ca="1">'Landscape Trees '!G253</f>
        <v>9</v>
      </c>
      <c r="G397" s="23">
        <f ca="1">'Landscape Trees '!H253</f>
        <v>0</v>
      </c>
      <c r="H397" s="26">
        <f ca="1">'Landscape Trees '!I253</f>
        <v>135</v>
      </c>
      <c r="I397" s="23" t="str">
        <f t="shared" ca="1" si="2"/>
        <v>Regal Prince Oak #25-2020</v>
      </c>
      <c r="J397" s="10"/>
      <c r="K397" s="26">
        <f t="shared" ca="1" si="3"/>
        <v>0</v>
      </c>
    </row>
    <row r="398" spans="1:11" ht="12.75">
      <c r="A398" s="23" t="str">
        <f ca="1">'Landscape Trees '!A254</f>
        <v>Rhus aromatica</v>
      </c>
      <c r="B398" s="23" t="str">
        <f ca="1">'Landscape Trees '!C254</f>
        <v>Fragrant Sumac</v>
      </c>
      <c r="C398" s="23" t="str">
        <f ca="1">'Landscape Trees '!D254</f>
        <v>#5</v>
      </c>
      <c r="D398" s="27" t="str">
        <f ca="1">'Landscape Trees '!E254</f>
        <v>Multi</v>
      </c>
      <c r="E398" s="23" t="str">
        <f ca="1">'Landscape Trees '!F254</f>
        <v>2-5'</v>
      </c>
      <c r="F398" s="25">
        <f ca="1">'Landscape Trees '!G254</f>
        <v>22</v>
      </c>
      <c r="G398" s="23">
        <f ca="1">'Landscape Trees '!H254</f>
        <v>50</v>
      </c>
      <c r="H398" s="26">
        <f ca="1">'Landscape Trees '!I254</f>
        <v>30</v>
      </c>
      <c r="I398" s="23" t="str">
        <f t="shared" ca="1" si="2"/>
        <v>Fragrant Sumac #5-2020</v>
      </c>
      <c r="J398" s="10"/>
      <c r="K398" s="26">
        <f t="shared" ca="1" si="3"/>
        <v>0</v>
      </c>
    </row>
    <row r="399" spans="1:11" ht="12.75">
      <c r="A399" s="23" t="str">
        <f ca="1">'Landscape Trees '!A255</f>
        <v>Rhus glabra</v>
      </c>
      <c r="B399" s="23" t="str">
        <f ca="1">'Landscape Trees '!C255</f>
        <v>Smooth Sumac</v>
      </c>
      <c r="C399" s="23" t="str">
        <f ca="1">'Landscape Trees '!D255</f>
        <v>#5</v>
      </c>
      <c r="D399" s="24" t="str">
        <f ca="1">'Landscape Trees '!E255</f>
        <v>1-1"</v>
      </c>
      <c r="E399" s="23" t="str">
        <f ca="1">'Landscape Trees '!F255</f>
        <v>8-8'</v>
      </c>
      <c r="F399" s="25">
        <f ca="1">'Landscape Trees '!G255</f>
        <v>2</v>
      </c>
      <c r="G399" s="23">
        <f ca="1">'Landscape Trees '!H255</f>
        <v>50</v>
      </c>
      <c r="H399" s="26">
        <f ca="1">'Landscape Trees '!I255</f>
        <v>35</v>
      </c>
      <c r="I399" s="23" t="str">
        <f t="shared" ca="1" si="2"/>
        <v>Smooth Sumac #5-2020</v>
      </c>
      <c r="J399" s="10"/>
      <c r="K399" s="26">
        <f t="shared" ca="1" si="3"/>
        <v>0</v>
      </c>
    </row>
    <row r="400" spans="1:11" ht="12.75">
      <c r="A400" s="23" t="str">
        <f ca="1">'Landscape Trees '!A256</f>
        <v>Rhus typhina</v>
      </c>
      <c r="B400" s="23" t="str">
        <f ca="1">'Landscape Trees '!C256</f>
        <v>Staghorn Sumac</v>
      </c>
      <c r="C400" s="23" t="str">
        <f ca="1">'Landscape Trees '!D256</f>
        <v>#5</v>
      </c>
      <c r="D400" s="24" t="str">
        <f ca="1">'Landscape Trees '!E256</f>
        <v>1-1.25"</v>
      </c>
      <c r="E400" s="23" t="str">
        <f ca="1">'Landscape Trees '!F256</f>
        <v>3-4.5'</v>
      </c>
      <c r="F400" s="25">
        <f ca="1">'Landscape Trees '!G256</f>
        <v>2</v>
      </c>
      <c r="G400" s="23">
        <f ca="1">'Landscape Trees '!H256</f>
        <v>50</v>
      </c>
      <c r="H400" s="26">
        <f ca="1">'Landscape Trees '!I256</f>
        <v>35</v>
      </c>
      <c r="I400" s="23" t="str">
        <f t="shared" ca="1" si="2"/>
        <v>Staghorn Sumac #5-2020</v>
      </c>
      <c r="J400" s="10"/>
      <c r="K400" s="26">
        <f t="shared" ca="1" si="3"/>
        <v>0</v>
      </c>
    </row>
    <row r="401" spans="1:11" ht="12.75">
      <c r="A401" s="23" t="str">
        <f ca="1">'Landscape Trees '!A257</f>
        <v xml:space="preserve">Ribies </v>
      </c>
      <c r="B401" s="23" t="str">
        <f ca="1">'Landscape Trees '!C257</f>
        <v>King Edward Flowering Currant</v>
      </c>
      <c r="C401" s="23" t="str">
        <f ca="1">'Landscape Trees '!D257</f>
        <v>#5</v>
      </c>
      <c r="D401" s="24" t="str">
        <f ca="1">'Landscape Trees '!E257</f>
        <v>Multi</v>
      </c>
      <c r="E401" s="23" t="str">
        <f ca="1">'Landscape Trees '!F257</f>
        <v>1-2.5'</v>
      </c>
      <c r="F401" s="25">
        <f ca="1">'Landscape Trees '!G257</f>
        <v>23</v>
      </c>
      <c r="G401" s="23">
        <f ca="1">'Landscape Trees '!H257</f>
        <v>0</v>
      </c>
      <c r="H401" s="26">
        <f ca="1">'Landscape Trees '!I257</f>
        <v>30</v>
      </c>
      <c r="I401" s="23" t="str">
        <f t="shared" ca="1" si="2"/>
        <v>King Edward Flowering Currant #5-2020</v>
      </c>
      <c r="J401" s="10"/>
      <c r="K401" s="26">
        <f t="shared" ca="1" si="3"/>
        <v>0</v>
      </c>
    </row>
    <row r="402" spans="1:11" ht="12.75">
      <c r="A402" s="23" t="str">
        <f ca="1">'Landscape Trees '!A258</f>
        <v>Robinia 'Purple Robe'</v>
      </c>
      <c r="B402" s="23" t="str">
        <f ca="1">'Landscape Trees '!C258</f>
        <v>Purple Robe Black Locust</v>
      </c>
      <c r="C402" s="23" t="str">
        <f ca="1">'Landscape Trees '!D258</f>
        <v>#15</v>
      </c>
      <c r="D402" s="24" t="str">
        <f ca="1">'Landscape Trees '!E258</f>
        <v>1.25-1.25"</v>
      </c>
      <c r="E402" s="23" t="str">
        <f ca="1">'Landscape Trees '!F258</f>
        <v>9-11'</v>
      </c>
      <c r="F402" s="25">
        <f ca="1">'Landscape Trees '!G258</f>
        <v>4</v>
      </c>
      <c r="G402" s="23">
        <f ca="1">'Landscape Trees '!H258</f>
        <v>0</v>
      </c>
      <c r="H402" s="26">
        <f ca="1">'Landscape Trees '!I258</f>
        <v>110</v>
      </c>
      <c r="I402" s="23" t="str">
        <f t="shared" ca="1" si="2"/>
        <v>Purple Robe Black Locust #15-2020</v>
      </c>
      <c r="J402" s="10"/>
      <c r="K402" s="26">
        <f t="shared" ca="1" si="3"/>
        <v>0</v>
      </c>
    </row>
    <row r="403" spans="1:11" ht="12.75">
      <c r="A403" s="23" t="str">
        <f ca="1">'Landscape Trees '!A259</f>
        <v>Robinia pseudoacacia</v>
      </c>
      <c r="B403" s="23" t="str">
        <f ca="1">'Landscape Trees '!C259</f>
        <v>Black Locust</v>
      </c>
      <c r="C403" s="23" t="str">
        <f ca="1">'Landscape Trees '!D259</f>
        <v>#5</v>
      </c>
      <c r="D403" s="24" t="str">
        <f ca="1">'Landscape Trees '!E259</f>
        <v>0.5-1"</v>
      </c>
      <c r="E403" s="23" t="str">
        <f ca="1">'Landscape Trees '!F259</f>
        <v>5-8'</v>
      </c>
      <c r="F403" s="25">
        <f ca="1">'Landscape Trees '!G259</f>
        <v>19</v>
      </c>
      <c r="G403" s="23">
        <f ca="1">'Landscape Trees '!H259</f>
        <v>0</v>
      </c>
      <c r="H403" s="26">
        <f ca="1">'Landscape Trees '!I259</f>
        <v>35</v>
      </c>
      <c r="I403" s="23" t="str">
        <f t="shared" ca="1" si="2"/>
        <v>Black Locust #5-2020</v>
      </c>
      <c r="J403" s="10"/>
      <c r="K403" s="26">
        <f t="shared" ca="1" si="3"/>
        <v>0</v>
      </c>
    </row>
    <row r="404" spans="1:11" ht="12.75">
      <c r="A404" s="23" t="str">
        <f ca="1">'Landscape Trees '!A260</f>
        <v>Salix babylonica</v>
      </c>
      <c r="B404" s="23" t="str">
        <f ca="1">'Landscape Trees '!C260</f>
        <v>Weeping Willow</v>
      </c>
      <c r="C404" s="23" t="str">
        <f ca="1">'Landscape Trees '!D260</f>
        <v>#5</v>
      </c>
      <c r="D404" s="24" t="str">
        <f ca="1">'Landscape Trees '!E260</f>
        <v>0.25-0.5"</v>
      </c>
      <c r="E404" s="23" t="str">
        <f ca="1">'Landscape Trees '!F260</f>
        <v>1-2'</v>
      </c>
      <c r="F404" s="25">
        <f ca="1">'Landscape Trees '!G260</f>
        <v>0</v>
      </c>
      <c r="G404" s="23">
        <f ca="1">'Landscape Trees '!H260</f>
        <v>100</v>
      </c>
      <c r="H404" s="26">
        <f ca="1">'Landscape Trees '!I260</f>
        <v>35</v>
      </c>
      <c r="I404" s="23" t="str">
        <f t="shared" ca="1" si="2"/>
        <v>Weeping Willow #5-2020</v>
      </c>
      <c r="J404" s="10"/>
      <c r="K404" s="26">
        <f t="shared" ca="1" si="3"/>
        <v>0</v>
      </c>
    </row>
    <row r="405" spans="1:11" ht="12.75">
      <c r="A405" s="23" t="str">
        <f ca="1">'Landscape Trees '!A261</f>
        <v>Salix babylonica</v>
      </c>
      <c r="B405" s="23" t="str">
        <f ca="1">'Landscape Trees '!C261</f>
        <v>Weeping Willow</v>
      </c>
      <c r="C405" s="23" t="str">
        <f ca="1">'Landscape Trees '!D261</f>
        <v>#7</v>
      </c>
      <c r="D405" s="24" t="str">
        <f ca="1">'Landscape Trees '!E261</f>
        <v>0.75-1"</v>
      </c>
      <c r="E405" s="23" t="str">
        <f ca="1">'Landscape Trees '!F261</f>
        <v>7-9'</v>
      </c>
      <c r="F405" s="25">
        <f ca="1">'Landscape Trees '!G261</f>
        <v>54</v>
      </c>
      <c r="G405" s="23">
        <f ca="1">'Landscape Trees '!H261</f>
        <v>0</v>
      </c>
      <c r="H405" s="26">
        <f ca="1">'Landscape Trees '!I261</f>
        <v>50</v>
      </c>
      <c r="I405" s="23" t="str">
        <f t="shared" ca="1" si="2"/>
        <v>Weeping Willow #7-2020</v>
      </c>
      <c r="J405" s="10"/>
      <c r="K405" s="26">
        <f t="shared" ca="1" si="3"/>
        <v>0</v>
      </c>
    </row>
    <row r="406" spans="1:11" ht="12.75">
      <c r="A406" s="23" t="str">
        <f ca="1">'Landscape Trees '!A262</f>
        <v>Sambucus canadensis</v>
      </c>
      <c r="B406" s="23" t="str">
        <f ca="1">'Landscape Trees '!C262</f>
        <v>Elderberry</v>
      </c>
      <c r="C406" s="23" t="str">
        <f ca="1">'Landscape Trees '!D262</f>
        <v>#5</v>
      </c>
      <c r="D406" s="24" t="str">
        <f ca="1">'Landscape Trees '!E262</f>
        <v>Multi</v>
      </c>
      <c r="E406" s="23" t="str">
        <f ca="1">'Landscape Trees '!F262</f>
        <v>2-3'</v>
      </c>
      <c r="F406" s="25">
        <f ca="1">'Landscape Trees '!G262</f>
        <v>3</v>
      </c>
      <c r="G406" s="23">
        <f ca="1">'Landscape Trees '!H262</f>
        <v>300</v>
      </c>
      <c r="H406" s="26">
        <f ca="1">'Landscape Trees '!I262</f>
        <v>30</v>
      </c>
      <c r="I406" s="23" t="str">
        <f t="shared" ca="1" si="2"/>
        <v>Elderberry #5-2020</v>
      </c>
      <c r="J406" s="10"/>
      <c r="K406" s="26">
        <f t="shared" ca="1" si="3"/>
        <v>0</v>
      </c>
    </row>
    <row r="407" spans="1:11" ht="12.75">
      <c r="A407" s="23" t="str">
        <f ca="1">'Landscape Trees '!A263</f>
        <v>Sassafras albidum</v>
      </c>
      <c r="B407" s="23" t="str">
        <f ca="1">'Landscape Trees '!C263</f>
        <v>Sassafras</v>
      </c>
      <c r="C407" s="23" t="str">
        <f ca="1">'Landscape Trees '!D263</f>
        <v>#5</v>
      </c>
      <c r="D407" s="24" t="str">
        <f ca="1">'Landscape Trees '!E263</f>
        <v>0.125-0.75"</v>
      </c>
      <c r="E407" s="23" t="str">
        <f ca="1">'Landscape Trees '!F263</f>
        <v>1-7'</v>
      </c>
      <c r="F407" s="25">
        <f ca="1">'Landscape Trees '!G263</f>
        <v>4</v>
      </c>
      <c r="G407" s="23">
        <f ca="1">'Landscape Trees '!H263</f>
        <v>100</v>
      </c>
      <c r="H407" s="26">
        <f ca="1">'Landscape Trees '!I263</f>
        <v>40</v>
      </c>
      <c r="I407" s="23" t="str">
        <f t="shared" ca="1" si="2"/>
        <v>Sassafras #5-2020</v>
      </c>
      <c r="J407" s="10"/>
      <c r="K407" s="26">
        <f t="shared" ca="1" si="3"/>
        <v>0</v>
      </c>
    </row>
    <row r="408" spans="1:11" ht="12.75">
      <c r="A408" s="23" t="str">
        <f ca="1">'Landscape Trees '!A264</f>
        <v>Stewartia pseudocamellia</v>
      </c>
      <c r="B408" s="23" t="str">
        <f ca="1">'Landscape Trees '!C264</f>
        <v>Stewartia</v>
      </c>
      <c r="C408" s="23" t="str">
        <f ca="1">'Landscape Trees '!D264</f>
        <v>#5</v>
      </c>
      <c r="D408" s="27" t="str">
        <f ca="1">'Landscape Trees '!E264</f>
        <v>Multi</v>
      </c>
      <c r="E408" s="23" t="str">
        <f ca="1">'Landscape Trees '!F264</f>
        <v>5-7'</v>
      </c>
      <c r="F408" s="25">
        <f ca="1">'Landscape Trees '!G264</f>
        <v>27</v>
      </c>
      <c r="G408" s="23">
        <f ca="1">'Landscape Trees '!H264</f>
        <v>0</v>
      </c>
      <c r="H408" s="26">
        <f ca="1">'Landscape Trees '!I264</f>
        <v>45</v>
      </c>
      <c r="I408" s="23" t="str">
        <f t="shared" ca="1" si="2"/>
        <v>Stewartia #5-2020</v>
      </c>
      <c r="J408" s="10"/>
      <c r="K408" s="26">
        <f t="shared" ca="1" si="3"/>
        <v>0</v>
      </c>
    </row>
    <row r="409" spans="1:11" ht="12.75">
      <c r="A409" s="23" t="str">
        <f ca="1">'Landscape Trees '!A265</f>
        <v>Styrax japonicus</v>
      </c>
      <c r="B409" s="23" t="str">
        <f ca="1">'Landscape Trees '!C265</f>
        <v>Japanese Snowbell</v>
      </c>
      <c r="C409" s="23" t="str">
        <f ca="1">'Landscape Trees '!D265</f>
        <v>#5</v>
      </c>
      <c r="D409" s="27" t="str">
        <f ca="1">'Landscape Trees '!E265</f>
        <v>Multi</v>
      </c>
      <c r="E409" s="23" t="str">
        <f ca="1">'Landscape Trees '!F265</f>
        <v>5-6'</v>
      </c>
      <c r="F409" s="25">
        <f ca="1">'Landscape Trees '!G265</f>
        <v>35</v>
      </c>
      <c r="G409" s="23">
        <f ca="1">'Landscape Trees '!H265</f>
        <v>0</v>
      </c>
      <c r="H409" s="26">
        <f ca="1">'Landscape Trees '!I265</f>
        <v>35</v>
      </c>
      <c r="I409" s="23" t="str">
        <f t="shared" ca="1" si="2"/>
        <v>Japanese Snowbell #5-2020</v>
      </c>
      <c r="J409" s="10"/>
      <c r="K409" s="26">
        <f t="shared" ca="1" si="3"/>
        <v>0</v>
      </c>
    </row>
    <row r="410" spans="1:11" ht="12.75">
      <c r="A410" s="23" t="str">
        <f ca="1">'Landscape Trees '!A266</f>
        <v>Styrax obassia</v>
      </c>
      <c r="B410" s="23" t="str">
        <f ca="1">'Landscape Trees '!C266</f>
        <v>Fragrant Snowbell</v>
      </c>
      <c r="C410" s="23" t="str">
        <f ca="1">'Landscape Trees '!D266</f>
        <v>#5</v>
      </c>
      <c r="D410" s="24" t="str">
        <f ca="1">'Landscape Trees '!E266</f>
        <v>0.375-0.5"</v>
      </c>
      <c r="E410" s="23" t="str">
        <f ca="1">'Landscape Trees '!F266</f>
        <v>2-5'</v>
      </c>
      <c r="F410" s="25">
        <f ca="1">'Landscape Trees '!G266</f>
        <v>45</v>
      </c>
      <c r="G410" s="23">
        <f ca="1">'Landscape Trees '!H266</f>
        <v>0</v>
      </c>
      <c r="H410" s="26">
        <f ca="1">'Landscape Trees '!I266</f>
        <v>45</v>
      </c>
      <c r="I410" s="23" t="str">
        <f t="shared" ca="1" si="2"/>
        <v>Fragrant Snowbell #5-2020</v>
      </c>
      <c r="J410" s="10"/>
      <c r="K410" s="26">
        <f t="shared" ca="1" si="3"/>
        <v>0</v>
      </c>
    </row>
    <row r="411" spans="1:11" ht="12.75">
      <c r="A411" s="23" t="str">
        <f ca="1">'Landscape Trees '!A267</f>
        <v>Syringa reticulata 'Ivory Silk'</v>
      </c>
      <c r="B411" s="23" t="str">
        <f ca="1">'Landscape Trees '!C267</f>
        <v>Ivory Silk Japanese Tree Lilac</v>
      </c>
      <c r="C411" s="23" t="str">
        <f ca="1">'Landscape Trees '!D267</f>
        <v>#5</v>
      </c>
      <c r="D411" s="24" t="str">
        <f ca="1">'Landscape Trees '!E267</f>
        <v>0.25-0.5"</v>
      </c>
      <c r="E411" s="23" t="str">
        <f ca="1">'Landscape Trees '!F267</f>
        <v>2-4'</v>
      </c>
      <c r="F411" s="25">
        <f ca="1">'Landscape Trees '!G267</f>
        <v>15</v>
      </c>
      <c r="G411" s="23">
        <f ca="1">'Landscape Trees '!H267</f>
        <v>0</v>
      </c>
      <c r="H411" s="26">
        <f ca="1">'Landscape Trees '!I267</f>
        <v>35</v>
      </c>
      <c r="I411" s="23" t="str">
        <f t="shared" ca="1" si="2"/>
        <v>Ivory Silk Japanese Tree Lilac #5-2020</v>
      </c>
      <c r="J411" s="10"/>
      <c r="K411" s="26">
        <f t="shared" ca="1" si="3"/>
        <v>0</v>
      </c>
    </row>
    <row r="412" spans="1:11" ht="12.75">
      <c r="A412" s="23" t="str">
        <f ca="1">'Landscape Trees '!A268</f>
        <v>Syringa reticulata 'Ivory Silk'</v>
      </c>
      <c r="B412" s="23" t="str">
        <f ca="1">'Landscape Trees '!C268</f>
        <v>Ivory Silk Japanese Tree Lilac</v>
      </c>
      <c r="C412" s="23" t="str">
        <f ca="1">'Landscape Trees '!D268</f>
        <v>#10</v>
      </c>
      <c r="D412" s="24" t="str">
        <f ca="1">'Landscape Trees '!E268</f>
        <v>1-1"</v>
      </c>
      <c r="E412" s="23" t="str">
        <f ca="1">'Landscape Trees '!F268</f>
        <v>10-10'</v>
      </c>
      <c r="F412" s="25">
        <f ca="1">'Landscape Trees '!G268</f>
        <v>6</v>
      </c>
      <c r="G412" s="23">
        <f ca="1">'Landscape Trees '!H268</f>
        <v>0</v>
      </c>
      <c r="H412" s="26">
        <f ca="1">'Landscape Trees '!I268</f>
        <v>80</v>
      </c>
      <c r="I412" s="23" t="str">
        <f t="shared" ca="1" si="2"/>
        <v>Ivory Silk Japanese Tree Lilac #10-2020</v>
      </c>
      <c r="J412" s="10"/>
      <c r="K412" s="26">
        <f t="shared" ca="1" si="3"/>
        <v>0</v>
      </c>
    </row>
    <row r="413" spans="1:11" ht="12.75">
      <c r="A413" s="23" t="str">
        <f ca="1">'Landscape Trees '!A269</f>
        <v>Syringa reticulata 'Ivory Silk'</v>
      </c>
      <c r="B413" s="23" t="str">
        <f ca="1">'Landscape Trees '!C269</f>
        <v>Ivory Silk Japanese Tree Lilac</v>
      </c>
      <c r="C413" s="23" t="str">
        <f ca="1">'Landscape Trees '!D269</f>
        <v>#15</v>
      </c>
      <c r="D413" s="24" t="str">
        <f ca="1">'Landscape Trees '!E269</f>
        <v>1-1.25"</v>
      </c>
      <c r="E413" s="23" t="str">
        <f ca="1">'Landscape Trees '!F269</f>
        <v>6-10'</v>
      </c>
      <c r="F413" s="25">
        <f ca="1">'Landscape Trees '!G269</f>
        <v>16</v>
      </c>
      <c r="G413" s="23">
        <f ca="1">'Landscape Trees '!H269</f>
        <v>10</v>
      </c>
      <c r="H413" s="26">
        <f ca="1">'Landscape Trees '!I269</f>
        <v>110</v>
      </c>
      <c r="I413" s="23" t="str">
        <f t="shared" ca="1" si="2"/>
        <v>Ivory Silk Japanese Tree Lilac #15-2020</v>
      </c>
      <c r="J413" s="10"/>
      <c r="K413" s="26">
        <f t="shared" ca="1" si="3"/>
        <v>0</v>
      </c>
    </row>
    <row r="414" spans="1:11" ht="12.75">
      <c r="A414" s="23" t="str">
        <f ca="1">'Landscape Trees '!A270</f>
        <v>Taxodium distichum</v>
      </c>
      <c r="B414" s="23" t="str">
        <f ca="1">'Landscape Trees '!C270</f>
        <v>Bald Cypress</v>
      </c>
      <c r="C414" s="23" t="str">
        <f ca="1">'Landscape Trees '!D270</f>
        <v>#5</v>
      </c>
      <c r="D414" s="24" t="str">
        <f ca="1">'Landscape Trees '!E270</f>
        <v>0.75-1.5"</v>
      </c>
      <c r="E414" s="23" t="str">
        <f ca="1">'Landscape Trees '!F270</f>
        <v>4-7'</v>
      </c>
      <c r="F414" s="25">
        <f ca="1">'Landscape Trees '!G270</f>
        <v>-4</v>
      </c>
      <c r="G414" s="23">
        <f ca="1">'Landscape Trees '!H270</f>
        <v>100</v>
      </c>
      <c r="H414" s="26">
        <f ca="1">'Landscape Trees '!I270</f>
        <v>35</v>
      </c>
      <c r="I414" s="23" t="str">
        <f t="shared" ca="1" si="2"/>
        <v>Bald Cypress #5-2020</v>
      </c>
      <c r="J414" s="10"/>
      <c r="K414" s="26">
        <f t="shared" ca="1" si="3"/>
        <v>0</v>
      </c>
    </row>
    <row r="415" spans="1:11" ht="12.75">
      <c r="A415" s="23" t="str">
        <f ca="1">'Landscape Trees '!A271</f>
        <v>Taxodium distichum</v>
      </c>
      <c r="B415" s="23" t="str">
        <f ca="1">'Landscape Trees '!C271</f>
        <v>Bald Cypress</v>
      </c>
      <c r="C415" s="23" t="str">
        <f ca="1">'Landscape Trees '!D271</f>
        <v>#15</v>
      </c>
      <c r="D415" s="24" t="str">
        <f ca="1">'Landscape Trees '!E271</f>
        <v>1.25-1.5"</v>
      </c>
      <c r="E415" s="23" t="str">
        <f ca="1">'Landscape Trees '!F271</f>
        <v>4-6'</v>
      </c>
      <c r="F415" s="25">
        <f ca="1">'Landscape Trees '!G271</f>
        <v>1</v>
      </c>
      <c r="G415" s="23">
        <f ca="1">'Landscape Trees '!H271</f>
        <v>0</v>
      </c>
      <c r="H415" s="26">
        <f ca="1">'Landscape Trees '!I271</f>
        <v>110</v>
      </c>
      <c r="I415" s="23" t="str">
        <f t="shared" ca="1" si="2"/>
        <v>Bald Cypress #15-2020</v>
      </c>
      <c r="J415" s="10"/>
      <c r="K415" s="26">
        <f t="shared" ca="1" si="3"/>
        <v>0</v>
      </c>
    </row>
    <row r="416" spans="1:11" ht="12.75">
      <c r="A416" s="23" t="str">
        <f ca="1">'Landscape Trees '!A272</f>
        <v>Taxodium distichum 'Falling Waters'</v>
      </c>
      <c r="B416" s="23" t="str">
        <f ca="1">'Landscape Trees '!C272</f>
        <v>Falling Waters Bald Cypress</v>
      </c>
      <c r="C416" s="23" t="str">
        <f ca="1">'Landscape Trees '!D272</f>
        <v>#7</v>
      </c>
      <c r="D416" s="24" t="str">
        <f ca="1">'Landscape Trees '!E272</f>
        <v>0.75-1"</v>
      </c>
      <c r="E416" s="23" t="str">
        <f ca="1">'Landscape Trees '!F272</f>
        <v>4-5'</v>
      </c>
      <c r="F416" s="25">
        <f ca="1">'Landscape Trees '!G272</f>
        <v>7</v>
      </c>
      <c r="G416" s="23">
        <f ca="1">'Landscape Trees '!H272</f>
        <v>0</v>
      </c>
      <c r="H416" s="26">
        <f ca="1">'Landscape Trees '!I272</f>
        <v>60</v>
      </c>
      <c r="I416" s="23" t="str">
        <f t="shared" ca="1" si="2"/>
        <v>Falling Waters Bald Cypress #7-2020</v>
      </c>
      <c r="J416" s="10"/>
      <c r="K416" s="26">
        <f t="shared" ca="1" si="3"/>
        <v>0</v>
      </c>
    </row>
    <row r="417" spans="1:11" ht="12.75">
      <c r="A417" s="23" t="str">
        <f ca="1">'Landscape Trees '!A273</f>
        <v>Taxus × media 'Everlow'</v>
      </c>
      <c r="B417" s="23" t="str">
        <f ca="1">'Landscape Trees '!C273</f>
        <v>Everlow Yew</v>
      </c>
      <c r="C417" s="23" t="str">
        <f ca="1">'Landscape Trees '!D273</f>
        <v>#5</v>
      </c>
      <c r="D417" s="24" t="str">
        <f ca="1">'Landscape Trees '!E273</f>
        <v>Multi</v>
      </c>
      <c r="E417" s="23" t="str">
        <f ca="1">'Landscape Trees '!F273</f>
        <v>1-2'</v>
      </c>
      <c r="F417" s="25">
        <f ca="1">'Landscape Trees '!G273</f>
        <v>8</v>
      </c>
      <c r="G417" s="23">
        <f ca="1">'Landscape Trees '!H273</f>
        <v>0</v>
      </c>
      <c r="H417" s="26">
        <f ca="1">'Landscape Trees '!I273</f>
        <v>30</v>
      </c>
      <c r="I417" s="23" t="str">
        <f t="shared" ca="1" si="2"/>
        <v>Everlow Yew #5-2020</v>
      </c>
      <c r="J417" s="10"/>
      <c r="K417" s="26">
        <f t="shared" ca="1" si="3"/>
        <v>0</v>
      </c>
    </row>
    <row r="418" spans="1:11" ht="12.75">
      <c r="A418" s="23" t="str">
        <f ca="1">'Landscape Trees '!A274</f>
        <v>Thuja plicata x standishii 'Green Giant'</v>
      </c>
      <c r="B418" s="23" t="str">
        <f ca="1">'Landscape Trees '!C274</f>
        <v>Green Giant Arborvitae</v>
      </c>
      <c r="C418" s="23" t="str">
        <f ca="1">'Landscape Trees '!D274</f>
        <v>#5</v>
      </c>
      <c r="D418" s="27" t="str">
        <f ca="1">'Landscape Trees '!E274</f>
        <v>Multi</v>
      </c>
      <c r="E418" s="23" t="str">
        <f ca="1">'Landscape Trees '!F274</f>
        <v>2-4'</v>
      </c>
      <c r="F418" s="25">
        <f ca="1">'Landscape Trees '!G274</f>
        <v>101</v>
      </c>
      <c r="G418" s="23">
        <f ca="1">'Landscape Trees '!H274</f>
        <v>0</v>
      </c>
      <c r="H418" s="26">
        <f ca="1">'Landscape Trees '!I274</f>
        <v>20</v>
      </c>
      <c r="I418" s="23" t="str">
        <f t="shared" ca="1" si="2"/>
        <v>Green Giant Arborvitae #5-2020</v>
      </c>
      <c r="J418" s="10"/>
      <c r="K418" s="26">
        <f t="shared" ca="1" si="3"/>
        <v>0</v>
      </c>
    </row>
    <row r="419" spans="1:11" ht="12.75">
      <c r="A419" s="23" t="str">
        <f ca="1">'Landscape Trees '!A275</f>
        <v>Tilia americana 'Legend'</v>
      </c>
      <c r="B419" s="23" t="str">
        <f ca="1">'Landscape Trees '!C275</f>
        <v>Legend American Linden</v>
      </c>
      <c r="C419" s="23" t="str">
        <f ca="1">'Landscape Trees '!D275</f>
        <v>#15</v>
      </c>
      <c r="D419" s="24" t="str">
        <f ca="1">'Landscape Trees '!E275</f>
        <v>1.25-1.25"</v>
      </c>
      <c r="E419" s="23" t="str">
        <f ca="1">'Landscape Trees '!F275</f>
        <v>8-9'</v>
      </c>
      <c r="F419" s="25">
        <f ca="1">'Landscape Trees '!G275</f>
        <v>1</v>
      </c>
      <c r="G419" s="23">
        <f ca="1">'Landscape Trees '!H275</f>
        <v>0</v>
      </c>
      <c r="H419" s="26">
        <f ca="1">'Landscape Trees '!I275</f>
        <v>110</v>
      </c>
      <c r="I419" s="23" t="str">
        <f t="shared" ca="1" si="2"/>
        <v>Legend American Linden #15-2020</v>
      </c>
      <c r="J419" s="10"/>
      <c r="K419" s="26">
        <f t="shared" ca="1" si="3"/>
        <v>0</v>
      </c>
    </row>
    <row r="420" spans="1:11" ht="12.75">
      <c r="A420" s="23" t="str">
        <f ca="1">'Landscape Trees '!A276</f>
        <v>Tilia americana 'Legend'</v>
      </c>
      <c r="B420" s="23" t="str">
        <f ca="1">'Landscape Trees '!C276</f>
        <v>Legend American Linden</v>
      </c>
      <c r="C420" s="23" t="str">
        <f ca="1">'Landscape Trees '!D276</f>
        <v>#25</v>
      </c>
      <c r="D420" s="24" t="str">
        <f ca="1">'Landscape Trees '!E276</f>
        <v>1.25-1.25"</v>
      </c>
      <c r="E420" s="23" t="str">
        <f ca="1">'Landscape Trees '!F276</f>
        <v>8-9'</v>
      </c>
      <c r="F420" s="25">
        <f ca="1">'Landscape Trees '!G276</f>
        <v>1</v>
      </c>
      <c r="G420" s="23">
        <f ca="1">'Landscape Trees '!H276</f>
        <v>0</v>
      </c>
      <c r="H420" s="26">
        <f ca="1">'Landscape Trees '!I276</f>
        <v>135</v>
      </c>
      <c r="I420" s="23" t="str">
        <f t="shared" ca="1" si="2"/>
        <v>Legend American Linden #25-2020</v>
      </c>
      <c r="J420" s="10"/>
      <c r="K420" s="26">
        <f t="shared" ca="1" si="3"/>
        <v>0</v>
      </c>
    </row>
    <row r="421" spans="1:11" ht="12.75">
      <c r="A421" s="23" t="str">
        <f ca="1">'Landscape Trees '!A277</f>
        <v>Tilia americana 'Redmond'</v>
      </c>
      <c r="B421" s="23" t="str">
        <f ca="1">'Landscape Trees '!C277</f>
        <v>Redmond American Linden</v>
      </c>
      <c r="C421" s="23" t="str">
        <f ca="1">'Landscape Trees '!D277</f>
        <v>#15</v>
      </c>
      <c r="D421" s="24" t="str">
        <f ca="1">'Landscape Trees '!E277</f>
        <v>1.25-1.5"</v>
      </c>
      <c r="E421" s="23" t="str">
        <f ca="1">'Landscape Trees '!F277</f>
        <v>8-10'</v>
      </c>
      <c r="F421" s="25">
        <f ca="1">'Landscape Trees '!G277</f>
        <v>4</v>
      </c>
      <c r="G421" s="23">
        <f ca="1">'Landscape Trees '!H277</f>
        <v>0</v>
      </c>
      <c r="H421" s="26">
        <f ca="1">'Landscape Trees '!I277</f>
        <v>110</v>
      </c>
      <c r="I421" s="23" t="str">
        <f t="shared" ca="1" si="2"/>
        <v>Redmond American Linden #15-2020</v>
      </c>
      <c r="J421" s="10"/>
      <c r="K421" s="26">
        <f t="shared" ca="1" si="3"/>
        <v>0</v>
      </c>
    </row>
    <row r="422" spans="1:11" ht="12.75">
      <c r="A422" s="23" t="str">
        <f ca="1">'Landscape Trees '!A278</f>
        <v>Tilia americana 'Redmond'</v>
      </c>
      <c r="B422" s="23" t="str">
        <f ca="1">'Landscape Trees '!C278</f>
        <v>Redmond American Linden</v>
      </c>
      <c r="C422" s="23" t="str">
        <f ca="1">'Landscape Trees '!D278</f>
        <v>#25</v>
      </c>
      <c r="D422" s="24" t="str">
        <f ca="1">'Landscape Trees '!E278</f>
        <v>1.25-1.5"</v>
      </c>
      <c r="E422" s="23" t="str">
        <f ca="1">'Landscape Trees '!F278</f>
        <v>8-10'</v>
      </c>
      <c r="F422" s="25">
        <f ca="1">'Landscape Trees '!G278</f>
        <v>1</v>
      </c>
      <c r="G422" s="23">
        <f ca="1">'Landscape Trees '!H278</f>
        <v>0</v>
      </c>
      <c r="H422" s="26">
        <f ca="1">'Landscape Trees '!I278</f>
        <v>135</v>
      </c>
      <c r="I422" s="23" t="str">
        <f t="shared" ca="1" si="2"/>
        <v>Redmond American Linden #25-2020</v>
      </c>
      <c r="J422" s="10"/>
      <c r="K422" s="26">
        <f t="shared" ca="1" si="3"/>
        <v>0</v>
      </c>
    </row>
    <row r="423" spans="1:11" ht="12.75">
      <c r="A423" s="23" t="str">
        <f ca="1">'Landscape Trees '!A279</f>
        <v>Tilia cordata</v>
      </c>
      <c r="B423" s="23" t="str">
        <f ca="1">'Landscape Trees '!C279</f>
        <v>Littleleaf Linden</v>
      </c>
      <c r="C423" s="23" t="str">
        <f ca="1">'Landscape Trees '!D279</f>
        <v>#5</v>
      </c>
      <c r="D423" s="24" t="str">
        <f ca="1">'Landscape Trees '!E279</f>
        <v>0.125-0.75"</v>
      </c>
      <c r="E423" s="23" t="str">
        <f ca="1">'Landscape Trees '!F279</f>
        <v>1-5'</v>
      </c>
      <c r="F423" s="25">
        <f ca="1">'Landscape Trees '!G279</f>
        <v>6</v>
      </c>
      <c r="G423" s="23">
        <f ca="1">'Landscape Trees '!H279</f>
        <v>25</v>
      </c>
      <c r="H423" s="26">
        <f ca="1">'Landscape Trees '!I279</f>
        <v>35</v>
      </c>
      <c r="I423" s="23" t="str">
        <f t="shared" ca="1" si="2"/>
        <v>Littleleaf Linden #5-2020</v>
      </c>
      <c r="J423" s="10"/>
      <c r="K423" s="26">
        <f t="shared" ca="1" si="3"/>
        <v>0</v>
      </c>
    </row>
    <row r="424" spans="1:11" ht="12.75">
      <c r="A424" s="23" t="str">
        <f ca="1">'Landscape Trees '!A280</f>
        <v>Tilia cordata</v>
      </c>
      <c r="B424" s="23" t="str">
        <f ca="1">'Landscape Trees '!C280</f>
        <v>Littleleaf Linden</v>
      </c>
      <c r="C424" s="23" t="str">
        <f ca="1">'Landscape Trees '!D280</f>
        <v>#15</v>
      </c>
      <c r="D424" s="24" t="str">
        <f ca="1">'Landscape Trees '!E280</f>
        <v>1.5-1.75"</v>
      </c>
      <c r="E424" s="23" t="str">
        <f ca="1">'Landscape Trees '!F280</f>
        <v>10-12'</v>
      </c>
      <c r="F424" s="25">
        <f ca="1">'Landscape Trees '!G280</f>
        <v>5</v>
      </c>
      <c r="G424" s="23">
        <f ca="1">'Landscape Trees '!H280</f>
        <v>0</v>
      </c>
      <c r="H424" s="26">
        <f ca="1">'Landscape Trees '!I280</f>
        <v>110</v>
      </c>
      <c r="I424" s="23" t="str">
        <f t="shared" ca="1" si="2"/>
        <v>Littleleaf Linden #15-2020</v>
      </c>
      <c r="J424" s="10"/>
      <c r="K424" s="26">
        <f t="shared" ca="1" si="3"/>
        <v>0</v>
      </c>
    </row>
    <row r="425" spans="1:11" ht="12.75">
      <c r="A425" s="23" t="str">
        <f ca="1">'Landscape Trees '!A281</f>
        <v>Tilia tomentosa</v>
      </c>
      <c r="B425" s="23" t="str">
        <f ca="1">'Landscape Trees '!C281</f>
        <v>Silver Linden</v>
      </c>
      <c r="C425" s="23" t="str">
        <f ca="1">'Landscape Trees '!D281</f>
        <v>#5</v>
      </c>
      <c r="D425" s="24" t="str">
        <f ca="1">'Landscape Trees '!E281</f>
        <v>0.25-0.5"</v>
      </c>
      <c r="E425" s="23" t="str">
        <f ca="1">'Landscape Trees '!F281</f>
        <v>3-6'</v>
      </c>
      <c r="F425" s="25">
        <f ca="1">'Landscape Trees '!G281</f>
        <v>20</v>
      </c>
      <c r="G425" s="23">
        <f ca="1">'Landscape Trees '!H281</f>
        <v>0</v>
      </c>
      <c r="H425" s="26">
        <f ca="1">'Landscape Trees '!I281</f>
        <v>35</v>
      </c>
      <c r="I425" s="23" t="str">
        <f t="shared" ca="1" si="2"/>
        <v>Silver Linden #5-2020</v>
      </c>
      <c r="J425" s="10"/>
      <c r="K425" s="26">
        <f t="shared" ca="1" si="3"/>
        <v>0</v>
      </c>
    </row>
    <row r="426" spans="1:11" ht="12.75">
      <c r="A426" s="23" t="str">
        <f ca="1">'Landscape Trees '!A282</f>
        <v>Ulmus 'Homestead'</v>
      </c>
      <c r="B426" s="23" t="str">
        <f ca="1">'Landscape Trees '!C282</f>
        <v>Homestead Elm</v>
      </c>
      <c r="C426" s="23" t="str">
        <f ca="1">'Landscape Trees '!D282</f>
        <v>#15</v>
      </c>
      <c r="D426" s="24" t="str">
        <f ca="1">'Landscape Trees '!E282</f>
        <v>1.75-1.75"</v>
      </c>
      <c r="E426" s="23" t="str">
        <f ca="1">'Landscape Trees '!F282</f>
        <v>12-12'</v>
      </c>
      <c r="F426" s="25">
        <f ca="1">'Landscape Trees '!G282</f>
        <v>1</v>
      </c>
      <c r="G426" s="23">
        <f ca="1">'Landscape Trees '!H282</f>
        <v>0</v>
      </c>
      <c r="H426" s="26">
        <f ca="1">'Landscape Trees '!I282</f>
        <v>110</v>
      </c>
      <c r="I426" s="23" t="str">
        <f t="shared" ca="1" si="2"/>
        <v>Homestead Elm #15-2020</v>
      </c>
      <c r="J426" s="10"/>
      <c r="K426" s="26">
        <f t="shared" ca="1" si="3"/>
        <v>0</v>
      </c>
    </row>
    <row r="427" spans="1:11" ht="12.75">
      <c r="A427" s="23" t="str">
        <f ca="1">'Landscape Trees '!A283</f>
        <v>Ulmus 'Homestead'</v>
      </c>
      <c r="B427" s="23" t="str">
        <f ca="1">'Landscape Trees '!C283</f>
        <v>Homestead Elm</v>
      </c>
      <c r="C427" s="23" t="str">
        <f ca="1">'Landscape Trees '!D283</f>
        <v xml:space="preserve">#25 </v>
      </c>
      <c r="D427" s="24" t="str">
        <f ca="1">'Landscape Trees '!E283</f>
        <v>1.75-1.75"</v>
      </c>
      <c r="E427" s="23" t="str">
        <f ca="1">'Landscape Trees '!F283</f>
        <v>12-12'</v>
      </c>
      <c r="F427" s="25">
        <f ca="1">'Landscape Trees '!G283</f>
        <v>1</v>
      </c>
      <c r="G427" s="23">
        <f ca="1">'Landscape Trees '!H283</f>
        <v>0</v>
      </c>
      <c r="H427" s="26">
        <f ca="1">'Landscape Trees '!I283</f>
        <v>135</v>
      </c>
      <c r="I427" s="23" t="str">
        <f t="shared" ca="1" si="2"/>
        <v>Homestead Elm #25 -2020</v>
      </c>
      <c r="J427" s="10"/>
      <c r="K427" s="26">
        <f t="shared" ca="1" si="3"/>
        <v>0</v>
      </c>
    </row>
    <row r="428" spans="1:11" ht="12.75">
      <c r="A428" s="23" t="str">
        <f ca="1">'Landscape Trees '!A284</f>
        <v>Ulmus 'New Horizon'</v>
      </c>
      <c r="B428" s="23" t="str">
        <f ca="1">'Landscape Trees '!C284</f>
        <v>New Horizon Elm</v>
      </c>
      <c r="C428" s="23" t="str">
        <f ca="1">'Landscape Trees '!D284</f>
        <v>#15</v>
      </c>
      <c r="D428" s="24" t="str">
        <f ca="1">'Landscape Trees '!E284</f>
        <v>1.5-1.5"</v>
      </c>
      <c r="E428" s="23" t="str">
        <f ca="1">'Landscape Trees '!F284</f>
        <v>12-12'</v>
      </c>
      <c r="F428" s="25">
        <f ca="1">'Landscape Trees '!G284</f>
        <v>2</v>
      </c>
      <c r="G428" s="23">
        <f ca="1">'Landscape Trees '!H284</f>
        <v>0</v>
      </c>
      <c r="H428" s="26">
        <f ca="1">'Landscape Trees '!I284</f>
        <v>110</v>
      </c>
      <c r="I428" s="23" t="str">
        <f t="shared" ca="1" si="2"/>
        <v>New Horizon Elm #15-2020</v>
      </c>
      <c r="J428" s="10"/>
      <c r="K428" s="26">
        <f t="shared" ca="1" si="3"/>
        <v>0</v>
      </c>
    </row>
    <row r="429" spans="1:11" ht="12.75">
      <c r="A429" s="23" t="str">
        <f ca="1">'Landscape Trees '!A285</f>
        <v>Ulmus americana 'Princeton'</v>
      </c>
      <c r="B429" s="23" t="str">
        <f ca="1">'Landscape Trees '!C285</f>
        <v>Princeton Elm</v>
      </c>
      <c r="C429" s="23" t="str">
        <f ca="1">'Landscape Trees '!D285</f>
        <v>#5</v>
      </c>
      <c r="D429" s="24" t="str">
        <f ca="1">'Landscape Trees '!E285</f>
        <v>1-1"</v>
      </c>
      <c r="E429" s="23" t="str">
        <f ca="1">'Landscape Trees '!F285</f>
        <v>7-8'</v>
      </c>
      <c r="F429" s="25">
        <f ca="1">'Landscape Trees '!G285</f>
        <v>2</v>
      </c>
      <c r="G429" s="23">
        <f ca="1">'Landscape Trees '!H285</f>
        <v>125</v>
      </c>
      <c r="H429" s="26">
        <f ca="1">'Landscape Trees '!I285</f>
        <v>35</v>
      </c>
      <c r="I429" s="23" t="str">
        <f t="shared" ca="1" si="2"/>
        <v>Princeton Elm #5-2020</v>
      </c>
      <c r="J429" s="10"/>
      <c r="K429" s="26">
        <f t="shared" ca="1" si="3"/>
        <v>0</v>
      </c>
    </row>
    <row r="430" spans="1:11" ht="12.75">
      <c r="A430" s="23" t="str">
        <f ca="1">'Landscape Trees '!A286</f>
        <v>Ulmus americana 'Princeton'</v>
      </c>
      <c r="B430" s="23" t="str">
        <f ca="1">'Landscape Trees '!C286</f>
        <v>Princeton Elm</v>
      </c>
      <c r="C430" s="23" t="str">
        <f ca="1">'Landscape Trees '!D286</f>
        <v>#7</v>
      </c>
      <c r="D430" s="24" t="str">
        <f ca="1">'Landscape Trees '!E286</f>
        <v>0.25-0.5"</v>
      </c>
      <c r="E430" s="23" t="str">
        <f ca="1">'Landscape Trees '!F286</f>
        <v>3-5'</v>
      </c>
      <c r="F430" s="25">
        <f ca="1">'Landscape Trees '!G286</f>
        <v>43</v>
      </c>
      <c r="G430" s="23">
        <f ca="1">'Landscape Trees '!H286</f>
        <v>0</v>
      </c>
      <c r="H430" s="26">
        <f ca="1">'Landscape Trees '!I286</f>
        <v>40</v>
      </c>
      <c r="I430" s="23" t="str">
        <f t="shared" ca="1" si="2"/>
        <v>Princeton Elm #7-2020</v>
      </c>
      <c r="J430" s="10"/>
      <c r="K430" s="26">
        <f t="shared" ca="1" si="3"/>
        <v>0</v>
      </c>
    </row>
    <row r="431" spans="1:11" ht="12.75">
      <c r="A431" s="23" t="str">
        <f ca="1">'Landscape Trees '!A287</f>
        <v>Ulmus americana 'Princeton'</v>
      </c>
      <c r="B431" s="23" t="str">
        <f ca="1">'Landscape Trees '!C287</f>
        <v>Princeton Elm</v>
      </c>
      <c r="C431" s="23" t="str">
        <f ca="1">'Landscape Trees '!D287</f>
        <v>#15</v>
      </c>
      <c r="D431" s="24" t="str">
        <f ca="1">'Landscape Trees '!E287</f>
        <v>1-1.25"</v>
      </c>
      <c r="E431" s="23" t="str">
        <f ca="1">'Landscape Trees '!F287</f>
        <v>9-10'</v>
      </c>
      <c r="F431" s="25">
        <f ca="1">'Landscape Trees '!G287</f>
        <v>7</v>
      </c>
      <c r="G431" s="23">
        <f ca="1">'Landscape Trees '!H287</f>
        <v>10</v>
      </c>
      <c r="H431" s="26">
        <f ca="1">'Landscape Trees '!I287</f>
        <v>110</v>
      </c>
      <c r="I431" s="23" t="str">
        <f t="shared" ca="1" si="2"/>
        <v>Princeton Elm #15-2020</v>
      </c>
      <c r="J431" s="10"/>
      <c r="K431" s="26">
        <f t="shared" ca="1" si="3"/>
        <v>0</v>
      </c>
    </row>
    <row r="432" spans="1:11" ht="12.75">
      <c r="A432" s="23" t="str">
        <f ca="1">'Landscape Trees '!A288</f>
        <v>Ulmus americana 'Valley Forge'</v>
      </c>
      <c r="B432" s="23" t="str">
        <f ca="1">'Landscape Trees '!C288</f>
        <v>Valley Forge Elm</v>
      </c>
      <c r="C432" s="23" t="str">
        <f ca="1">'Landscape Trees '!D288</f>
        <v>#15</v>
      </c>
      <c r="D432" s="24" t="str">
        <f ca="1">'Landscape Trees '!E288</f>
        <v>1.25-1.25"</v>
      </c>
      <c r="E432" s="23" t="str">
        <f ca="1">'Landscape Trees '!F288</f>
        <v>13-15'</v>
      </c>
      <c r="F432" s="25">
        <f ca="1">'Landscape Trees '!G288</f>
        <v>6</v>
      </c>
      <c r="G432" s="23">
        <f ca="1">'Landscape Trees '!H288</f>
        <v>10</v>
      </c>
      <c r="H432" s="26">
        <f ca="1">'Landscape Trees '!I288</f>
        <v>110</v>
      </c>
      <c r="I432" s="23" t="str">
        <f t="shared" ca="1" si="2"/>
        <v>Valley Forge Elm #15-2020</v>
      </c>
      <c r="J432" s="10"/>
      <c r="K432" s="26">
        <f t="shared" ca="1" si="3"/>
        <v>0</v>
      </c>
    </row>
    <row r="433" spans="1:11" ht="12.75">
      <c r="A433" s="23" t="str">
        <f ca="1">'Landscape Trees '!A289</f>
        <v>Ulmus parvifolia</v>
      </c>
      <c r="B433" s="23" t="str">
        <f ca="1">'Landscape Trees '!C289</f>
        <v>Chinese Elm</v>
      </c>
      <c r="C433" s="23" t="str">
        <f ca="1">'Landscape Trees '!D289</f>
        <v>#5</v>
      </c>
      <c r="D433" s="24" t="str">
        <f ca="1">'Landscape Trees '!E289</f>
        <v>1.25-1.5"</v>
      </c>
      <c r="E433" s="23" t="str">
        <f ca="1">'Landscape Trees '!F289</f>
        <v>9-10'</v>
      </c>
      <c r="F433" s="25">
        <f ca="1">'Landscape Trees '!G289</f>
        <v>5</v>
      </c>
      <c r="G433" s="23">
        <f ca="1">'Landscape Trees '!H289</f>
        <v>0</v>
      </c>
      <c r="H433" s="26">
        <f ca="1">'Landscape Trees '!I289</f>
        <v>40</v>
      </c>
      <c r="I433" s="23" t="str">
        <f t="shared" ca="1" si="2"/>
        <v>Chinese Elm #5-2020</v>
      </c>
      <c r="J433" s="10"/>
      <c r="K433" s="26">
        <f t="shared" ca="1" si="3"/>
        <v>0</v>
      </c>
    </row>
    <row r="434" spans="1:11" ht="12.75">
      <c r="A434" s="23" t="str">
        <f ca="1">'Landscape Trees '!A290</f>
        <v>Ulmus parvifolia 'Frontier'</v>
      </c>
      <c r="B434" s="23" t="str">
        <f ca="1">'Landscape Trees '!C290</f>
        <v>Frontier Chinese Elm</v>
      </c>
      <c r="C434" s="23" t="str">
        <f ca="1">'Landscape Trees '!D290</f>
        <v>#5</v>
      </c>
      <c r="D434" s="24" t="str">
        <f ca="1">'Landscape Trees '!E290</f>
        <v>0.75-1"</v>
      </c>
      <c r="E434" s="23" t="str">
        <f ca="1">'Landscape Trees '!F290</f>
        <v>6-8'</v>
      </c>
      <c r="F434" s="25">
        <f ca="1">'Landscape Trees '!G290</f>
        <v>9</v>
      </c>
      <c r="G434" s="23">
        <f ca="1">'Landscape Trees '!H290</f>
        <v>0</v>
      </c>
      <c r="H434" s="26">
        <f ca="1">'Landscape Trees '!I290</f>
        <v>35</v>
      </c>
      <c r="I434" s="23" t="str">
        <f t="shared" ca="1" si="2"/>
        <v>Frontier Chinese Elm #5-2020</v>
      </c>
      <c r="J434" s="10"/>
      <c r="K434" s="26">
        <f t="shared" ca="1" si="3"/>
        <v>0</v>
      </c>
    </row>
    <row r="435" spans="1:11" ht="12.75">
      <c r="A435" s="23" t="str">
        <f ca="1">'Landscape Trees '!A291</f>
        <v>Ulmus wilsoniana 'Prospector'</v>
      </c>
      <c r="B435" s="23" t="str">
        <f ca="1">'Landscape Trees '!C291</f>
        <v>Prospector Elm</v>
      </c>
      <c r="C435" s="23" t="str">
        <f ca="1">'Landscape Trees '!D291</f>
        <v>#15</v>
      </c>
      <c r="D435" s="24" t="str">
        <f ca="1">'Landscape Trees '!E291</f>
        <v>1-1.5"</v>
      </c>
      <c r="E435" s="23" t="str">
        <f ca="1">'Landscape Trees '!F291</f>
        <v>9-12'</v>
      </c>
      <c r="F435" s="25">
        <f ca="1">'Landscape Trees '!G291</f>
        <v>4</v>
      </c>
      <c r="G435" s="23">
        <f ca="1">'Landscape Trees '!H291</f>
        <v>0</v>
      </c>
      <c r="H435" s="26">
        <f ca="1">'Landscape Trees '!I291</f>
        <v>110</v>
      </c>
      <c r="I435" s="23" t="str">
        <f t="shared" ca="1" si="2"/>
        <v>Prospector Elm #15-2020</v>
      </c>
      <c r="J435" s="10"/>
      <c r="K435" s="26">
        <f t="shared" ca="1" si="3"/>
        <v>0</v>
      </c>
    </row>
    <row r="436" spans="1:11" ht="12.75">
      <c r="A436" s="23" t="str">
        <f ca="1">'Landscape Trees '!A292</f>
        <v>Ulmus wilsoniana 'Prospector'</v>
      </c>
      <c r="B436" s="23" t="str">
        <f ca="1">'Landscape Trees '!C292</f>
        <v>Prospector Elm</v>
      </c>
      <c r="C436" s="23" t="str">
        <f ca="1">'Landscape Trees '!D292</f>
        <v>#25p</v>
      </c>
      <c r="D436" s="24" t="str">
        <f ca="1">'Landscape Trees '!E292</f>
        <v>1.5-1.5"</v>
      </c>
      <c r="E436" s="23" t="str">
        <f ca="1">'Landscape Trees '!F292</f>
        <v>13-14'</v>
      </c>
      <c r="F436" s="25">
        <f ca="1">'Landscape Trees '!G292</f>
        <v>2</v>
      </c>
      <c r="G436" s="23">
        <f ca="1">'Landscape Trees '!H292</f>
        <v>0</v>
      </c>
      <c r="H436" s="26">
        <f ca="1">'Landscape Trees '!I292</f>
        <v>135</v>
      </c>
      <c r="I436" s="23" t="str">
        <f t="shared" ca="1" si="2"/>
        <v>Prospector Elm #25p-2020</v>
      </c>
      <c r="J436" s="10"/>
      <c r="K436" s="26">
        <f t="shared" ca="1" si="3"/>
        <v>0</v>
      </c>
    </row>
    <row r="437" spans="1:11" ht="12.75">
      <c r="A437" s="23" t="str">
        <f ca="1">'Landscape Trees '!A293</f>
        <v>Viburnum dentatum</v>
      </c>
      <c r="B437" s="23" t="str">
        <f ca="1">'Landscape Trees '!C293</f>
        <v>Arrowwood Viburnum</v>
      </c>
      <c r="C437" s="23" t="str">
        <f ca="1">'Landscape Trees '!D293</f>
        <v>#5</v>
      </c>
      <c r="D437" s="24" t="str">
        <f ca="1">'Landscape Trees '!E293</f>
        <v>Multi</v>
      </c>
      <c r="E437" s="23" t="str">
        <f ca="1">'Landscape Trees '!F293</f>
        <v>4-4'</v>
      </c>
      <c r="F437" s="25">
        <f ca="1">'Landscape Trees '!G293</f>
        <v>2</v>
      </c>
      <c r="G437" s="23">
        <f ca="1">'Landscape Trees '!H293</f>
        <v>100</v>
      </c>
      <c r="H437" s="26">
        <f ca="1">'Landscape Trees '!I293</f>
        <v>30</v>
      </c>
      <c r="I437" s="23" t="str">
        <f t="shared" ca="1" si="2"/>
        <v>Arrowwood Viburnum #5-2020</v>
      </c>
      <c r="J437" s="10"/>
      <c r="K437" s="26">
        <f t="shared" ca="1" si="3"/>
        <v>0</v>
      </c>
    </row>
    <row r="438" spans="1:11" ht="12.75">
      <c r="A438" s="23" t="str">
        <f ca="1">'Landscape Trees '!A294</f>
        <v>Viburnum prunifolium</v>
      </c>
      <c r="B438" s="23" t="str">
        <f ca="1">'Landscape Trees '!C294</f>
        <v>Blackhaw Vibrunum</v>
      </c>
      <c r="C438" s="23" t="str">
        <f ca="1">'Landscape Trees '!D294</f>
        <v>#5</v>
      </c>
      <c r="D438" s="24" t="str">
        <f ca="1">'Landscape Trees '!E294</f>
        <v>Multi</v>
      </c>
      <c r="E438" s="23" t="str">
        <f ca="1">'Landscape Trees '!F294</f>
        <v>4-4'</v>
      </c>
      <c r="F438" s="25">
        <f ca="1">'Landscape Trees '!G294</f>
        <v>2</v>
      </c>
      <c r="G438" s="23">
        <f ca="1">'Landscape Trees '!H294</f>
        <v>0</v>
      </c>
      <c r="H438" s="26">
        <f ca="1">'Landscape Trees '!I294</f>
        <v>40</v>
      </c>
      <c r="I438" s="23" t="str">
        <f t="shared" ca="1" si="2"/>
        <v>Blackhaw Vibrunum #5-2020</v>
      </c>
      <c r="J438" s="10"/>
      <c r="K438" s="26">
        <f t="shared" ca="1" si="3"/>
        <v>0</v>
      </c>
    </row>
    <row r="439" spans="1:11" ht="12.75">
      <c r="A439" s="23" t="str">
        <f ca="1">'Landscape Trees '!A295</f>
        <v>X Gordlinia grandiflora</v>
      </c>
      <c r="B439" s="23" t="str">
        <f ca="1">'Landscape Trees '!C295</f>
        <v>Gordlinia</v>
      </c>
      <c r="C439" s="23" t="str">
        <f ca="1">'Landscape Trees '!D295</f>
        <v>#5</v>
      </c>
      <c r="D439" s="24" t="str">
        <f ca="1">'Landscape Trees '!E295</f>
        <v>1-1"</v>
      </c>
      <c r="E439" s="23" t="str">
        <f ca="1">'Landscape Trees '!F295</f>
        <v>5-7'</v>
      </c>
      <c r="F439" s="25">
        <f ca="1">'Landscape Trees '!G295</f>
        <v>12</v>
      </c>
      <c r="G439" s="23">
        <f ca="1">'Landscape Trees '!H295</f>
        <v>50</v>
      </c>
      <c r="H439" s="26">
        <f ca="1">'Landscape Trees '!I295</f>
        <v>40</v>
      </c>
      <c r="I439" s="23" t="str">
        <f t="shared" ca="1" si="2"/>
        <v>Gordlinia #5-2020</v>
      </c>
      <c r="J439" s="10"/>
      <c r="K439" s="26">
        <f t="shared" ca="1" si="3"/>
        <v>0</v>
      </c>
    </row>
    <row r="440" spans="1:11" ht="12.75">
      <c r="A440" s="23" t="str">
        <f ca="1">'Landscape Trees '!A296</f>
        <v>Zelkova serrata 'Green Vase'</v>
      </c>
      <c r="B440" s="23" t="str">
        <f ca="1">'Landscape Trees '!C296</f>
        <v>Green Vase Zelkova</v>
      </c>
      <c r="C440" s="23" t="str">
        <f ca="1">'Landscape Trees '!D296</f>
        <v>#15</v>
      </c>
      <c r="D440" s="24" t="str">
        <f ca="1">'Landscape Trees '!E296</f>
        <v>1.5-1.5"</v>
      </c>
      <c r="E440" s="23" t="str">
        <f ca="1">'Landscape Trees '!F296</f>
        <v>10-12'</v>
      </c>
      <c r="F440" s="25">
        <f ca="1">'Landscape Trees '!G296</f>
        <v>6</v>
      </c>
      <c r="G440" s="23">
        <f ca="1">'Landscape Trees '!H296</f>
        <v>10</v>
      </c>
      <c r="H440" s="26">
        <f ca="1">'Landscape Trees '!I296</f>
        <v>110</v>
      </c>
      <c r="I440" s="23" t="str">
        <f t="shared" ca="1" si="2"/>
        <v>Green Vase Zelkova #15-2020</v>
      </c>
      <c r="J440" s="10"/>
      <c r="K440" s="26">
        <f t="shared" ca="1" si="3"/>
        <v>0</v>
      </c>
    </row>
    <row r="441" spans="1:11" ht="12.75">
      <c r="A441" s="23" t="str">
        <f ca="1">'Landscape Trees '!A297</f>
        <v>Zelkova serrata 'Musashino'</v>
      </c>
      <c r="B441" s="23" t="str">
        <f ca="1">'Landscape Trees '!C297</f>
        <v>Musashino Zelkova</v>
      </c>
      <c r="C441" s="23" t="str">
        <f ca="1">'Landscape Trees '!D297</f>
        <v>#15</v>
      </c>
      <c r="D441" s="24" t="str">
        <f ca="1">'Landscape Trees '!E297</f>
        <v>1.5-1.5"</v>
      </c>
      <c r="E441" s="23" t="str">
        <f ca="1">'Landscape Trees '!F297</f>
        <v>10-11'</v>
      </c>
      <c r="F441" s="25">
        <f ca="1">'Landscape Trees '!G297</f>
        <v>2</v>
      </c>
      <c r="G441" s="23">
        <f ca="1">'Landscape Trees '!H297</f>
        <v>0</v>
      </c>
      <c r="H441" s="26">
        <f ca="1">'Landscape Trees '!I297</f>
        <v>110</v>
      </c>
      <c r="I441" s="23" t="str">
        <f t="shared" ca="1" si="2"/>
        <v>Musashino Zelkova #15-2020</v>
      </c>
      <c r="J441" s="10"/>
      <c r="K441" s="26">
        <f t="shared" ca="1" si="3"/>
        <v>0</v>
      </c>
    </row>
    <row r="442" spans="1:11" ht="12.75">
      <c r="A442" s="23">
        <f>'Landscape Trees '!A298</f>
        <v>0</v>
      </c>
      <c r="B442" s="23">
        <f>'Landscape Trees '!C298</f>
        <v>0</v>
      </c>
      <c r="C442" s="23">
        <f>'Landscape Trees '!D298</f>
        <v>0</v>
      </c>
      <c r="D442" s="23">
        <f>'Landscape Trees '!E298</f>
        <v>0</v>
      </c>
      <c r="E442" s="23">
        <f>'Landscape Trees '!F298</f>
        <v>0</v>
      </c>
      <c r="F442" s="23">
        <f>'Landscape Trees '!G298</f>
        <v>0</v>
      </c>
      <c r="G442" s="23">
        <f>'Landscape Trees '!H298</f>
        <v>0</v>
      </c>
      <c r="H442" s="23">
        <f>'Landscape Trees '!I298</f>
        <v>0</v>
      </c>
      <c r="I442" s="23" t="str">
        <f t="shared" si="2"/>
        <v>0 0-2020</v>
      </c>
      <c r="J442" s="10"/>
      <c r="K442" s="23">
        <f t="shared" si="3"/>
        <v>0</v>
      </c>
    </row>
    <row r="443" spans="1:11" ht="12.75">
      <c r="A443" s="23">
        <f>'Landscape Trees '!A299</f>
        <v>0</v>
      </c>
      <c r="B443" s="23">
        <f>'Landscape Trees '!C299</f>
        <v>0</v>
      </c>
      <c r="C443" s="23">
        <f>'Landscape Trees '!D299</f>
        <v>0</v>
      </c>
      <c r="D443" s="23">
        <f>'Landscape Trees '!E299</f>
        <v>0</v>
      </c>
      <c r="E443" s="23">
        <f>'Landscape Trees '!F299</f>
        <v>0</v>
      </c>
      <c r="F443" s="23">
        <f>'Landscape Trees '!G299</f>
        <v>0</v>
      </c>
      <c r="G443" s="23">
        <f>'Landscape Trees '!H299</f>
        <v>0</v>
      </c>
      <c r="H443" s="23">
        <f>'Landscape Trees '!I299</f>
        <v>0</v>
      </c>
      <c r="I443" s="23" t="str">
        <f t="shared" si="2"/>
        <v>0 0-2020</v>
      </c>
      <c r="J443" s="10"/>
      <c r="K443" s="23">
        <f t="shared" si="3"/>
        <v>0</v>
      </c>
    </row>
    <row r="444" spans="1:11" ht="12.75">
      <c r="A444" s="23">
        <f>'Landscape Trees '!A300</f>
        <v>0</v>
      </c>
      <c r="B444" s="23">
        <f>'Landscape Trees '!C300</f>
        <v>0</v>
      </c>
      <c r="C444" s="23">
        <f>'Landscape Trees '!D300</f>
        <v>0</v>
      </c>
      <c r="D444" s="23">
        <f>'Landscape Trees '!E300</f>
        <v>0</v>
      </c>
      <c r="E444" s="23">
        <f>'Landscape Trees '!F300</f>
        <v>0</v>
      </c>
      <c r="F444" s="23">
        <f>'Landscape Trees '!G300</f>
        <v>0</v>
      </c>
      <c r="G444" s="23">
        <f>'Landscape Trees '!H300</f>
        <v>0</v>
      </c>
      <c r="H444" s="23">
        <f>'Landscape Trees '!I300</f>
        <v>0</v>
      </c>
      <c r="J444" s="10"/>
      <c r="K444" s="23">
        <f t="shared" si="3"/>
        <v>0</v>
      </c>
    </row>
    <row r="445" spans="1:11" ht="12.75">
      <c r="A445" s="23">
        <f>'Landscape Trees '!A301</f>
        <v>0</v>
      </c>
      <c r="B445" s="23">
        <f>'Landscape Trees '!C301</f>
        <v>0</v>
      </c>
      <c r="C445" s="23">
        <f>'Landscape Trees '!D301</f>
        <v>0</v>
      </c>
      <c r="D445" s="23">
        <f>'Landscape Trees '!E301</f>
        <v>0</v>
      </c>
      <c r="E445" s="23">
        <f>'Landscape Trees '!F301</f>
        <v>0</v>
      </c>
      <c r="F445" s="23">
        <f>'Landscape Trees '!G301</f>
        <v>0</v>
      </c>
      <c r="G445" s="23">
        <f>'Landscape Trees '!H301</f>
        <v>0</v>
      </c>
      <c r="H445" s="23">
        <f>'Landscape Trees '!I301</f>
        <v>0</v>
      </c>
      <c r="J445" s="10"/>
      <c r="K445" s="23">
        <f t="shared" si="3"/>
        <v>0</v>
      </c>
    </row>
    <row r="446" spans="1:11" ht="12.75">
      <c r="A446" s="23">
        <f>'Landscape Trees '!A302</f>
        <v>0</v>
      </c>
      <c r="B446" s="23">
        <f>'Landscape Trees '!C302</f>
        <v>0</v>
      </c>
      <c r="C446" s="23">
        <f>'Landscape Trees '!D302</f>
        <v>0</v>
      </c>
      <c r="D446" s="23">
        <f>'Landscape Trees '!E302</f>
        <v>0</v>
      </c>
      <c r="E446" s="23">
        <f>'Landscape Trees '!F302</f>
        <v>0</v>
      </c>
      <c r="F446" s="23">
        <f>'Landscape Trees '!G302</f>
        <v>0</v>
      </c>
      <c r="G446" s="23">
        <f>'Landscape Trees '!H302</f>
        <v>0</v>
      </c>
      <c r="H446" s="23">
        <f>'Landscape Trees '!I302</f>
        <v>0</v>
      </c>
      <c r="J446" s="10"/>
      <c r="K446" s="23">
        <f t="shared" si="3"/>
        <v>0</v>
      </c>
    </row>
    <row r="447" spans="1:11" ht="12.75">
      <c r="A447" s="23">
        <f>'Landscape Trees '!A303</f>
        <v>0</v>
      </c>
      <c r="B447" s="23">
        <f>'Landscape Trees '!C303</f>
        <v>0</v>
      </c>
      <c r="C447" s="23">
        <f>'Landscape Trees '!D303</f>
        <v>0</v>
      </c>
      <c r="D447" s="23">
        <f>'Landscape Trees '!E303</f>
        <v>0</v>
      </c>
      <c r="E447" s="23">
        <f>'Landscape Trees '!F303</f>
        <v>0</v>
      </c>
      <c r="F447" s="23">
        <f>'Landscape Trees '!G303</f>
        <v>0</v>
      </c>
      <c r="G447" s="23">
        <f>'Landscape Trees '!H303</f>
        <v>0</v>
      </c>
      <c r="H447" s="21" t="s">
        <v>14</v>
      </c>
      <c r="J447" s="33"/>
      <c r="K447" s="34">
        <f ca="1">SUM(K146:K446)</f>
        <v>0</v>
      </c>
    </row>
    <row r="448" spans="1:11" ht="12.75">
      <c r="A448" s="23">
        <f>'Landscape Trees '!A304</f>
        <v>0</v>
      </c>
      <c r="B448" s="23">
        <f>'Landscape Trees '!C304</f>
        <v>0</v>
      </c>
      <c r="C448" s="23">
        <f>'Landscape Trees '!D304</f>
        <v>0</v>
      </c>
      <c r="D448" s="23">
        <f>'Landscape Trees '!E304</f>
        <v>0</v>
      </c>
      <c r="E448" s="23">
        <f>'Landscape Trees '!F304</f>
        <v>0</v>
      </c>
      <c r="F448" s="23">
        <f>'Landscape Trees '!G304</f>
        <v>0</v>
      </c>
      <c r="G448" s="23">
        <f>'Landscape Trees '!H304</f>
        <v>0</v>
      </c>
      <c r="H448" s="21" t="s">
        <v>15</v>
      </c>
      <c r="J448" s="33"/>
      <c r="K448" s="34">
        <f ca="1">K447+K143</f>
        <v>0</v>
      </c>
    </row>
    <row r="449" spans="1:11" ht="12.75">
      <c r="A449" s="23">
        <f>'Landscape Trees '!A305</f>
        <v>0</v>
      </c>
      <c r="B449" s="23">
        <f>'Landscape Trees '!C305</f>
        <v>0</v>
      </c>
      <c r="C449" s="23">
        <f>'Landscape Trees '!D305</f>
        <v>0</v>
      </c>
      <c r="D449" s="23">
        <f>'Landscape Trees '!E305</f>
        <v>0</v>
      </c>
      <c r="E449" s="23">
        <f>'Landscape Trees '!F305</f>
        <v>0</v>
      </c>
      <c r="F449" s="23">
        <f>'Landscape Trees '!G305</f>
        <v>0</v>
      </c>
      <c r="G449" s="23">
        <f>'Landscape Trees '!H305</f>
        <v>0</v>
      </c>
      <c r="H449" s="23">
        <f>'Landscape Trees '!I305</f>
        <v>0</v>
      </c>
      <c r="J449" s="10"/>
      <c r="K449" s="23">
        <f>J449*H449</f>
        <v>0</v>
      </c>
    </row>
  </sheetData>
  <sheetProtection sheet="1" objects="1" scenarios="1"/>
  <protectedRanges>
    <protectedRange sqref="A2:E2" name="Range2"/>
    <protectedRange sqref="J1:J1048576" name="Range1"/>
  </protectedRanges>
  <autoFilter ref="J1:J449" xr:uid="{59477A0C-32B2-4D2B-BDDE-5DD86BFEED92}"/>
  <printOptions horizontalCentered="1" gridLines="1"/>
  <pageMargins left="0.3" right="0.3" top="0.3" bottom="0.3" header="0" footer="0"/>
  <pageSetup fitToHeight="0" pageOrder="overThenDown" orientation="portrait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H1000"/>
  <sheetViews>
    <sheetView workbookViewId="0"/>
  </sheetViews>
  <sheetFormatPr defaultColWidth="14.42578125" defaultRowHeight="15.75" customHeight="1"/>
  <cols>
    <col min="1" max="1" width="33" customWidth="1"/>
    <col min="2" max="2" width="14.42578125" hidden="1"/>
    <col min="3" max="3" width="12.7109375" customWidth="1"/>
    <col min="4" max="4" width="9.42578125" customWidth="1"/>
    <col min="5" max="5" width="7.85546875" customWidth="1"/>
    <col min="6" max="6" width="8.5703125" customWidth="1"/>
    <col min="7" max="7" width="8" customWidth="1"/>
    <col min="8" max="8" width="7.7109375" customWidth="1"/>
  </cols>
  <sheetData>
    <row r="1" spans="1:8" ht="12.75">
      <c r="A1" s="35" t="str">
        <f ca="1">IFERROR(__xludf.DUMMYFUNCTION("IMPORTRANGE(""https://docs.google.com/spreadsheets/d/1qoFatOon1uC97wZhIn_0Rq2sZ6a2NuzWasXrzcUDN2Y/edit#gid=1890206292"", ""Fruit Trees!A1:z100000"")"),"Common Name")</f>
        <v>Common Name</v>
      </c>
      <c r="B1" s="36" t="str">
        <f ca="1">IFERROR(__xludf.DUMMYFUNCTION("""COMPUTED_VALUE"""),"Pot Size Sorting")</f>
        <v>Pot Size Sorting</v>
      </c>
      <c r="C1" s="36" t="str">
        <f ca="1">IFERROR(__xludf.DUMMYFUNCTION("""COMPUTED_VALUE"""),"Pot Size")</f>
        <v>Pot Size</v>
      </c>
      <c r="D1" s="36" t="str">
        <f ca="1">IFERROR(__xludf.DUMMYFUNCTION("""COMPUTED_VALUE"""),"Caliper")</f>
        <v>Caliper</v>
      </c>
      <c r="E1" s="36" t="str">
        <f ca="1">IFERROR(__xludf.DUMMYFUNCTION("""COMPUTED_VALUE"""),"Height")</f>
        <v>Height</v>
      </c>
      <c r="F1" s="36" t="str">
        <f ca="1">IFERROR(__xludf.DUMMYFUNCTION("""COMPUTED_VALUE"""),"Quantity ")</f>
        <v xml:space="preserve">Quantity </v>
      </c>
      <c r="G1" s="36" t="str">
        <f ca="1">IFERROR(__xludf.DUMMYFUNCTION("""COMPUTED_VALUE"""),"Projected")</f>
        <v>Projected</v>
      </c>
      <c r="H1" s="36" t="str">
        <f ca="1">IFERROR(__xludf.DUMMYFUNCTION("""COMPUTED_VALUE"""),"Price ")</f>
        <v xml:space="preserve">Price </v>
      </c>
    </row>
    <row r="2" spans="1:8" ht="12.75">
      <c r="A2" s="36" t="str">
        <f ca="1">IFERROR(__xludf.DUMMYFUNCTION("""COMPUTED_VALUE"""),"Apple - Ambrosia")</f>
        <v>Apple - Ambrosia</v>
      </c>
      <c r="B2" s="36">
        <f ca="1">IFERROR(__xludf.DUMMYFUNCTION("""COMPUTED_VALUE"""),5)</f>
        <v>5</v>
      </c>
      <c r="C2" s="36" t="str">
        <f ca="1">IFERROR(__xludf.DUMMYFUNCTION("""COMPUTED_VALUE"""),"#5")</f>
        <v>#5</v>
      </c>
      <c r="D2" s="37" t="str">
        <f ca="1">IFERROR(__xludf.DUMMYFUNCTION("""COMPUTED_VALUE"""),"0.5-0.75""")</f>
        <v>0.5-0.75"</v>
      </c>
      <c r="E2" s="36" t="str">
        <f ca="1">IFERROR(__xludf.DUMMYFUNCTION("""COMPUTED_VALUE"""),"5-6'")</f>
        <v>5-6'</v>
      </c>
      <c r="F2" s="38">
        <f ca="1">IFERROR(__xludf.DUMMYFUNCTION("""COMPUTED_VALUE"""),5)</f>
        <v>5</v>
      </c>
      <c r="G2" s="36">
        <f ca="1">IFERROR(__xludf.DUMMYFUNCTION("""COMPUTED_VALUE"""),20)</f>
        <v>20</v>
      </c>
      <c r="H2" s="39">
        <f ca="1">IFERROR(__xludf.DUMMYFUNCTION("""COMPUTED_VALUE"""),40)</f>
        <v>40</v>
      </c>
    </row>
    <row r="3" spans="1:8" ht="12.75">
      <c r="A3" s="36" t="str">
        <f ca="1">IFERROR(__xludf.DUMMYFUNCTION("""COMPUTED_VALUE"""),"Apple - Arkansas Black")</f>
        <v>Apple - Arkansas Black</v>
      </c>
      <c r="B3" s="36">
        <f ca="1">IFERROR(__xludf.DUMMYFUNCTION("""COMPUTED_VALUE"""),5)</f>
        <v>5</v>
      </c>
      <c r="C3" s="36" t="str">
        <f ca="1">IFERROR(__xludf.DUMMYFUNCTION("""COMPUTED_VALUE"""),"#5")</f>
        <v>#5</v>
      </c>
      <c r="D3" s="37" t="str">
        <f ca="1">IFERROR(__xludf.DUMMYFUNCTION("""COMPUTED_VALUE"""),"0.75-1""")</f>
        <v>0.75-1"</v>
      </c>
      <c r="E3" s="36" t="str">
        <f ca="1">IFERROR(__xludf.DUMMYFUNCTION("""COMPUTED_VALUE"""),"4-5'")</f>
        <v>4-5'</v>
      </c>
      <c r="F3" s="38">
        <f ca="1">IFERROR(__xludf.DUMMYFUNCTION("""COMPUTED_VALUE"""),80)</f>
        <v>80</v>
      </c>
      <c r="G3" s="36">
        <f ca="1">IFERROR(__xludf.DUMMYFUNCTION("""COMPUTED_VALUE"""),100)</f>
        <v>100</v>
      </c>
      <c r="H3" s="39">
        <f ca="1">IFERROR(__xludf.DUMMYFUNCTION("""COMPUTED_VALUE"""),40)</f>
        <v>40</v>
      </c>
    </row>
    <row r="4" spans="1:8" ht="12.75">
      <c r="A4" s="36" t="str">
        <f ca="1">IFERROR(__xludf.DUMMYFUNCTION("""COMPUTED_VALUE"""),"Apple - Aztec Fuji")</f>
        <v>Apple - Aztec Fuji</v>
      </c>
      <c r="B4" s="36">
        <f ca="1">IFERROR(__xludf.DUMMYFUNCTION("""COMPUTED_VALUE"""),5)</f>
        <v>5</v>
      </c>
      <c r="C4" s="36" t="str">
        <f ca="1">IFERROR(__xludf.DUMMYFUNCTION("""COMPUTED_VALUE"""),"#5")</f>
        <v>#5</v>
      </c>
      <c r="D4" s="37" t="str">
        <f ca="1">IFERROR(__xludf.DUMMYFUNCTION("""COMPUTED_VALUE"""),"0.5-0.5""")</f>
        <v>0.5-0.5"</v>
      </c>
      <c r="E4" s="36" t="str">
        <f ca="1">IFERROR(__xludf.DUMMYFUNCTION("""COMPUTED_VALUE"""),"3-4'")</f>
        <v>3-4'</v>
      </c>
      <c r="F4" s="38">
        <f ca="1">IFERROR(__xludf.DUMMYFUNCTION("""COMPUTED_VALUE"""),0)</f>
        <v>0</v>
      </c>
      <c r="G4" s="36">
        <f ca="1">IFERROR(__xludf.DUMMYFUNCTION("""COMPUTED_VALUE"""),10)</f>
        <v>10</v>
      </c>
      <c r="H4" s="39">
        <f ca="1">IFERROR(__xludf.DUMMYFUNCTION("""COMPUTED_VALUE"""),40)</f>
        <v>40</v>
      </c>
    </row>
    <row r="5" spans="1:8" ht="12.75">
      <c r="A5" s="36" t="str">
        <f ca="1">IFERROR(__xludf.DUMMYFUNCTION("""COMPUTED_VALUE"""),"Apple - Baldwin")</f>
        <v>Apple - Baldwin</v>
      </c>
      <c r="B5" s="36">
        <f ca="1">IFERROR(__xludf.DUMMYFUNCTION("""COMPUTED_VALUE"""),5)</f>
        <v>5</v>
      </c>
      <c r="C5" s="36" t="str">
        <f ca="1">IFERROR(__xludf.DUMMYFUNCTION("""COMPUTED_VALUE"""),"#5")</f>
        <v>#5</v>
      </c>
      <c r="D5" s="37" t="str">
        <f ca="1">IFERROR(__xludf.DUMMYFUNCTION("""COMPUTED_VALUE"""),"0.75-1""")</f>
        <v>0.75-1"</v>
      </c>
      <c r="E5" s="36" t="str">
        <f ca="1">IFERROR(__xludf.DUMMYFUNCTION("""COMPUTED_VALUE"""),"7-8'")</f>
        <v>7-8'</v>
      </c>
      <c r="F5" s="38">
        <f ca="1">IFERROR(__xludf.DUMMYFUNCTION("""COMPUTED_VALUE"""),13)</f>
        <v>13</v>
      </c>
      <c r="G5" s="36">
        <f ca="1">IFERROR(__xludf.DUMMYFUNCTION("""COMPUTED_VALUE"""),30)</f>
        <v>30</v>
      </c>
      <c r="H5" s="39">
        <f ca="1">IFERROR(__xludf.DUMMYFUNCTION("""COMPUTED_VALUE"""),40)</f>
        <v>40</v>
      </c>
    </row>
    <row r="6" spans="1:8" ht="12.75">
      <c r="A6" s="36" t="str">
        <f ca="1">IFERROR(__xludf.DUMMYFUNCTION("""COMPUTED_VALUE"""),"Apple - Crimson Crisp")</f>
        <v>Apple - Crimson Crisp</v>
      </c>
      <c r="B6" s="36">
        <f ca="1">IFERROR(__xludf.DUMMYFUNCTION("""COMPUTED_VALUE"""),5)</f>
        <v>5</v>
      </c>
      <c r="C6" s="36" t="str">
        <f ca="1">IFERROR(__xludf.DUMMYFUNCTION("""COMPUTED_VALUE"""),"#5")</f>
        <v>#5</v>
      </c>
      <c r="D6" s="37" t="str">
        <f ca="1">IFERROR(__xludf.DUMMYFUNCTION("""COMPUTED_VALUE"""),"0.75-1""")</f>
        <v>0.75-1"</v>
      </c>
      <c r="E6" s="36" t="str">
        <f ca="1">IFERROR(__xludf.DUMMYFUNCTION("""COMPUTED_VALUE"""),"6-9'")</f>
        <v>6-9'</v>
      </c>
      <c r="F6" s="38">
        <f ca="1">IFERROR(__xludf.DUMMYFUNCTION("""COMPUTED_VALUE"""),36)</f>
        <v>36</v>
      </c>
      <c r="G6" s="36">
        <f ca="1">IFERROR(__xludf.DUMMYFUNCTION("""COMPUTED_VALUE"""),50)</f>
        <v>50</v>
      </c>
      <c r="H6" s="39">
        <f ca="1">IFERROR(__xludf.DUMMYFUNCTION("""COMPUTED_VALUE"""),40)</f>
        <v>40</v>
      </c>
    </row>
    <row r="7" spans="1:8" ht="12.75">
      <c r="A7" s="36" t="str">
        <f ca="1">IFERROR(__xludf.DUMMYFUNCTION("""COMPUTED_VALUE"""),"Apple - Crown Empire")</f>
        <v>Apple - Crown Empire</v>
      </c>
      <c r="B7" s="36">
        <f ca="1">IFERROR(__xludf.DUMMYFUNCTION("""COMPUTED_VALUE"""),5)</f>
        <v>5</v>
      </c>
      <c r="C7" s="36" t="str">
        <f ca="1">IFERROR(__xludf.DUMMYFUNCTION("""COMPUTED_VALUE"""),"#5")</f>
        <v>#5</v>
      </c>
      <c r="D7" s="37" t="str">
        <f ca="1">IFERROR(__xludf.DUMMYFUNCTION("""COMPUTED_VALUE"""),"0.25-0.5""")</f>
        <v>0.25-0.5"</v>
      </c>
      <c r="E7" s="36" t="str">
        <f ca="1">IFERROR(__xludf.DUMMYFUNCTION("""COMPUTED_VALUE"""),"3-4'")</f>
        <v>3-4'</v>
      </c>
      <c r="F7" s="38">
        <f ca="1">IFERROR(__xludf.DUMMYFUNCTION("""COMPUTED_VALUE"""),0)</f>
        <v>0</v>
      </c>
      <c r="G7" s="36">
        <f ca="1">IFERROR(__xludf.DUMMYFUNCTION("""COMPUTED_VALUE"""),5)</f>
        <v>5</v>
      </c>
      <c r="H7" s="39">
        <f ca="1">IFERROR(__xludf.DUMMYFUNCTION("""COMPUTED_VALUE"""),40)</f>
        <v>40</v>
      </c>
    </row>
    <row r="8" spans="1:8" ht="12.75">
      <c r="A8" s="36" t="str">
        <f ca="1">IFERROR(__xludf.DUMMYFUNCTION("""COMPUTED_VALUE"""),"Apple - Daybreak Fuji")</f>
        <v>Apple - Daybreak Fuji</v>
      </c>
      <c r="B8" s="36">
        <f ca="1">IFERROR(__xludf.DUMMYFUNCTION("""COMPUTED_VALUE"""),5)</f>
        <v>5</v>
      </c>
      <c r="C8" s="36" t="str">
        <f ca="1">IFERROR(__xludf.DUMMYFUNCTION("""COMPUTED_VALUE"""),"#5")</f>
        <v>#5</v>
      </c>
      <c r="D8" s="37" t="str">
        <f ca="1">IFERROR(__xludf.DUMMYFUNCTION("""COMPUTED_VALUE"""),"0.75-1""")</f>
        <v>0.75-1"</v>
      </c>
      <c r="E8" s="36" t="str">
        <f ca="1">IFERROR(__xludf.DUMMYFUNCTION("""COMPUTED_VALUE"""),"6-7'")</f>
        <v>6-7'</v>
      </c>
      <c r="F8" s="38">
        <f ca="1">IFERROR(__xludf.DUMMYFUNCTION("""COMPUTED_VALUE"""),4)</f>
        <v>4</v>
      </c>
      <c r="G8" s="36">
        <f ca="1">IFERROR(__xludf.DUMMYFUNCTION("""COMPUTED_VALUE"""),0)</f>
        <v>0</v>
      </c>
      <c r="H8" s="39">
        <f ca="1">IFERROR(__xludf.DUMMYFUNCTION("""COMPUTED_VALUE"""),40)</f>
        <v>40</v>
      </c>
    </row>
    <row r="9" spans="1:8" ht="12.75">
      <c r="A9" s="36" t="str">
        <f ca="1">IFERROR(__xludf.DUMMYFUNCTION("""COMPUTED_VALUE"""),"Apple - Enterprise")</f>
        <v>Apple - Enterprise</v>
      </c>
      <c r="B9" s="36">
        <f ca="1">IFERROR(__xludf.DUMMYFUNCTION("""COMPUTED_VALUE"""),5)</f>
        <v>5</v>
      </c>
      <c r="C9" s="36" t="str">
        <f ca="1">IFERROR(__xludf.DUMMYFUNCTION("""COMPUTED_VALUE"""),"#5")</f>
        <v>#5</v>
      </c>
      <c r="D9" s="37" t="str">
        <f ca="1">IFERROR(__xludf.DUMMYFUNCTION("""COMPUTED_VALUE"""),"0.5-1.25""")</f>
        <v>0.5-1.25"</v>
      </c>
      <c r="E9" s="36" t="str">
        <f ca="1">IFERROR(__xludf.DUMMYFUNCTION("""COMPUTED_VALUE"""),"6-8'")</f>
        <v>6-8'</v>
      </c>
      <c r="F9" s="38">
        <f ca="1">IFERROR(__xludf.DUMMYFUNCTION("""COMPUTED_VALUE"""),39)</f>
        <v>39</v>
      </c>
      <c r="G9" s="36">
        <f ca="1">IFERROR(__xludf.DUMMYFUNCTION("""COMPUTED_VALUE"""),84)</f>
        <v>84</v>
      </c>
      <c r="H9" s="39">
        <f ca="1">IFERROR(__xludf.DUMMYFUNCTION("""COMPUTED_VALUE"""),40)</f>
        <v>40</v>
      </c>
    </row>
    <row r="10" spans="1:8" ht="12.75">
      <c r="A10" s="36" t="str">
        <f ca="1">IFERROR(__xludf.DUMMYFUNCTION("""COMPUTED_VALUE"""),"Apple - Enterprise")</f>
        <v>Apple - Enterprise</v>
      </c>
      <c r="B10" s="36">
        <f ca="1">IFERROR(__xludf.DUMMYFUNCTION("""COMPUTED_VALUE"""),10)</f>
        <v>10</v>
      </c>
      <c r="C10" s="36" t="str">
        <f ca="1">IFERROR(__xludf.DUMMYFUNCTION("""COMPUTED_VALUE"""),"#10")</f>
        <v>#10</v>
      </c>
      <c r="D10" s="37" t="str">
        <f ca="1">IFERROR(__xludf.DUMMYFUNCTION("""COMPUTED_VALUE"""),"0.5-1.5""")</f>
        <v>0.5-1.5"</v>
      </c>
      <c r="E10" s="36" t="str">
        <f ca="1">IFERROR(__xludf.DUMMYFUNCTION("""COMPUTED_VALUE"""),"6-7'")</f>
        <v>6-7'</v>
      </c>
      <c r="F10" s="38">
        <f ca="1">IFERROR(__xludf.DUMMYFUNCTION("""COMPUTED_VALUE"""),4)</f>
        <v>4</v>
      </c>
      <c r="G10" s="36">
        <f ca="1">IFERROR(__xludf.DUMMYFUNCTION("""COMPUTED_VALUE"""),0)</f>
        <v>0</v>
      </c>
      <c r="H10" s="39">
        <f ca="1">IFERROR(__xludf.DUMMYFUNCTION("""COMPUTED_VALUE"""),65)</f>
        <v>65</v>
      </c>
    </row>
    <row r="11" spans="1:8" ht="12.75">
      <c r="A11" s="36" t="str">
        <f ca="1">IFERROR(__xludf.DUMMYFUNCTION("""COMPUTED_VALUE"""),"Apple - Enterprise (Dwarf)")</f>
        <v>Apple - Enterprise (Dwarf)</v>
      </c>
      <c r="B11" s="36">
        <f ca="1">IFERROR(__xludf.DUMMYFUNCTION("""COMPUTED_VALUE"""),5)</f>
        <v>5</v>
      </c>
      <c r="C11" s="36" t="str">
        <f ca="1">IFERROR(__xludf.DUMMYFUNCTION("""COMPUTED_VALUE"""),"#5")</f>
        <v>#5</v>
      </c>
      <c r="D11" s="37" t="str">
        <f ca="1">IFERROR(__xludf.DUMMYFUNCTION("""COMPUTED_VALUE"""),"0.75-1""")</f>
        <v>0.75-1"</v>
      </c>
      <c r="E11" s="36" t="str">
        <f ca="1">IFERROR(__xludf.DUMMYFUNCTION("""COMPUTED_VALUE"""),"7-8'")</f>
        <v>7-8'</v>
      </c>
      <c r="F11" s="38">
        <f ca="1">IFERROR(__xludf.DUMMYFUNCTION("""COMPUTED_VALUE"""),11)</f>
        <v>11</v>
      </c>
      <c r="G11" s="36">
        <f ca="1">IFERROR(__xludf.DUMMYFUNCTION("""COMPUTED_VALUE"""),0)</f>
        <v>0</v>
      </c>
      <c r="H11" s="39">
        <f ca="1">IFERROR(__xludf.DUMMYFUNCTION("""COMPUTED_VALUE"""),40)</f>
        <v>40</v>
      </c>
    </row>
    <row r="12" spans="1:8" ht="12.75">
      <c r="A12" s="36" t="str">
        <f ca="1">IFERROR(__xludf.DUMMYFUNCTION("""COMPUTED_VALUE"""),"Apple - Freedom")</f>
        <v>Apple - Freedom</v>
      </c>
      <c r="B12" s="36">
        <f ca="1">IFERROR(__xludf.DUMMYFUNCTION("""COMPUTED_VALUE"""),5)</f>
        <v>5</v>
      </c>
      <c r="C12" s="36" t="str">
        <f ca="1">IFERROR(__xludf.DUMMYFUNCTION("""COMPUTED_VALUE"""),"#5")</f>
        <v>#5</v>
      </c>
      <c r="D12" s="37" t="str">
        <f ca="1">IFERROR(__xludf.DUMMYFUNCTION("""COMPUTED_VALUE"""),"0.75-0.75""")</f>
        <v>0.75-0.75"</v>
      </c>
      <c r="E12" s="36" t="str">
        <f ca="1">IFERROR(__xludf.DUMMYFUNCTION("""COMPUTED_VALUE"""),"5-5'")</f>
        <v>5-5'</v>
      </c>
      <c r="F12" s="38">
        <f ca="1">IFERROR(__xludf.DUMMYFUNCTION("""COMPUTED_VALUE"""),1)</f>
        <v>1</v>
      </c>
      <c r="G12" s="36">
        <f ca="1">IFERROR(__xludf.DUMMYFUNCTION("""COMPUTED_VALUE"""),50)</f>
        <v>50</v>
      </c>
      <c r="H12" s="39">
        <f ca="1">IFERROR(__xludf.DUMMYFUNCTION("""COMPUTED_VALUE"""),40)</f>
        <v>40</v>
      </c>
    </row>
    <row r="13" spans="1:8" ht="12.75">
      <c r="A13" s="36" t="str">
        <f ca="1">IFERROR(__xludf.DUMMYFUNCTION("""COMPUTED_VALUE"""),"Apple - Fuji")</f>
        <v>Apple - Fuji</v>
      </c>
      <c r="B13" s="36">
        <f ca="1">IFERROR(__xludf.DUMMYFUNCTION("""COMPUTED_VALUE"""),5)</f>
        <v>5</v>
      </c>
      <c r="C13" s="36" t="str">
        <f ca="1">IFERROR(__xludf.DUMMYFUNCTION("""COMPUTED_VALUE"""),"#5")</f>
        <v>#5</v>
      </c>
      <c r="D13" s="37" t="str">
        <f ca="1">IFERROR(__xludf.DUMMYFUNCTION("""COMPUTED_VALUE"""),"1-1.25""")</f>
        <v>1-1.25"</v>
      </c>
      <c r="E13" s="36" t="str">
        <f ca="1">IFERROR(__xludf.DUMMYFUNCTION("""COMPUTED_VALUE"""),"6-8'")</f>
        <v>6-8'</v>
      </c>
      <c r="F13" s="38">
        <f ca="1">IFERROR(__xludf.DUMMYFUNCTION("""COMPUTED_VALUE"""),53)</f>
        <v>53</v>
      </c>
      <c r="G13" s="36">
        <f ca="1">IFERROR(__xludf.DUMMYFUNCTION("""COMPUTED_VALUE"""),100)</f>
        <v>100</v>
      </c>
      <c r="H13" s="39">
        <f ca="1">IFERROR(__xludf.DUMMYFUNCTION("""COMPUTED_VALUE"""),40)</f>
        <v>40</v>
      </c>
    </row>
    <row r="14" spans="1:8" ht="12.75">
      <c r="A14" s="36" t="str">
        <f ca="1">IFERROR(__xludf.DUMMYFUNCTION("""COMPUTED_VALUE"""),"Apple - Fuji")</f>
        <v>Apple - Fuji</v>
      </c>
      <c r="B14" s="36">
        <f ca="1">IFERROR(__xludf.DUMMYFUNCTION("""COMPUTED_VALUE"""),10)</f>
        <v>10</v>
      </c>
      <c r="C14" s="36" t="str">
        <f ca="1">IFERROR(__xludf.DUMMYFUNCTION("""COMPUTED_VALUE"""),"#10")</f>
        <v>#10</v>
      </c>
      <c r="D14" s="37" t="str">
        <f ca="1">IFERROR(__xludf.DUMMYFUNCTION("""COMPUTED_VALUE"""),"1-1.25""")</f>
        <v>1-1.25"</v>
      </c>
      <c r="E14" s="36" t="str">
        <f ca="1">IFERROR(__xludf.DUMMYFUNCTION("""COMPUTED_VALUE"""),"7-8'")</f>
        <v>7-8'</v>
      </c>
      <c r="F14" s="38">
        <f ca="1">IFERROR(__xludf.DUMMYFUNCTION("""COMPUTED_VALUE"""),9)</f>
        <v>9</v>
      </c>
      <c r="G14" s="36">
        <f ca="1">IFERROR(__xludf.DUMMYFUNCTION("""COMPUTED_VALUE"""),0)</f>
        <v>0</v>
      </c>
      <c r="H14" s="39">
        <f ca="1">IFERROR(__xludf.DUMMYFUNCTION("""COMPUTED_VALUE"""),65)</f>
        <v>65</v>
      </c>
    </row>
    <row r="15" spans="1:8" ht="12.75">
      <c r="A15" s="36" t="str">
        <f ca="1">IFERROR(__xludf.DUMMYFUNCTION("""COMPUTED_VALUE"""),"Apple - Fuji Espalier 3-Tier")</f>
        <v>Apple - Fuji Espalier 3-Tier</v>
      </c>
      <c r="B15" s="36">
        <f ca="1">IFERROR(__xludf.DUMMYFUNCTION("""COMPUTED_VALUE"""),15)</f>
        <v>15</v>
      </c>
      <c r="C15" s="36" t="str">
        <f ca="1">IFERROR(__xludf.DUMMYFUNCTION("""COMPUTED_VALUE"""),"#15")</f>
        <v>#15</v>
      </c>
      <c r="D15" s="37" t="str">
        <f ca="1">IFERROR(__xludf.DUMMYFUNCTION("""COMPUTED_VALUE"""),"0.75-1""")</f>
        <v>0.75-1"</v>
      </c>
      <c r="E15" s="36" t="str">
        <f ca="1">IFERROR(__xludf.DUMMYFUNCTION("""COMPUTED_VALUE"""),"6-7'")</f>
        <v>6-7'</v>
      </c>
      <c r="F15" s="38">
        <f ca="1">IFERROR(__xludf.DUMMYFUNCTION("""COMPUTED_VALUE"""),0)</f>
        <v>0</v>
      </c>
      <c r="G15" s="36">
        <f ca="1">IFERROR(__xludf.DUMMYFUNCTION("""COMPUTED_VALUE"""),5)</f>
        <v>5</v>
      </c>
      <c r="H15" s="39">
        <f ca="1">IFERROR(__xludf.DUMMYFUNCTION("""COMPUTED_VALUE"""),175)</f>
        <v>175</v>
      </c>
    </row>
    <row r="16" spans="1:8" ht="12.75">
      <c r="A16" s="36" t="str">
        <f ca="1">IFERROR(__xludf.DUMMYFUNCTION("""COMPUTED_VALUE"""),"Apple - Gala")</f>
        <v>Apple - Gala</v>
      </c>
      <c r="B16" s="36">
        <f ca="1">IFERROR(__xludf.DUMMYFUNCTION("""COMPUTED_VALUE"""),5)</f>
        <v>5</v>
      </c>
      <c r="C16" s="36" t="str">
        <f ca="1">IFERROR(__xludf.DUMMYFUNCTION("""COMPUTED_VALUE"""),"#5")</f>
        <v>#5</v>
      </c>
      <c r="D16" s="37" t="str">
        <f ca="1">IFERROR(__xludf.DUMMYFUNCTION("""COMPUTED_VALUE"""),"0.5-1""")</f>
        <v>0.5-1"</v>
      </c>
      <c r="E16" s="36" t="str">
        <f ca="1">IFERROR(__xludf.DUMMYFUNCTION("""COMPUTED_VALUE"""),"5-7'")</f>
        <v>5-7'</v>
      </c>
      <c r="F16" s="38">
        <f ca="1">IFERROR(__xludf.DUMMYFUNCTION("""COMPUTED_VALUE"""),16)</f>
        <v>16</v>
      </c>
      <c r="G16" s="36">
        <f ca="1">IFERROR(__xludf.DUMMYFUNCTION("""COMPUTED_VALUE"""),100)</f>
        <v>100</v>
      </c>
      <c r="H16" s="39">
        <f ca="1">IFERROR(__xludf.DUMMYFUNCTION("""COMPUTED_VALUE"""),40)</f>
        <v>40</v>
      </c>
    </row>
    <row r="17" spans="1:8" ht="12.75">
      <c r="A17" s="36" t="str">
        <f ca="1">IFERROR(__xludf.DUMMYFUNCTION("""COMPUTED_VALUE"""),"Apple - Gala")</f>
        <v>Apple - Gala</v>
      </c>
      <c r="B17" s="36">
        <f ca="1">IFERROR(__xludf.DUMMYFUNCTION("""COMPUTED_VALUE"""),10)</f>
        <v>10</v>
      </c>
      <c r="C17" s="36" t="str">
        <f ca="1">IFERROR(__xludf.DUMMYFUNCTION("""COMPUTED_VALUE"""),"#10")</f>
        <v>#10</v>
      </c>
      <c r="D17" s="37" t="str">
        <f ca="1">IFERROR(__xludf.DUMMYFUNCTION("""COMPUTED_VALUE"""),"1-1""")</f>
        <v>1-1"</v>
      </c>
      <c r="E17" s="36" t="str">
        <f ca="1">IFERROR(__xludf.DUMMYFUNCTION("""COMPUTED_VALUE"""),"7-7'")</f>
        <v>7-7'</v>
      </c>
      <c r="F17" s="38">
        <f ca="1">IFERROR(__xludf.DUMMYFUNCTION("""COMPUTED_VALUE"""),1)</f>
        <v>1</v>
      </c>
      <c r="G17" s="36">
        <f ca="1">IFERROR(__xludf.DUMMYFUNCTION("""COMPUTED_VALUE"""),0)</f>
        <v>0</v>
      </c>
      <c r="H17" s="39">
        <f ca="1">IFERROR(__xludf.DUMMYFUNCTION("""COMPUTED_VALUE"""),65)</f>
        <v>65</v>
      </c>
    </row>
    <row r="18" spans="1:8" ht="12.75">
      <c r="A18" s="36" t="str">
        <f ca="1">IFERROR(__xludf.DUMMYFUNCTION("""COMPUTED_VALUE"""),"Apple - Gala Espalier 3 tier")</f>
        <v>Apple - Gala Espalier 3 tier</v>
      </c>
      <c r="B18" s="36">
        <f ca="1">IFERROR(__xludf.DUMMYFUNCTION("""COMPUTED_VALUE"""),15)</f>
        <v>15</v>
      </c>
      <c r="C18" s="36" t="str">
        <f ca="1">IFERROR(__xludf.DUMMYFUNCTION("""COMPUTED_VALUE"""),"#15")</f>
        <v>#15</v>
      </c>
      <c r="D18" s="37" t="str">
        <f ca="1">IFERROR(__xludf.DUMMYFUNCTION("""COMPUTED_VALUE"""),"0.75-1""")</f>
        <v>0.75-1"</v>
      </c>
      <c r="E18" s="36" t="str">
        <f ca="1">IFERROR(__xludf.DUMMYFUNCTION("""COMPUTED_VALUE"""),"6-7'")</f>
        <v>6-7'</v>
      </c>
      <c r="F18" s="38">
        <f ca="1">IFERROR(__xludf.DUMMYFUNCTION("""COMPUTED_VALUE"""),0)</f>
        <v>0</v>
      </c>
      <c r="G18" s="36">
        <f ca="1">IFERROR(__xludf.DUMMYFUNCTION("""COMPUTED_VALUE"""),5)</f>
        <v>5</v>
      </c>
      <c r="H18" s="39">
        <f ca="1">IFERROR(__xludf.DUMMYFUNCTION("""COMPUTED_VALUE"""),175)</f>
        <v>175</v>
      </c>
    </row>
    <row r="19" spans="1:8" ht="12.75">
      <c r="A19" s="36" t="str">
        <f ca="1">IFERROR(__xludf.DUMMYFUNCTION("""COMPUTED_VALUE"""),"Apple - Galarina")</f>
        <v>Apple - Galarina</v>
      </c>
      <c r="B19" s="36">
        <f ca="1">IFERROR(__xludf.DUMMYFUNCTION("""COMPUTED_VALUE"""),5)</f>
        <v>5</v>
      </c>
      <c r="C19" s="36" t="str">
        <f ca="1">IFERROR(__xludf.DUMMYFUNCTION("""COMPUTED_VALUE"""),"#5")</f>
        <v>#5</v>
      </c>
      <c r="D19" s="37" t="str">
        <f ca="1">IFERROR(__xludf.DUMMYFUNCTION("""COMPUTED_VALUE"""),"0-1""")</f>
        <v>0-1"</v>
      </c>
      <c r="E19" s="36" t="str">
        <f ca="1">IFERROR(__xludf.DUMMYFUNCTION("""COMPUTED_VALUE"""),"0-6'")</f>
        <v>0-6'</v>
      </c>
      <c r="F19" s="38">
        <f ca="1">IFERROR(__xludf.DUMMYFUNCTION("""COMPUTED_VALUE"""),0)</f>
        <v>0</v>
      </c>
      <c r="G19" s="36">
        <f ca="1">IFERROR(__xludf.DUMMYFUNCTION("""COMPUTED_VALUE"""),85)</f>
        <v>85</v>
      </c>
      <c r="H19" s="39">
        <f ca="1">IFERROR(__xludf.DUMMYFUNCTION("""COMPUTED_VALUE"""),40)</f>
        <v>40</v>
      </c>
    </row>
    <row r="20" spans="1:8" ht="12.75">
      <c r="A20" s="36" t="str">
        <f ca="1">IFERROR(__xludf.DUMMYFUNCTION("""COMPUTED_VALUE"""),"Apple - Gold Rush")</f>
        <v>Apple - Gold Rush</v>
      </c>
      <c r="B20" s="36">
        <f ca="1">IFERROR(__xludf.DUMMYFUNCTION("""COMPUTED_VALUE"""),5)</f>
        <v>5</v>
      </c>
      <c r="C20" s="36" t="str">
        <f ca="1">IFERROR(__xludf.DUMMYFUNCTION("""COMPUTED_VALUE"""),"#5")</f>
        <v>#5</v>
      </c>
      <c r="D20" s="37" t="str">
        <f ca="1">IFERROR(__xludf.DUMMYFUNCTION("""COMPUTED_VALUE"""),"0.5-0.75""")</f>
        <v>0.5-0.75"</v>
      </c>
      <c r="E20" s="36" t="str">
        <f ca="1">IFERROR(__xludf.DUMMYFUNCTION("""COMPUTED_VALUE"""),"4-5'")</f>
        <v>4-5'</v>
      </c>
      <c r="F20" s="38">
        <f ca="1">IFERROR(__xludf.DUMMYFUNCTION("""COMPUTED_VALUE"""),0)</f>
        <v>0</v>
      </c>
      <c r="G20" s="36">
        <f ca="1">IFERROR(__xludf.DUMMYFUNCTION("""COMPUTED_VALUE"""),20)</f>
        <v>20</v>
      </c>
      <c r="H20" s="39">
        <f ca="1">IFERROR(__xludf.DUMMYFUNCTION("""COMPUTED_VALUE"""),40)</f>
        <v>40</v>
      </c>
    </row>
    <row r="21" spans="1:8" ht="12.75">
      <c r="A21" s="36" t="str">
        <f ca="1">IFERROR(__xludf.DUMMYFUNCTION("""COMPUTED_VALUE"""),"Apple - Gold Rush")</f>
        <v>Apple - Gold Rush</v>
      </c>
      <c r="B21" s="36"/>
      <c r="C21" s="36" t="str">
        <f ca="1">IFERROR(__xludf.DUMMYFUNCTION("""COMPUTED_VALUE"""),"#5")</f>
        <v>#5</v>
      </c>
      <c r="D21" s="37" t="str">
        <f ca="1">IFERROR(__xludf.DUMMYFUNCTION("""COMPUTED_VALUE"""),"0.75-1""")</f>
        <v>0.75-1"</v>
      </c>
      <c r="E21" s="36" t="str">
        <f ca="1">IFERROR(__xludf.DUMMYFUNCTION("""COMPUTED_VALUE"""),"5-7'")</f>
        <v>5-7'</v>
      </c>
      <c r="F21" s="38">
        <f ca="1">IFERROR(__xludf.DUMMYFUNCTION("""COMPUTED_VALUE"""),4)</f>
        <v>4</v>
      </c>
      <c r="G21" s="36">
        <f ca="1">IFERROR(__xludf.DUMMYFUNCTION("""COMPUTED_VALUE"""),20)</f>
        <v>20</v>
      </c>
      <c r="H21" s="39">
        <f ca="1">IFERROR(__xludf.DUMMYFUNCTION("""COMPUTED_VALUE"""),40)</f>
        <v>40</v>
      </c>
    </row>
    <row r="22" spans="1:8" ht="12.75">
      <c r="A22" s="36" t="str">
        <f ca="1">IFERROR(__xludf.DUMMYFUNCTION("""COMPUTED_VALUE"""),"Apple - Golden Delicious")</f>
        <v>Apple - Golden Delicious</v>
      </c>
      <c r="B22" s="36">
        <f ca="1">IFERROR(__xludf.DUMMYFUNCTION("""COMPUTED_VALUE"""),5)</f>
        <v>5</v>
      </c>
      <c r="C22" s="36" t="str">
        <f ca="1">IFERROR(__xludf.DUMMYFUNCTION("""COMPUTED_VALUE"""),"#5")</f>
        <v>#5</v>
      </c>
      <c r="D22" s="37" t="str">
        <f ca="1">IFERROR(__xludf.DUMMYFUNCTION("""COMPUTED_VALUE"""),"0.75-0.75""")</f>
        <v>0.75-0.75"</v>
      </c>
      <c r="E22" s="36" t="str">
        <f ca="1">IFERROR(__xludf.DUMMYFUNCTION("""COMPUTED_VALUE"""),"5-5'")</f>
        <v>5-5'</v>
      </c>
      <c r="F22" s="38">
        <f ca="1">IFERROR(__xludf.DUMMYFUNCTION("""COMPUTED_VALUE"""),1)</f>
        <v>1</v>
      </c>
      <c r="G22" s="36">
        <f ca="1">IFERROR(__xludf.DUMMYFUNCTION("""COMPUTED_VALUE"""),0)</f>
        <v>0</v>
      </c>
      <c r="H22" s="39">
        <f ca="1">IFERROR(__xludf.DUMMYFUNCTION("""COMPUTED_VALUE"""),40)</f>
        <v>40</v>
      </c>
    </row>
    <row r="23" spans="1:8" ht="12.75">
      <c r="A23" s="36" t="str">
        <f ca="1">IFERROR(__xludf.DUMMYFUNCTION("""COMPUTED_VALUE"""),"Apple - Golden Delicious")</f>
        <v>Apple - Golden Delicious</v>
      </c>
      <c r="B23" s="36">
        <f ca="1">IFERROR(__xludf.DUMMYFUNCTION("""COMPUTED_VALUE"""),10)</f>
        <v>10</v>
      </c>
      <c r="C23" s="36" t="str">
        <f ca="1">IFERROR(__xludf.DUMMYFUNCTION("""COMPUTED_VALUE"""),"#10")</f>
        <v>#10</v>
      </c>
      <c r="D23" s="37" t="str">
        <f ca="1">IFERROR(__xludf.DUMMYFUNCTION("""COMPUTED_VALUE"""),"1-1""")</f>
        <v>1-1"</v>
      </c>
      <c r="E23" s="36" t="str">
        <f ca="1">IFERROR(__xludf.DUMMYFUNCTION("""COMPUTED_VALUE"""),"7-8'")</f>
        <v>7-8'</v>
      </c>
      <c r="F23" s="38">
        <f ca="1">IFERROR(__xludf.DUMMYFUNCTION("""COMPUTED_VALUE"""),2)</f>
        <v>2</v>
      </c>
      <c r="G23" s="36">
        <f ca="1">IFERROR(__xludf.DUMMYFUNCTION("""COMPUTED_VALUE"""),0)</f>
        <v>0</v>
      </c>
      <c r="H23" s="39">
        <f ca="1">IFERROR(__xludf.DUMMYFUNCTION("""COMPUTED_VALUE"""),65)</f>
        <v>65</v>
      </c>
    </row>
    <row r="24" spans="1:8" ht="12.75">
      <c r="A24" s="36" t="str">
        <f ca="1">IFERROR(__xludf.DUMMYFUNCTION("""COMPUTED_VALUE"""),"Apple - Granny Smith")</f>
        <v>Apple - Granny Smith</v>
      </c>
      <c r="B24" s="36">
        <f ca="1">IFERROR(__xludf.DUMMYFUNCTION("""COMPUTED_VALUE"""),5)</f>
        <v>5</v>
      </c>
      <c r="C24" s="36" t="str">
        <f ca="1">IFERROR(__xludf.DUMMYFUNCTION("""COMPUTED_VALUE"""),"#5")</f>
        <v>#5</v>
      </c>
      <c r="D24" s="37" t="str">
        <f ca="1">IFERROR(__xludf.DUMMYFUNCTION("""COMPUTED_VALUE"""),"0.75-1""")</f>
        <v>0.75-1"</v>
      </c>
      <c r="E24" s="36" t="str">
        <f ca="1">IFERROR(__xludf.DUMMYFUNCTION("""COMPUTED_VALUE"""),"5-8'")</f>
        <v>5-8'</v>
      </c>
      <c r="F24" s="38">
        <f ca="1">IFERROR(__xludf.DUMMYFUNCTION("""COMPUTED_VALUE"""),65)</f>
        <v>65</v>
      </c>
      <c r="G24" s="36">
        <f ca="1">IFERROR(__xludf.DUMMYFUNCTION("""COMPUTED_VALUE"""),100)</f>
        <v>100</v>
      </c>
      <c r="H24" s="39">
        <f ca="1">IFERROR(__xludf.DUMMYFUNCTION("""COMPUTED_VALUE"""),40)</f>
        <v>40</v>
      </c>
    </row>
    <row r="25" spans="1:8" ht="12.75">
      <c r="A25" s="36" t="str">
        <f ca="1">IFERROR(__xludf.DUMMYFUNCTION("""COMPUTED_VALUE"""),"Apple - Honeycrisp")</f>
        <v>Apple - Honeycrisp</v>
      </c>
      <c r="B25" s="36">
        <f ca="1">IFERROR(__xludf.DUMMYFUNCTION("""COMPUTED_VALUE"""),5)</f>
        <v>5</v>
      </c>
      <c r="C25" s="36" t="str">
        <f ca="1">IFERROR(__xludf.DUMMYFUNCTION("""COMPUTED_VALUE"""),"#5")</f>
        <v>#5</v>
      </c>
      <c r="D25" s="37" t="str">
        <f ca="1">IFERROR(__xludf.DUMMYFUNCTION("""COMPUTED_VALUE"""),"0-1""")</f>
        <v>0-1"</v>
      </c>
      <c r="E25" s="36" t="str">
        <f ca="1">IFERROR(__xludf.DUMMYFUNCTION("""COMPUTED_VALUE"""),"0-7'")</f>
        <v>0-7'</v>
      </c>
      <c r="F25" s="38">
        <f ca="1">IFERROR(__xludf.DUMMYFUNCTION("""COMPUTED_VALUE"""),-3)</f>
        <v>-3</v>
      </c>
      <c r="G25" s="36">
        <f ca="1">IFERROR(__xludf.DUMMYFUNCTION("""COMPUTED_VALUE"""),45)</f>
        <v>45</v>
      </c>
      <c r="H25" s="39">
        <f ca="1">IFERROR(__xludf.DUMMYFUNCTION("""COMPUTED_VALUE"""),40)</f>
        <v>40</v>
      </c>
    </row>
    <row r="26" spans="1:8" ht="12.75">
      <c r="A26" s="36" t="str">
        <f ca="1">IFERROR(__xludf.DUMMYFUNCTION("""COMPUTED_VALUE"""),"Apple - Initial")</f>
        <v>Apple - Initial</v>
      </c>
      <c r="B26" s="36">
        <f ca="1">IFERROR(__xludf.DUMMYFUNCTION("""COMPUTED_VALUE"""),5)</f>
        <v>5</v>
      </c>
      <c r="C26" s="36" t="str">
        <f ca="1">IFERROR(__xludf.DUMMYFUNCTION("""COMPUTED_VALUE"""),"#5")</f>
        <v>#5</v>
      </c>
      <c r="D26" s="37" t="str">
        <f ca="1">IFERROR(__xludf.DUMMYFUNCTION("""COMPUTED_VALUE"""),"0.5-0.5""")</f>
        <v>0.5-0.5"</v>
      </c>
      <c r="E26" s="36" t="str">
        <f ca="1">IFERROR(__xludf.DUMMYFUNCTION("""COMPUTED_VALUE"""),"3-4'")</f>
        <v>3-4'</v>
      </c>
      <c r="F26" s="38">
        <f ca="1">IFERROR(__xludf.DUMMYFUNCTION("""COMPUTED_VALUE"""),0)</f>
        <v>0</v>
      </c>
      <c r="G26" s="36">
        <f ca="1">IFERROR(__xludf.DUMMYFUNCTION("""COMPUTED_VALUE"""),20)</f>
        <v>20</v>
      </c>
      <c r="H26" s="39">
        <f ca="1">IFERROR(__xludf.DUMMYFUNCTION("""COMPUTED_VALUE"""),40)</f>
        <v>40</v>
      </c>
    </row>
    <row r="27" spans="1:8" ht="12.75">
      <c r="A27" s="36" t="str">
        <f ca="1">IFERROR(__xludf.DUMMYFUNCTION("""COMPUTED_VALUE"""),"Apple - Liberty")</f>
        <v>Apple - Liberty</v>
      </c>
      <c r="B27" s="36">
        <f ca="1">IFERROR(__xludf.DUMMYFUNCTION("""COMPUTED_VALUE"""),5)</f>
        <v>5</v>
      </c>
      <c r="C27" s="36" t="str">
        <f ca="1">IFERROR(__xludf.DUMMYFUNCTION("""COMPUTED_VALUE"""),"#5")</f>
        <v>#5</v>
      </c>
      <c r="D27" s="37" t="str">
        <f ca="1">IFERROR(__xludf.DUMMYFUNCTION("""COMPUTED_VALUE"""),"0.75-1""")</f>
        <v>0.75-1"</v>
      </c>
      <c r="E27" s="36" t="str">
        <f ca="1">IFERROR(__xludf.DUMMYFUNCTION("""COMPUTED_VALUE"""),"5-7'")</f>
        <v>5-7'</v>
      </c>
      <c r="F27" s="38">
        <f ca="1">IFERROR(__xludf.DUMMYFUNCTION("""COMPUTED_VALUE"""),-6)</f>
        <v>-6</v>
      </c>
      <c r="G27" s="36">
        <f ca="1">IFERROR(__xludf.DUMMYFUNCTION("""COMPUTED_VALUE"""),100)</f>
        <v>100</v>
      </c>
      <c r="H27" s="39">
        <f ca="1">IFERROR(__xludf.DUMMYFUNCTION("""COMPUTED_VALUE"""),40)</f>
        <v>40</v>
      </c>
    </row>
    <row r="28" spans="1:8" ht="12.75">
      <c r="A28" s="36" t="str">
        <f ca="1">IFERROR(__xludf.DUMMYFUNCTION("""COMPUTED_VALUE"""),"Apple - Macoun")</f>
        <v>Apple - Macoun</v>
      </c>
      <c r="B28" s="36">
        <f ca="1">IFERROR(__xludf.DUMMYFUNCTION("""COMPUTED_VALUE"""),5)</f>
        <v>5</v>
      </c>
      <c r="C28" s="36" t="str">
        <f ca="1">IFERROR(__xludf.DUMMYFUNCTION("""COMPUTED_VALUE"""),"#5")</f>
        <v>#5</v>
      </c>
      <c r="D28" s="37" t="str">
        <f ca="1">IFERROR(__xludf.DUMMYFUNCTION("""COMPUTED_VALUE"""),"0.5-0.5""")</f>
        <v>0.5-0.5"</v>
      </c>
      <c r="E28" s="36" t="str">
        <f ca="1">IFERROR(__xludf.DUMMYFUNCTION("""COMPUTED_VALUE"""),"3-4'")</f>
        <v>3-4'</v>
      </c>
      <c r="F28" s="38">
        <f ca="1">IFERROR(__xludf.DUMMYFUNCTION("""COMPUTED_VALUE"""),0)</f>
        <v>0</v>
      </c>
      <c r="G28" s="36">
        <f ca="1">IFERROR(__xludf.DUMMYFUNCTION("""COMPUTED_VALUE"""),20)</f>
        <v>20</v>
      </c>
      <c r="H28" s="39">
        <f ca="1">IFERROR(__xludf.DUMMYFUNCTION("""COMPUTED_VALUE"""),40)</f>
        <v>40</v>
      </c>
    </row>
    <row r="29" spans="1:8" ht="12.75">
      <c r="A29" s="36" t="str">
        <f ca="1">IFERROR(__xludf.DUMMYFUNCTION("""COMPUTED_VALUE"""),"Apple - McIntosh")</f>
        <v>Apple - McIntosh</v>
      </c>
      <c r="B29" s="36">
        <f ca="1">IFERROR(__xludf.DUMMYFUNCTION("""COMPUTED_VALUE"""),5)</f>
        <v>5</v>
      </c>
      <c r="C29" s="36" t="str">
        <f ca="1">IFERROR(__xludf.DUMMYFUNCTION("""COMPUTED_VALUE"""),"#5")</f>
        <v>#5</v>
      </c>
      <c r="D29" s="37" t="str">
        <f ca="1">IFERROR(__xludf.DUMMYFUNCTION("""COMPUTED_VALUE"""),"0.75-1""")</f>
        <v>0.75-1"</v>
      </c>
      <c r="E29" s="36" t="str">
        <f ca="1">IFERROR(__xludf.DUMMYFUNCTION("""COMPUTED_VALUE"""),"7-8'")</f>
        <v>7-8'</v>
      </c>
      <c r="F29" s="38">
        <f ca="1">IFERROR(__xludf.DUMMYFUNCTION("""COMPUTED_VALUE"""),20)</f>
        <v>20</v>
      </c>
      <c r="G29" s="36">
        <f ca="1">IFERROR(__xludf.DUMMYFUNCTION("""COMPUTED_VALUE"""),100)</f>
        <v>100</v>
      </c>
      <c r="H29" s="39">
        <f ca="1">IFERROR(__xludf.DUMMYFUNCTION("""COMPUTED_VALUE"""),40)</f>
        <v>40</v>
      </c>
    </row>
    <row r="30" spans="1:8" ht="12.75">
      <c r="A30" s="36" t="str">
        <f ca="1">IFERROR(__xludf.DUMMYFUNCTION("""COMPUTED_VALUE"""),"Apple - McIntosh")</f>
        <v>Apple - McIntosh</v>
      </c>
      <c r="B30" s="36">
        <f ca="1">IFERROR(__xludf.DUMMYFUNCTION("""COMPUTED_VALUE"""),10)</f>
        <v>10</v>
      </c>
      <c r="C30" s="36" t="str">
        <f ca="1">IFERROR(__xludf.DUMMYFUNCTION("""COMPUTED_VALUE"""),"#10")</f>
        <v>#10</v>
      </c>
      <c r="D30" s="37" t="str">
        <f ca="1">IFERROR(__xludf.DUMMYFUNCTION("""COMPUTED_VALUE"""),"1-1""")</f>
        <v>1-1"</v>
      </c>
      <c r="E30" s="36" t="str">
        <f ca="1">IFERROR(__xludf.DUMMYFUNCTION("""COMPUTED_VALUE"""),"7-8'")</f>
        <v>7-8'</v>
      </c>
      <c r="F30" s="38">
        <f ca="1">IFERROR(__xludf.DUMMYFUNCTION("""COMPUTED_VALUE"""),9)</f>
        <v>9</v>
      </c>
      <c r="G30" s="36">
        <f ca="1">IFERROR(__xludf.DUMMYFUNCTION("""COMPUTED_VALUE"""),0)</f>
        <v>0</v>
      </c>
      <c r="H30" s="39">
        <f ca="1">IFERROR(__xludf.DUMMYFUNCTION("""COMPUTED_VALUE"""),65)</f>
        <v>65</v>
      </c>
    </row>
    <row r="31" spans="1:8" ht="12.75">
      <c r="A31" s="36" t="str">
        <f ca="1">IFERROR(__xludf.DUMMYFUNCTION("""COMPUTED_VALUE"""),"Apple - Northern Spy")</f>
        <v>Apple - Northern Spy</v>
      </c>
      <c r="B31" s="36">
        <f ca="1">IFERROR(__xludf.DUMMYFUNCTION("""COMPUTED_VALUE"""),5)</f>
        <v>5</v>
      </c>
      <c r="C31" s="36" t="str">
        <f ca="1">IFERROR(__xludf.DUMMYFUNCTION("""COMPUTED_VALUE"""),"#5")</f>
        <v>#5</v>
      </c>
      <c r="D31" s="37" t="str">
        <f ca="1">IFERROR(__xludf.DUMMYFUNCTION("""COMPUTED_VALUE"""),"0.38-0.75""")</f>
        <v>0.38-0.75"</v>
      </c>
      <c r="E31" s="36" t="str">
        <f ca="1">IFERROR(__xludf.DUMMYFUNCTION("""COMPUTED_VALUE"""),"3-5'")</f>
        <v>3-5'</v>
      </c>
      <c r="F31" s="38">
        <f ca="1">IFERROR(__xludf.DUMMYFUNCTION("""COMPUTED_VALUE"""),0)</f>
        <v>0</v>
      </c>
      <c r="G31" s="36">
        <f ca="1">IFERROR(__xludf.DUMMYFUNCTION("""COMPUTED_VALUE"""),50)</f>
        <v>50</v>
      </c>
      <c r="H31" s="39">
        <f ca="1">IFERROR(__xludf.DUMMYFUNCTION("""COMPUTED_VALUE"""),40)</f>
        <v>40</v>
      </c>
    </row>
    <row r="32" spans="1:8" ht="12.75">
      <c r="A32" s="36" t="str">
        <f ca="1">IFERROR(__xludf.DUMMYFUNCTION("""COMPUTED_VALUE"""),"Apple - Nova Spy")</f>
        <v>Apple - Nova Spy</v>
      </c>
      <c r="B32" s="36">
        <f ca="1">IFERROR(__xludf.DUMMYFUNCTION("""COMPUTED_VALUE"""),5)</f>
        <v>5</v>
      </c>
      <c r="C32" s="36" t="str">
        <f ca="1">IFERROR(__xludf.DUMMYFUNCTION("""COMPUTED_VALUE"""),"#5")</f>
        <v>#5</v>
      </c>
      <c r="D32" s="37" t="str">
        <f ca="1">IFERROR(__xludf.DUMMYFUNCTION("""COMPUTED_VALUE"""),"0.75-1""")</f>
        <v>0.75-1"</v>
      </c>
      <c r="E32" s="36" t="str">
        <f ca="1">IFERROR(__xludf.DUMMYFUNCTION("""COMPUTED_VALUE"""),"7-9'")</f>
        <v>7-9'</v>
      </c>
      <c r="F32" s="38">
        <f ca="1">IFERROR(__xludf.DUMMYFUNCTION("""COMPUTED_VALUE"""),20)</f>
        <v>20</v>
      </c>
      <c r="G32" s="36">
        <f ca="1">IFERROR(__xludf.DUMMYFUNCTION("""COMPUTED_VALUE"""),50)</f>
        <v>50</v>
      </c>
      <c r="H32" s="39">
        <f ca="1">IFERROR(__xludf.DUMMYFUNCTION("""COMPUTED_VALUE"""),40)</f>
        <v>40</v>
      </c>
    </row>
    <row r="33" spans="1:8" ht="12.75">
      <c r="A33" s="36" t="str">
        <f ca="1">IFERROR(__xludf.DUMMYFUNCTION("""COMPUTED_VALUE"""),"Apple - Pink Lady")</f>
        <v>Apple - Pink Lady</v>
      </c>
      <c r="B33" s="36">
        <f ca="1">IFERROR(__xludf.DUMMYFUNCTION("""COMPUTED_VALUE"""),7)</f>
        <v>7</v>
      </c>
      <c r="C33" s="36" t="str">
        <f ca="1">IFERROR(__xludf.DUMMYFUNCTION("""COMPUTED_VALUE"""),"#7")</f>
        <v>#7</v>
      </c>
      <c r="D33" s="37" t="str">
        <f ca="1">IFERROR(__xludf.DUMMYFUNCTION("""COMPUTED_VALUE"""),"0.75-1""")</f>
        <v>0.75-1"</v>
      </c>
      <c r="E33" s="36" t="str">
        <f ca="1">IFERROR(__xludf.DUMMYFUNCTION("""COMPUTED_VALUE"""),"5-7'")</f>
        <v>5-7'</v>
      </c>
      <c r="F33" s="38">
        <f ca="1">IFERROR(__xludf.DUMMYFUNCTION("""COMPUTED_VALUE"""),3)</f>
        <v>3</v>
      </c>
      <c r="G33" s="36">
        <f ca="1">IFERROR(__xludf.DUMMYFUNCTION("""COMPUTED_VALUE"""),0)</f>
        <v>0</v>
      </c>
      <c r="H33" s="39">
        <f ca="1">IFERROR(__xludf.DUMMYFUNCTION("""COMPUTED_VALUE"""),55)</f>
        <v>55</v>
      </c>
    </row>
    <row r="34" spans="1:8" ht="12.75">
      <c r="A34" s="36" t="str">
        <f ca="1">IFERROR(__xludf.DUMMYFUNCTION("""COMPUTED_VALUE"""),"Apple - Querina")</f>
        <v>Apple - Querina</v>
      </c>
      <c r="B34" s="36">
        <f ca="1">IFERROR(__xludf.DUMMYFUNCTION("""COMPUTED_VALUE"""),5)</f>
        <v>5</v>
      </c>
      <c r="C34" s="36" t="str">
        <f ca="1">IFERROR(__xludf.DUMMYFUNCTION("""COMPUTED_VALUE"""),"#5")</f>
        <v>#5</v>
      </c>
      <c r="D34" s="37" t="str">
        <f ca="1">IFERROR(__xludf.DUMMYFUNCTION("""COMPUTED_VALUE"""),"0.75-1.25""")</f>
        <v>0.75-1.25"</v>
      </c>
      <c r="E34" s="36" t="str">
        <f ca="1">IFERROR(__xludf.DUMMYFUNCTION("""COMPUTED_VALUE"""),"7-8'")</f>
        <v>7-8'</v>
      </c>
      <c r="F34" s="38">
        <f ca="1">IFERROR(__xludf.DUMMYFUNCTION("""COMPUTED_VALUE"""),59)</f>
        <v>59</v>
      </c>
      <c r="G34" s="36">
        <f ca="1">IFERROR(__xludf.DUMMYFUNCTION("""COMPUTED_VALUE"""),100)</f>
        <v>100</v>
      </c>
      <c r="H34" s="39">
        <f ca="1">IFERROR(__xludf.DUMMYFUNCTION("""COMPUTED_VALUE"""),40)</f>
        <v>40</v>
      </c>
    </row>
    <row r="35" spans="1:8" ht="12.75">
      <c r="A35" s="36" t="str">
        <f ca="1">IFERROR(__xludf.DUMMYFUNCTION("""COMPUTED_VALUE"""),"Apple - Querina (standard)")</f>
        <v>Apple - Querina (standard)</v>
      </c>
      <c r="B35" s="36">
        <f ca="1">IFERROR(__xludf.DUMMYFUNCTION("""COMPUTED_VALUE"""),5)</f>
        <v>5</v>
      </c>
      <c r="C35" s="36" t="str">
        <f ca="1">IFERROR(__xludf.DUMMYFUNCTION("""COMPUTED_VALUE"""),"#5")</f>
        <v>#5</v>
      </c>
      <c r="D35" s="37" t="str">
        <f ca="1">IFERROR(__xludf.DUMMYFUNCTION("""COMPUTED_VALUE"""),"1-1""")</f>
        <v>1-1"</v>
      </c>
      <c r="E35" s="36" t="str">
        <f ca="1">IFERROR(__xludf.DUMMYFUNCTION("""COMPUTED_VALUE"""),"7-8'")</f>
        <v>7-8'</v>
      </c>
      <c r="F35" s="38">
        <f ca="1">IFERROR(__xludf.DUMMYFUNCTION("""COMPUTED_VALUE"""),24)</f>
        <v>24</v>
      </c>
      <c r="G35" s="36">
        <f ca="1">IFERROR(__xludf.DUMMYFUNCTION("""COMPUTED_VALUE"""),0)</f>
        <v>0</v>
      </c>
      <c r="H35" s="39">
        <f ca="1">IFERROR(__xludf.DUMMYFUNCTION("""COMPUTED_VALUE"""),40)</f>
        <v>40</v>
      </c>
    </row>
    <row r="36" spans="1:8" ht="12.75">
      <c r="A36" s="36" t="str">
        <f ca="1">IFERROR(__xludf.DUMMYFUNCTION("""COMPUTED_VALUE"""),"Apple - Querina (standard)")</f>
        <v>Apple - Querina (standard)</v>
      </c>
      <c r="B36" s="36">
        <f ca="1">IFERROR(__xludf.DUMMYFUNCTION("""COMPUTED_VALUE"""),10)</f>
        <v>10</v>
      </c>
      <c r="C36" s="36" t="str">
        <f ca="1">IFERROR(__xludf.DUMMYFUNCTION("""COMPUTED_VALUE"""),"#10")</f>
        <v>#10</v>
      </c>
      <c r="D36" s="37" t="str">
        <f ca="1">IFERROR(__xludf.DUMMYFUNCTION("""COMPUTED_VALUE"""),"1-1""")</f>
        <v>1-1"</v>
      </c>
      <c r="E36" s="36" t="str">
        <f ca="1">IFERROR(__xludf.DUMMYFUNCTION("""COMPUTED_VALUE"""),"7-8'")</f>
        <v>7-8'</v>
      </c>
      <c r="F36" s="38">
        <f ca="1">IFERROR(__xludf.DUMMYFUNCTION("""COMPUTED_VALUE"""),7)</f>
        <v>7</v>
      </c>
      <c r="G36" s="36">
        <f ca="1">IFERROR(__xludf.DUMMYFUNCTION("""COMPUTED_VALUE"""),0)</f>
        <v>0</v>
      </c>
      <c r="H36" s="39">
        <f ca="1">IFERROR(__xludf.DUMMYFUNCTION("""COMPUTED_VALUE"""),65)</f>
        <v>65</v>
      </c>
    </row>
    <row r="37" spans="1:8" ht="12.75">
      <c r="A37" s="36" t="str">
        <f ca="1">IFERROR(__xludf.DUMMYFUNCTION("""COMPUTED_VALUE"""),"Apple - Red Delicious")</f>
        <v>Apple - Red Delicious</v>
      </c>
      <c r="B37" s="36">
        <f ca="1">IFERROR(__xludf.DUMMYFUNCTION("""COMPUTED_VALUE"""),5)</f>
        <v>5</v>
      </c>
      <c r="C37" s="36" t="str">
        <f ca="1">IFERROR(__xludf.DUMMYFUNCTION("""COMPUTED_VALUE"""),"#5")</f>
        <v>#5</v>
      </c>
      <c r="D37" s="37" t="str">
        <f ca="1">IFERROR(__xludf.DUMMYFUNCTION("""COMPUTED_VALUE"""),"0.75-1""")</f>
        <v>0.75-1"</v>
      </c>
      <c r="E37" s="36" t="str">
        <f ca="1">IFERROR(__xludf.DUMMYFUNCTION("""COMPUTED_VALUE"""),"7-8'")</f>
        <v>7-8'</v>
      </c>
      <c r="F37" s="38">
        <f ca="1">IFERROR(__xludf.DUMMYFUNCTION("""COMPUTED_VALUE"""),10)</f>
        <v>10</v>
      </c>
      <c r="G37" s="36">
        <f ca="1">IFERROR(__xludf.DUMMYFUNCTION("""COMPUTED_VALUE"""),100)</f>
        <v>100</v>
      </c>
      <c r="H37" s="39">
        <f ca="1">IFERROR(__xludf.DUMMYFUNCTION("""COMPUTED_VALUE"""),40)</f>
        <v>40</v>
      </c>
    </row>
    <row r="38" spans="1:8" ht="12.75">
      <c r="A38" s="36" t="str">
        <f ca="1">IFERROR(__xludf.DUMMYFUNCTION("""COMPUTED_VALUE"""),"Apple - Spur Winter Banana")</f>
        <v>Apple - Spur Winter Banana</v>
      </c>
      <c r="B38" s="36">
        <f ca="1">IFERROR(__xludf.DUMMYFUNCTION("""COMPUTED_VALUE"""),5)</f>
        <v>5</v>
      </c>
      <c r="C38" s="36" t="str">
        <f ca="1">IFERROR(__xludf.DUMMYFUNCTION("""COMPUTED_VALUE"""),"#5")</f>
        <v>#5</v>
      </c>
      <c r="D38" s="37" t="str">
        <f ca="1">IFERROR(__xludf.DUMMYFUNCTION("""COMPUTED_VALUE"""),"0.75-1""")</f>
        <v>0.75-1"</v>
      </c>
      <c r="E38" s="36" t="str">
        <f ca="1">IFERROR(__xludf.DUMMYFUNCTION("""COMPUTED_VALUE"""),"5-5'")</f>
        <v>5-5'</v>
      </c>
      <c r="F38" s="38">
        <f ca="1">IFERROR(__xludf.DUMMYFUNCTION("""COMPUTED_VALUE"""),5)</f>
        <v>5</v>
      </c>
      <c r="G38" s="36">
        <f ca="1">IFERROR(__xludf.DUMMYFUNCTION("""COMPUTED_VALUE"""),20)</f>
        <v>20</v>
      </c>
      <c r="H38" s="39">
        <f ca="1">IFERROR(__xludf.DUMMYFUNCTION("""COMPUTED_VALUE"""),40)</f>
        <v>40</v>
      </c>
    </row>
    <row r="39" spans="1:8" ht="12.75">
      <c r="A39" s="36" t="str">
        <f ca="1">IFERROR(__xludf.DUMMYFUNCTION("""COMPUTED_VALUE"""),"Apple - Winesap")</f>
        <v>Apple - Winesap</v>
      </c>
      <c r="B39" s="36">
        <f ca="1">IFERROR(__xludf.DUMMYFUNCTION("""COMPUTED_VALUE"""),5)</f>
        <v>5</v>
      </c>
      <c r="C39" s="36" t="str">
        <f ca="1">IFERROR(__xludf.DUMMYFUNCTION("""COMPUTED_VALUE"""),"#5")</f>
        <v>#5</v>
      </c>
      <c r="D39" s="37" t="str">
        <f ca="1">IFERROR(__xludf.DUMMYFUNCTION("""COMPUTED_VALUE"""),"0.5-0.75""")</f>
        <v>0.5-0.75"</v>
      </c>
      <c r="E39" s="36" t="str">
        <f ca="1">IFERROR(__xludf.DUMMYFUNCTION("""COMPUTED_VALUE"""),"5-7'")</f>
        <v>5-7'</v>
      </c>
      <c r="F39" s="38">
        <f ca="1">IFERROR(__xludf.DUMMYFUNCTION("""COMPUTED_VALUE"""),24)</f>
        <v>24</v>
      </c>
      <c r="G39" s="36">
        <f ca="1">IFERROR(__xludf.DUMMYFUNCTION("""COMPUTED_VALUE"""),100)</f>
        <v>100</v>
      </c>
      <c r="H39" s="39">
        <f ca="1">IFERROR(__xludf.DUMMYFUNCTION("""COMPUTED_VALUE"""),40)</f>
        <v>40</v>
      </c>
    </row>
    <row r="40" spans="1:8" ht="12.75">
      <c r="A40" s="36" t="str">
        <f ca="1">IFERROR(__xludf.DUMMYFUNCTION("""COMPUTED_VALUE"""),"Apple - Winesap")</f>
        <v>Apple - Winesap</v>
      </c>
      <c r="B40" s="36">
        <f ca="1">IFERROR(__xludf.DUMMYFUNCTION("""COMPUTED_VALUE"""),10)</f>
        <v>10</v>
      </c>
      <c r="C40" s="36" t="str">
        <f ca="1">IFERROR(__xludf.DUMMYFUNCTION("""COMPUTED_VALUE"""),"#10")</f>
        <v>#10</v>
      </c>
      <c r="D40" s="37" t="str">
        <f ca="1">IFERROR(__xludf.DUMMYFUNCTION("""COMPUTED_VALUE"""),"0.75-0.75""")</f>
        <v>0.75-0.75"</v>
      </c>
      <c r="E40" s="36" t="str">
        <f ca="1">IFERROR(__xludf.DUMMYFUNCTION("""COMPUTED_VALUE"""),"7-7'")</f>
        <v>7-7'</v>
      </c>
      <c r="F40" s="38">
        <f ca="1">IFERROR(__xludf.DUMMYFUNCTION("""COMPUTED_VALUE"""),1)</f>
        <v>1</v>
      </c>
      <c r="G40" s="36">
        <f ca="1">IFERROR(__xludf.DUMMYFUNCTION("""COMPUTED_VALUE"""),0)</f>
        <v>0</v>
      </c>
      <c r="H40" s="39">
        <f ca="1">IFERROR(__xludf.DUMMYFUNCTION("""COMPUTED_VALUE"""),65)</f>
        <v>65</v>
      </c>
    </row>
    <row r="41" spans="1:8" ht="12.75">
      <c r="A41" s="36" t="str">
        <f ca="1">IFERROR(__xludf.DUMMYFUNCTION("""COMPUTED_VALUE"""),"Apple - Yellow Delicious")</f>
        <v>Apple - Yellow Delicious</v>
      </c>
      <c r="B41" s="36">
        <f ca="1">IFERROR(__xludf.DUMMYFUNCTION("""COMPUTED_VALUE"""),5)</f>
        <v>5</v>
      </c>
      <c r="C41" s="36" t="str">
        <f ca="1">IFERROR(__xludf.DUMMYFUNCTION("""COMPUTED_VALUE"""),"#5")</f>
        <v>#5</v>
      </c>
      <c r="D41" s="37" t="str">
        <f ca="1">IFERROR(__xludf.DUMMYFUNCTION("""COMPUTED_VALUE"""),"0.5-0.5""")</f>
        <v>0.5-0.5"</v>
      </c>
      <c r="E41" s="36" t="str">
        <f ca="1">IFERROR(__xludf.DUMMYFUNCTION("""COMPUTED_VALUE"""),"4-5'")</f>
        <v>4-5'</v>
      </c>
      <c r="F41" s="38">
        <f ca="1">IFERROR(__xludf.DUMMYFUNCTION("""COMPUTED_VALUE"""),0)</f>
        <v>0</v>
      </c>
      <c r="G41" s="36">
        <f ca="1">IFERROR(__xludf.DUMMYFUNCTION("""COMPUTED_VALUE"""),50)</f>
        <v>50</v>
      </c>
      <c r="H41" s="39">
        <f ca="1">IFERROR(__xludf.DUMMYFUNCTION("""COMPUTED_VALUE"""),40)</f>
        <v>40</v>
      </c>
    </row>
    <row r="42" spans="1:8" ht="12.75">
      <c r="A42" s="36" t="str">
        <f ca="1">IFERROR(__xludf.DUMMYFUNCTION("""COMPUTED_VALUE"""),"Apricot - Flavor Giant")</f>
        <v>Apricot - Flavor Giant</v>
      </c>
      <c r="B42" s="36">
        <f ca="1">IFERROR(__xludf.DUMMYFUNCTION("""COMPUTED_VALUE"""),5)</f>
        <v>5</v>
      </c>
      <c r="C42" s="36" t="str">
        <f ca="1">IFERROR(__xludf.DUMMYFUNCTION("""COMPUTED_VALUE"""),"#5")</f>
        <v>#5</v>
      </c>
      <c r="D42" s="37" t="str">
        <f ca="1">IFERROR(__xludf.DUMMYFUNCTION("""COMPUTED_VALUE"""),"0.75-0.75""")</f>
        <v>0.75-0.75"</v>
      </c>
      <c r="E42" s="36" t="str">
        <f ca="1">IFERROR(__xludf.DUMMYFUNCTION("""COMPUTED_VALUE"""),"7-7'")</f>
        <v>7-7'</v>
      </c>
      <c r="F42" s="38">
        <f ca="1">IFERROR(__xludf.DUMMYFUNCTION("""COMPUTED_VALUE"""),1)</f>
        <v>1</v>
      </c>
      <c r="G42" s="36">
        <f ca="1">IFERROR(__xludf.DUMMYFUNCTION("""COMPUTED_VALUE"""),0)</f>
        <v>0</v>
      </c>
      <c r="H42" s="39">
        <f ca="1">IFERROR(__xludf.DUMMYFUNCTION("""COMPUTED_VALUE"""),40)</f>
        <v>40</v>
      </c>
    </row>
    <row r="43" spans="1:8" ht="12.75">
      <c r="A43" s="36" t="str">
        <f ca="1">IFERROR(__xludf.DUMMYFUNCTION("""COMPUTED_VALUE"""),"Apricot - Flavor Giant")</f>
        <v>Apricot - Flavor Giant</v>
      </c>
      <c r="B43" s="36">
        <f ca="1">IFERROR(__xludf.DUMMYFUNCTION("""COMPUTED_VALUE"""),7)</f>
        <v>7</v>
      </c>
      <c r="C43" s="36" t="str">
        <f ca="1">IFERROR(__xludf.DUMMYFUNCTION("""COMPUTED_VALUE"""),"#7")</f>
        <v>#7</v>
      </c>
      <c r="D43" s="37" t="str">
        <f ca="1">IFERROR(__xludf.DUMMYFUNCTION("""COMPUTED_VALUE"""),"0.5-1""")</f>
        <v>0.5-1"</v>
      </c>
      <c r="E43" s="36" t="str">
        <f ca="1">IFERROR(__xludf.DUMMYFUNCTION("""COMPUTED_VALUE"""),"6-10'")</f>
        <v>6-10'</v>
      </c>
      <c r="F43" s="38">
        <f ca="1">IFERROR(__xludf.DUMMYFUNCTION("""COMPUTED_VALUE"""),32)</f>
        <v>32</v>
      </c>
      <c r="G43" s="36">
        <f ca="1">IFERROR(__xludf.DUMMYFUNCTION("""COMPUTED_VALUE"""),0)</f>
        <v>0</v>
      </c>
      <c r="H43" s="39">
        <f ca="1">IFERROR(__xludf.DUMMYFUNCTION("""COMPUTED_VALUE"""),60)</f>
        <v>60</v>
      </c>
    </row>
    <row r="44" spans="1:8" ht="12.75">
      <c r="A44" s="36" t="str">
        <f ca="1">IFERROR(__xludf.DUMMYFUNCTION("""COMPUTED_VALUE"""),"Apricot - Golden Amber")</f>
        <v>Apricot - Golden Amber</v>
      </c>
      <c r="B44" s="36">
        <f ca="1">IFERROR(__xludf.DUMMYFUNCTION("""COMPUTED_VALUE"""),5)</f>
        <v>5</v>
      </c>
      <c r="C44" s="36" t="str">
        <f ca="1">IFERROR(__xludf.DUMMYFUNCTION("""COMPUTED_VALUE"""),"#5")</f>
        <v>#5</v>
      </c>
      <c r="D44" s="37" t="str">
        <f ca="1">IFERROR(__xludf.DUMMYFUNCTION("""COMPUTED_VALUE"""),"1-1""")</f>
        <v>1-1"</v>
      </c>
      <c r="E44" s="36" t="str">
        <f ca="1">IFERROR(__xludf.DUMMYFUNCTION("""COMPUTED_VALUE"""),"7-9'")</f>
        <v>7-9'</v>
      </c>
      <c r="F44" s="38">
        <f ca="1">IFERROR(__xludf.DUMMYFUNCTION("""COMPUTED_VALUE"""),6)</f>
        <v>6</v>
      </c>
      <c r="G44" s="36">
        <f ca="1">IFERROR(__xludf.DUMMYFUNCTION("""COMPUTED_VALUE"""),0)</f>
        <v>0</v>
      </c>
      <c r="H44" s="39">
        <f ca="1">IFERROR(__xludf.DUMMYFUNCTION("""COMPUTED_VALUE"""),40)</f>
        <v>40</v>
      </c>
    </row>
    <row r="45" spans="1:8" ht="12.75">
      <c r="A45" s="36" t="str">
        <f ca="1">IFERROR(__xludf.DUMMYFUNCTION("""COMPUTED_VALUE"""),"Apricot - Harlayne")</f>
        <v>Apricot - Harlayne</v>
      </c>
      <c r="B45" s="36">
        <f ca="1">IFERROR(__xludf.DUMMYFUNCTION("""COMPUTED_VALUE"""),5)</f>
        <v>5</v>
      </c>
      <c r="C45" s="36" t="str">
        <f ca="1">IFERROR(__xludf.DUMMYFUNCTION("""COMPUTED_VALUE"""),"#5")</f>
        <v>#5</v>
      </c>
      <c r="D45" s="37" t="str">
        <f ca="1">IFERROR(__xludf.DUMMYFUNCTION("""COMPUTED_VALUE"""),"0.75-0.75""")</f>
        <v>0.75-0.75"</v>
      </c>
      <c r="E45" s="36" t="str">
        <f ca="1">IFERROR(__xludf.DUMMYFUNCTION("""COMPUTED_VALUE"""),"5-7'")</f>
        <v>5-7'</v>
      </c>
      <c r="F45" s="38">
        <f ca="1">IFERROR(__xludf.DUMMYFUNCTION("""COMPUTED_VALUE"""),6)</f>
        <v>6</v>
      </c>
      <c r="G45" s="36">
        <f ca="1">IFERROR(__xludf.DUMMYFUNCTION("""COMPUTED_VALUE"""),50)</f>
        <v>50</v>
      </c>
      <c r="H45" s="39">
        <f ca="1">IFERROR(__xludf.DUMMYFUNCTION("""COMPUTED_VALUE"""),40)</f>
        <v>40</v>
      </c>
    </row>
    <row r="46" spans="1:8" ht="12.75">
      <c r="A46" s="36" t="str">
        <f ca="1">IFERROR(__xludf.DUMMYFUNCTION("""COMPUTED_VALUE"""),"Apricot - Moorpark")</f>
        <v>Apricot - Moorpark</v>
      </c>
      <c r="B46" s="36">
        <f ca="1">IFERROR(__xludf.DUMMYFUNCTION("""COMPUTED_VALUE"""),5)</f>
        <v>5</v>
      </c>
      <c r="C46" s="36" t="str">
        <f ca="1">IFERROR(__xludf.DUMMYFUNCTION("""COMPUTED_VALUE"""),"#5")</f>
        <v>#5</v>
      </c>
      <c r="D46" s="37" t="str">
        <f ca="1">IFERROR(__xludf.DUMMYFUNCTION("""COMPUTED_VALUE"""),"0.5-0.75""")</f>
        <v>0.5-0.75"</v>
      </c>
      <c r="E46" s="36" t="str">
        <f ca="1">IFERROR(__xludf.DUMMYFUNCTION("""COMPUTED_VALUE"""),"6-7'")</f>
        <v>6-7'</v>
      </c>
      <c r="F46" s="38">
        <f ca="1">IFERROR(__xludf.DUMMYFUNCTION("""COMPUTED_VALUE"""),2)</f>
        <v>2</v>
      </c>
      <c r="G46" s="36">
        <f ca="1">IFERROR(__xludf.DUMMYFUNCTION("""COMPUTED_VALUE"""),0)</f>
        <v>0</v>
      </c>
      <c r="H46" s="39">
        <f ca="1">IFERROR(__xludf.DUMMYFUNCTION("""COMPUTED_VALUE"""),40)</f>
        <v>40</v>
      </c>
    </row>
    <row r="47" spans="1:8" ht="12.75">
      <c r="A47" s="36" t="str">
        <f ca="1">IFERROR(__xludf.DUMMYFUNCTION("""COMPUTED_VALUE"""),"Apricot - Moorpark")</f>
        <v>Apricot - Moorpark</v>
      </c>
      <c r="B47" s="36">
        <f ca="1">IFERROR(__xludf.DUMMYFUNCTION("""COMPUTED_VALUE"""),7)</f>
        <v>7</v>
      </c>
      <c r="C47" s="36" t="str">
        <f ca="1">IFERROR(__xludf.DUMMYFUNCTION("""COMPUTED_VALUE"""),"#7")</f>
        <v>#7</v>
      </c>
      <c r="D47" s="37" t="str">
        <f ca="1">IFERROR(__xludf.DUMMYFUNCTION("""COMPUTED_VALUE"""),"0.75-1""")</f>
        <v>0.75-1"</v>
      </c>
      <c r="E47" s="36" t="str">
        <f ca="1">IFERROR(__xludf.DUMMYFUNCTION("""COMPUTED_VALUE"""),"6-7'")</f>
        <v>6-7'</v>
      </c>
      <c r="F47" s="38">
        <f ca="1">IFERROR(__xludf.DUMMYFUNCTION("""COMPUTED_VALUE"""),4)</f>
        <v>4</v>
      </c>
      <c r="G47" s="36">
        <f ca="1">IFERROR(__xludf.DUMMYFUNCTION("""COMPUTED_VALUE"""),0)</f>
        <v>0</v>
      </c>
      <c r="H47" s="39">
        <f ca="1">IFERROR(__xludf.DUMMYFUNCTION("""COMPUTED_VALUE"""),60)</f>
        <v>60</v>
      </c>
    </row>
    <row r="48" spans="1:8" ht="12.75">
      <c r="A48" s="36" t="str">
        <f ca="1">IFERROR(__xludf.DUMMYFUNCTION("""COMPUTED_VALUE"""),"Apricot - OrangeRed")</f>
        <v>Apricot - OrangeRed</v>
      </c>
      <c r="B48" s="36">
        <f ca="1">IFERROR(__xludf.DUMMYFUNCTION("""COMPUTED_VALUE"""),5)</f>
        <v>5</v>
      </c>
      <c r="C48" s="36" t="str">
        <f ca="1">IFERROR(__xludf.DUMMYFUNCTION("""COMPUTED_VALUE"""),"#5")</f>
        <v>#5</v>
      </c>
      <c r="D48" s="37" t="str">
        <f ca="1">IFERROR(__xludf.DUMMYFUNCTION("""COMPUTED_VALUE"""),"0.75-1""")</f>
        <v>0.75-1"</v>
      </c>
      <c r="E48" s="36" t="str">
        <f ca="1">IFERROR(__xludf.DUMMYFUNCTION("""COMPUTED_VALUE"""),"5-10'")</f>
        <v>5-10'</v>
      </c>
      <c r="F48" s="38">
        <f ca="1">IFERROR(__xludf.DUMMYFUNCTION("""COMPUTED_VALUE"""),11)</f>
        <v>11</v>
      </c>
      <c r="G48" s="36">
        <f ca="1">IFERROR(__xludf.DUMMYFUNCTION("""COMPUTED_VALUE"""),50)</f>
        <v>50</v>
      </c>
      <c r="H48" s="39">
        <f ca="1">IFERROR(__xludf.DUMMYFUNCTION("""COMPUTED_VALUE"""),40)</f>
        <v>40</v>
      </c>
    </row>
    <row r="49" spans="1:8" ht="12.75">
      <c r="A49" s="36" t="str">
        <f ca="1">IFERROR(__xludf.DUMMYFUNCTION("""COMPUTED_VALUE"""),"Apricot - OrangeRed")</f>
        <v>Apricot - OrangeRed</v>
      </c>
      <c r="B49" s="36">
        <f ca="1">IFERROR(__xludf.DUMMYFUNCTION("""COMPUTED_VALUE"""),7)</f>
        <v>7</v>
      </c>
      <c r="C49" s="36" t="str">
        <f ca="1">IFERROR(__xludf.DUMMYFUNCTION("""COMPUTED_VALUE"""),"#7")</f>
        <v>#7</v>
      </c>
      <c r="D49" s="37" t="str">
        <f ca="1">IFERROR(__xludf.DUMMYFUNCTION("""COMPUTED_VALUE"""),"0.75-1""")</f>
        <v>0.75-1"</v>
      </c>
      <c r="E49" s="36" t="str">
        <f ca="1">IFERROR(__xludf.DUMMYFUNCTION("""COMPUTED_VALUE"""),"5-10'")</f>
        <v>5-10'</v>
      </c>
      <c r="F49" s="38">
        <f ca="1">IFERROR(__xludf.DUMMYFUNCTION("""COMPUTED_VALUE"""),3)</f>
        <v>3</v>
      </c>
      <c r="G49" s="36">
        <f ca="1">IFERROR(__xludf.DUMMYFUNCTION("""COMPUTED_VALUE"""),0)</f>
        <v>0</v>
      </c>
      <c r="H49" s="39">
        <f ca="1">IFERROR(__xludf.DUMMYFUNCTION("""COMPUTED_VALUE"""),60)</f>
        <v>60</v>
      </c>
    </row>
    <row r="50" spans="1:8" ht="12.75">
      <c r="A50" s="36" t="str">
        <f ca="1">IFERROR(__xludf.DUMMYFUNCTION("""COMPUTED_VALUE"""),"Apricot - Royal")</f>
        <v>Apricot - Royal</v>
      </c>
      <c r="B50" s="36">
        <f ca="1">IFERROR(__xludf.DUMMYFUNCTION("""COMPUTED_VALUE"""),5)</f>
        <v>5</v>
      </c>
      <c r="C50" s="36" t="str">
        <f ca="1">IFERROR(__xludf.DUMMYFUNCTION("""COMPUTED_VALUE"""),"#5")</f>
        <v>#5</v>
      </c>
      <c r="D50" s="37" t="str">
        <f ca="1">IFERROR(__xludf.DUMMYFUNCTION("""COMPUTED_VALUE"""),"0.5-0.75""")</f>
        <v>0.5-0.75"</v>
      </c>
      <c r="E50" s="36" t="str">
        <f ca="1">IFERROR(__xludf.DUMMYFUNCTION("""COMPUTED_VALUE"""),"2-6'")</f>
        <v>2-6'</v>
      </c>
      <c r="F50" s="38">
        <f ca="1">IFERROR(__xludf.DUMMYFUNCTION("""COMPUTED_VALUE"""),3)</f>
        <v>3</v>
      </c>
      <c r="G50" s="36">
        <f ca="1">IFERROR(__xludf.DUMMYFUNCTION("""COMPUTED_VALUE"""),0)</f>
        <v>0</v>
      </c>
      <c r="H50" s="39">
        <f ca="1">IFERROR(__xludf.DUMMYFUNCTION("""COMPUTED_VALUE"""),40)</f>
        <v>40</v>
      </c>
    </row>
    <row r="51" spans="1:8" ht="12.75">
      <c r="A51" s="36" t="str">
        <f ca="1">IFERROR(__xludf.DUMMYFUNCTION("""COMPUTED_VALUE"""),"Asian Pear - Hosui")</f>
        <v>Asian Pear - Hosui</v>
      </c>
      <c r="B51" s="36">
        <f ca="1">IFERROR(__xludf.DUMMYFUNCTION("""COMPUTED_VALUE"""),5)</f>
        <v>5</v>
      </c>
      <c r="C51" s="36" t="str">
        <f ca="1">IFERROR(__xludf.DUMMYFUNCTION("""COMPUTED_VALUE"""),"#5")</f>
        <v>#5</v>
      </c>
      <c r="D51" s="37" t="str">
        <f ca="1">IFERROR(__xludf.DUMMYFUNCTION("""COMPUTED_VALUE"""),"0.5-0.75""")</f>
        <v>0.5-0.75"</v>
      </c>
      <c r="E51" s="36" t="str">
        <f ca="1">IFERROR(__xludf.DUMMYFUNCTION("""COMPUTED_VALUE"""),"3-5'")</f>
        <v>3-5'</v>
      </c>
      <c r="F51" s="38">
        <f ca="1">IFERROR(__xludf.DUMMYFUNCTION("""COMPUTED_VALUE"""),0)</f>
        <v>0</v>
      </c>
      <c r="G51" s="36">
        <f ca="1">IFERROR(__xludf.DUMMYFUNCTION("""COMPUTED_VALUE"""),100)</f>
        <v>100</v>
      </c>
      <c r="H51" s="39">
        <f ca="1">IFERROR(__xludf.DUMMYFUNCTION("""COMPUTED_VALUE"""),40)</f>
        <v>40</v>
      </c>
    </row>
    <row r="52" spans="1:8" ht="12.75">
      <c r="A52" s="36" t="str">
        <f ca="1">IFERROR(__xludf.DUMMYFUNCTION("""COMPUTED_VALUE"""),"Asian Pear - Kosui")</f>
        <v>Asian Pear - Kosui</v>
      </c>
      <c r="B52" s="36">
        <f ca="1">IFERROR(__xludf.DUMMYFUNCTION("""COMPUTED_VALUE"""),5)</f>
        <v>5</v>
      </c>
      <c r="C52" s="36" t="str">
        <f ca="1">IFERROR(__xludf.DUMMYFUNCTION("""COMPUTED_VALUE"""),"#5")</f>
        <v>#5</v>
      </c>
      <c r="D52" s="37" t="str">
        <f ca="1">IFERROR(__xludf.DUMMYFUNCTION("""COMPUTED_VALUE"""),"0.5-0.75""")</f>
        <v>0.5-0.75"</v>
      </c>
      <c r="E52" s="36" t="str">
        <f ca="1">IFERROR(__xludf.DUMMYFUNCTION("""COMPUTED_VALUE"""),"3-5'")</f>
        <v>3-5'</v>
      </c>
      <c r="F52" s="38">
        <f ca="1">IFERROR(__xludf.DUMMYFUNCTION("""COMPUTED_VALUE"""),0)</f>
        <v>0</v>
      </c>
      <c r="G52" s="36">
        <f ca="1">IFERROR(__xludf.DUMMYFUNCTION("""COMPUTED_VALUE"""),100)</f>
        <v>100</v>
      </c>
      <c r="H52" s="39">
        <f ca="1">IFERROR(__xludf.DUMMYFUNCTION("""COMPUTED_VALUE"""),40)</f>
        <v>40</v>
      </c>
    </row>
    <row r="53" spans="1:8" ht="12.75">
      <c r="A53" s="36" t="str">
        <f ca="1">IFERROR(__xludf.DUMMYFUNCTION("""COMPUTED_VALUE"""),"Asian Pear - Kosui")</f>
        <v>Asian Pear - Kosui</v>
      </c>
      <c r="B53" s="36">
        <f ca="1">IFERROR(__xludf.DUMMYFUNCTION("""COMPUTED_VALUE"""),7)</f>
        <v>7</v>
      </c>
      <c r="C53" s="36" t="str">
        <f ca="1">IFERROR(__xludf.DUMMYFUNCTION("""COMPUTED_VALUE"""),"#7")</f>
        <v>#7</v>
      </c>
      <c r="D53" s="37" t="str">
        <f ca="1">IFERROR(__xludf.DUMMYFUNCTION("""COMPUTED_VALUE"""),"0.75-1""")</f>
        <v>0.75-1"</v>
      </c>
      <c r="E53" s="36" t="str">
        <f ca="1">IFERROR(__xludf.DUMMYFUNCTION("""COMPUTED_VALUE"""),"7-8'")</f>
        <v>7-8'</v>
      </c>
      <c r="F53" s="38">
        <f ca="1">IFERROR(__xludf.DUMMYFUNCTION("""COMPUTED_VALUE"""),12)</f>
        <v>12</v>
      </c>
      <c r="G53" s="36">
        <f ca="1">IFERROR(__xludf.DUMMYFUNCTION("""COMPUTED_VALUE"""),0)</f>
        <v>0</v>
      </c>
      <c r="H53" s="39">
        <f ca="1">IFERROR(__xludf.DUMMYFUNCTION("""COMPUTED_VALUE"""),60)</f>
        <v>60</v>
      </c>
    </row>
    <row r="54" spans="1:8" ht="12.75">
      <c r="A54" s="36" t="str">
        <f ca="1">IFERROR(__xludf.DUMMYFUNCTION("""COMPUTED_VALUE"""),"Asian Pear - Olympic")</f>
        <v>Asian Pear - Olympic</v>
      </c>
      <c r="B54" s="36">
        <f ca="1">IFERROR(__xludf.DUMMYFUNCTION("""COMPUTED_VALUE"""),5)</f>
        <v>5</v>
      </c>
      <c r="C54" s="36" t="str">
        <f ca="1">IFERROR(__xludf.DUMMYFUNCTION("""COMPUTED_VALUE"""),"#5")</f>
        <v>#5</v>
      </c>
      <c r="D54" s="37" t="str">
        <f ca="1">IFERROR(__xludf.DUMMYFUNCTION("""COMPUTED_VALUE"""),"0.75-1""")</f>
        <v>0.75-1"</v>
      </c>
      <c r="E54" s="36" t="str">
        <f ca="1">IFERROR(__xludf.DUMMYFUNCTION("""COMPUTED_VALUE"""),"5-6'")</f>
        <v>5-6'</v>
      </c>
      <c r="F54" s="38">
        <f ca="1">IFERROR(__xludf.DUMMYFUNCTION("""COMPUTED_VALUE"""),7)</f>
        <v>7</v>
      </c>
      <c r="G54" s="36">
        <f ca="1">IFERROR(__xludf.DUMMYFUNCTION("""COMPUTED_VALUE"""),100)</f>
        <v>100</v>
      </c>
      <c r="H54" s="39">
        <f ca="1">IFERROR(__xludf.DUMMYFUNCTION("""COMPUTED_VALUE"""),40)</f>
        <v>40</v>
      </c>
    </row>
    <row r="55" spans="1:8" ht="12.75">
      <c r="A55" s="36" t="str">
        <f ca="1">IFERROR(__xludf.DUMMYFUNCTION("""COMPUTED_VALUE"""),"Asian Pear - Shinko")</f>
        <v>Asian Pear - Shinko</v>
      </c>
      <c r="B55" s="36">
        <f ca="1">IFERROR(__xludf.DUMMYFUNCTION("""COMPUTED_VALUE"""),5)</f>
        <v>5</v>
      </c>
      <c r="C55" s="36" t="str">
        <f ca="1">IFERROR(__xludf.DUMMYFUNCTION("""COMPUTED_VALUE"""),"#5")</f>
        <v>#5</v>
      </c>
      <c r="D55" s="37" t="str">
        <f ca="1">IFERROR(__xludf.DUMMYFUNCTION("""COMPUTED_VALUE"""),"0-0.5""")</f>
        <v>0-0.5"</v>
      </c>
      <c r="E55" s="36" t="str">
        <f ca="1">IFERROR(__xludf.DUMMYFUNCTION("""COMPUTED_VALUE"""),"0-5'")</f>
        <v>0-5'</v>
      </c>
      <c r="F55" s="38">
        <f ca="1">IFERROR(__xludf.DUMMYFUNCTION("""COMPUTED_VALUE"""),-3)</f>
        <v>-3</v>
      </c>
      <c r="G55" s="36">
        <f ca="1">IFERROR(__xludf.DUMMYFUNCTION("""COMPUTED_VALUE"""),100)</f>
        <v>100</v>
      </c>
      <c r="H55" s="39">
        <f ca="1">IFERROR(__xludf.DUMMYFUNCTION("""COMPUTED_VALUE"""),40)</f>
        <v>40</v>
      </c>
    </row>
    <row r="56" spans="1:8" ht="12.75">
      <c r="A56" s="36" t="str">
        <f ca="1">IFERROR(__xludf.DUMMYFUNCTION("""COMPUTED_VALUE"""),"Asian Pear - Shinko")</f>
        <v>Asian Pear - Shinko</v>
      </c>
      <c r="B56" s="36">
        <f ca="1">IFERROR(__xludf.DUMMYFUNCTION("""COMPUTED_VALUE"""),7)</f>
        <v>7</v>
      </c>
      <c r="C56" s="36" t="str">
        <f ca="1">IFERROR(__xludf.DUMMYFUNCTION("""COMPUTED_VALUE"""),"#7")</f>
        <v>#7</v>
      </c>
      <c r="D56" s="37" t="str">
        <f ca="1">IFERROR(__xludf.DUMMYFUNCTION("""COMPUTED_VALUE"""),"0.5-1""")</f>
        <v>0.5-1"</v>
      </c>
      <c r="E56" s="36" t="str">
        <f ca="1">IFERROR(__xludf.DUMMYFUNCTION("""COMPUTED_VALUE"""),"5-7'")</f>
        <v>5-7'</v>
      </c>
      <c r="F56" s="38">
        <f ca="1">IFERROR(__xludf.DUMMYFUNCTION("""COMPUTED_VALUE"""),8)</f>
        <v>8</v>
      </c>
      <c r="G56" s="36">
        <f ca="1">IFERROR(__xludf.DUMMYFUNCTION("""COMPUTED_VALUE"""),0)</f>
        <v>0</v>
      </c>
      <c r="H56" s="39">
        <f ca="1">IFERROR(__xludf.DUMMYFUNCTION("""COMPUTED_VALUE"""),60)</f>
        <v>60</v>
      </c>
    </row>
    <row r="57" spans="1:8" ht="12.75">
      <c r="A57" s="36" t="str">
        <f ca="1">IFERROR(__xludf.DUMMYFUNCTION("""COMPUTED_VALUE"""),"Asian Pear - Shinseiki")</f>
        <v>Asian Pear - Shinseiki</v>
      </c>
      <c r="B57" s="36">
        <f ca="1">IFERROR(__xludf.DUMMYFUNCTION("""COMPUTED_VALUE"""),5)</f>
        <v>5</v>
      </c>
      <c r="C57" s="36" t="str">
        <f ca="1">IFERROR(__xludf.DUMMYFUNCTION("""COMPUTED_VALUE"""),"#5")</f>
        <v>#5</v>
      </c>
      <c r="D57" s="37" t="str">
        <f ca="1">IFERROR(__xludf.DUMMYFUNCTION("""COMPUTED_VALUE"""),"0.5-1""")</f>
        <v>0.5-1"</v>
      </c>
      <c r="E57" s="36" t="str">
        <f ca="1">IFERROR(__xludf.DUMMYFUNCTION("""COMPUTED_VALUE"""),"3-6'")</f>
        <v>3-6'</v>
      </c>
      <c r="F57" s="38">
        <f ca="1">IFERROR(__xludf.DUMMYFUNCTION("""COMPUTED_VALUE"""),1)</f>
        <v>1</v>
      </c>
      <c r="G57" s="36">
        <f ca="1">IFERROR(__xludf.DUMMYFUNCTION("""COMPUTED_VALUE"""),110)</f>
        <v>110</v>
      </c>
      <c r="H57" s="39">
        <f ca="1">IFERROR(__xludf.DUMMYFUNCTION("""COMPUTED_VALUE"""),40)</f>
        <v>40</v>
      </c>
    </row>
    <row r="58" spans="1:8" ht="12.75">
      <c r="A58" s="36" t="str">
        <f ca="1">IFERROR(__xludf.DUMMYFUNCTION("""COMPUTED_VALUE"""),"Blackberry - Arapaho")</f>
        <v>Blackberry - Arapaho</v>
      </c>
      <c r="B58" s="36">
        <f ca="1">IFERROR(__xludf.DUMMYFUNCTION("""COMPUTED_VALUE"""),5)</f>
        <v>5</v>
      </c>
      <c r="C58" s="36" t="str">
        <f ca="1">IFERROR(__xludf.DUMMYFUNCTION("""COMPUTED_VALUE"""),"#5")</f>
        <v>#5</v>
      </c>
      <c r="D58" s="37" t="str">
        <f ca="1">IFERROR(__xludf.DUMMYFUNCTION("""COMPUTED_VALUE"""),"Multi")</f>
        <v>Multi</v>
      </c>
      <c r="E58" s="36" t="str">
        <f ca="1">IFERROR(__xludf.DUMMYFUNCTION("""COMPUTED_VALUE"""),"1-2'")</f>
        <v>1-2'</v>
      </c>
      <c r="F58" s="38">
        <f ca="1">IFERROR(__xludf.DUMMYFUNCTION("""COMPUTED_VALUE"""),0)</f>
        <v>0</v>
      </c>
      <c r="G58" s="36">
        <f ca="1">IFERROR(__xludf.DUMMYFUNCTION("""COMPUTED_VALUE"""),72)</f>
        <v>72</v>
      </c>
      <c r="H58" s="39">
        <f ca="1">IFERROR(__xludf.DUMMYFUNCTION("""COMPUTED_VALUE"""),30)</f>
        <v>30</v>
      </c>
    </row>
    <row r="59" spans="1:8" ht="12.75">
      <c r="A59" s="36" t="str">
        <f ca="1">IFERROR(__xludf.DUMMYFUNCTION("""COMPUTED_VALUE"""),"Blackberry - Navajo")</f>
        <v>Blackberry - Navajo</v>
      </c>
      <c r="B59" s="36">
        <f ca="1">IFERROR(__xludf.DUMMYFUNCTION("""COMPUTED_VALUE"""),5)</f>
        <v>5</v>
      </c>
      <c r="C59" s="36" t="str">
        <f ca="1">IFERROR(__xludf.DUMMYFUNCTION("""COMPUTED_VALUE"""),"#5")</f>
        <v>#5</v>
      </c>
      <c r="D59" s="40" t="str">
        <f ca="1">IFERROR(__xludf.DUMMYFUNCTION("""COMPUTED_VALUE"""),"Multi")</f>
        <v>Multi</v>
      </c>
      <c r="E59" s="36" t="str">
        <f ca="1">IFERROR(__xludf.DUMMYFUNCTION("""COMPUTED_VALUE"""),"2-3'")</f>
        <v>2-3'</v>
      </c>
      <c r="F59" s="38">
        <f ca="1">IFERROR(__xludf.DUMMYFUNCTION("""COMPUTED_VALUE"""),69)</f>
        <v>69</v>
      </c>
      <c r="G59" s="36">
        <f ca="1">IFERROR(__xludf.DUMMYFUNCTION("""COMPUTED_VALUE"""),72)</f>
        <v>72</v>
      </c>
      <c r="H59" s="39">
        <f ca="1">IFERROR(__xludf.DUMMYFUNCTION("""COMPUTED_VALUE"""),30)</f>
        <v>30</v>
      </c>
    </row>
    <row r="60" spans="1:8" ht="12.75">
      <c r="A60" s="36" t="str">
        <f ca="1">IFERROR(__xludf.DUMMYFUNCTION("""COMPUTED_VALUE"""),"Blackberry - Ouchita")</f>
        <v>Blackberry - Ouchita</v>
      </c>
      <c r="B60" s="36">
        <f ca="1">IFERROR(__xludf.DUMMYFUNCTION("""COMPUTED_VALUE"""),5)</f>
        <v>5</v>
      </c>
      <c r="C60" s="36" t="str">
        <f ca="1">IFERROR(__xludf.DUMMYFUNCTION("""COMPUTED_VALUE"""),"#5")</f>
        <v>#5</v>
      </c>
      <c r="D60" s="37" t="str">
        <f ca="1">IFERROR(__xludf.DUMMYFUNCTION("""COMPUTED_VALUE"""),"Multi")</f>
        <v>Multi</v>
      </c>
      <c r="E60" s="36" t="str">
        <f ca="1">IFERROR(__xludf.DUMMYFUNCTION("""COMPUTED_VALUE"""),"1-3'")</f>
        <v>1-3'</v>
      </c>
      <c r="F60" s="38">
        <f ca="1">IFERROR(__xludf.DUMMYFUNCTION("""COMPUTED_VALUE"""),62)</f>
        <v>62</v>
      </c>
      <c r="G60" s="36">
        <f ca="1">IFERROR(__xludf.DUMMYFUNCTION("""COMPUTED_VALUE"""),72)</f>
        <v>72</v>
      </c>
      <c r="H60" s="39">
        <f ca="1">IFERROR(__xludf.DUMMYFUNCTION("""COMPUTED_VALUE"""),30)</f>
        <v>30</v>
      </c>
    </row>
    <row r="61" spans="1:8" ht="12.75">
      <c r="A61" s="36" t="str">
        <f ca="1">IFERROR(__xludf.DUMMYFUNCTION("""COMPUTED_VALUE"""),"Blackberry - Prime-ark 'Freedom'")</f>
        <v>Blackberry - Prime-ark 'Freedom'</v>
      </c>
      <c r="B61" s="36">
        <f ca="1">IFERROR(__xludf.DUMMYFUNCTION("""COMPUTED_VALUE"""),5)</f>
        <v>5</v>
      </c>
      <c r="C61" s="36" t="str">
        <f ca="1">IFERROR(__xludf.DUMMYFUNCTION("""COMPUTED_VALUE"""),"#5")</f>
        <v>#5</v>
      </c>
      <c r="D61" s="37" t="str">
        <f ca="1">IFERROR(__xludf.DUMMYFUNCTION("""COMPUTED_VALUE"""),"Multi")</f>
        <v>Multi</v>
      </c>
      <c r="E61" s="36" t="str">
        <f ca="1">IFERROR(__xludf.DUMMYFUNCTION("""COMPUTED_VALUE"""),"1-2'")</f>
        <v>1-2'</v>
      </c>
      <c r="F61" s="38">
        <f ca="1">IFERROR(__xludf.DUMMYFUNCTION("""COMPUTED_VALUE"""),55)</f>
        <v>55</v>
      </c>
      <c r="G61" s="36">
        <f ca="1">IFERROR(__xludf.DUMMYFUNCTION("""COMPUTED_VALUE"""),72)</f>
        <v>72</v>
      </c>
      <c r="H61" s="39">
        <f ca="1">IFERROR(__xludf.DUMMYFUNCTION("""COMPUTED_VALUE"""),30)</f>
        <v>30</v>
      </c>
    </row>
    <row r="62" spans="1:8" ht="12.75">
      <c r="A62" s="36" t="str">
        <f ca="1">IFERROR(__xludf.DUMMYFUNCTION("""COMPUTED_VALUE"""),"Blueberry - Blue Crop")</f>
        <v>Blueberry - Blue Crop</v>
      </c>
      <c r="B62" s="36">
        <f ca="1">IFERROR(__xludf.DUMMYFUNCTION("""COMPUTED_VALUE"""),5)</f>
        <v>5</v>
      </c>
      <c r="C62" s="36" t="str">
        <f ca="1">IFERROR(__xludf.DUMMYFUNCTION("""COMPUTED_VALUE"""),"#5")</f>
        <v>#5</v>
      </c>
      <c r="D62" s="37" t="str">
        <f ca="1">IFERROR(__xludf.DUMMYFUNCTION("""COMPUTED_VALUE"""),"Multi")</f>
        <v>Multi</v>
      </c>
      <c r="E62" s="36" t="str">
        <f ca="1">IFERROR(__xludf.DUMMYFUNCTION("""COMPUTED_VALUE"""),"0.5-3'")</f>
        <v>0.5-3'</v>
      </c>
      <c r="F62" s="38">
        <f ca="1">IFERROR(__xludf.DUMMYFUNCTION("""COMPUTED_VALUE"""),6)</f>
        <v>6</v>
      </c>
      <c r="G62" s="36">
        <f ca="1">IFERROR(__xludf.DUMMYFUNCTION("""COMPUTED_VALUE"""),0)</f>
        <v>0</v>
      </c>
      <c r="H62" s="39">
        <f ca="1">IFERROR(__xludf.DUMMYFUNCTION("""COMPUTED_VALUE"""),25)</f>
        <v>25</v>
      </c>
    </row>
    <row r="63" spans="1:8" ht="12.75">
      <c r="A63" s="36" t="str">
        <f ca="1">IFERROR(__xludf.DUMMYFUNCTION("""COMPUTED_VALUE"""),"Blueberry - Duke")</f>
        <v>Blueberry - Duke</v>
      </c>
      <c r="B63" s="36">
        <f ca="1">IFERROR(__xludf.DUMMYFUNCTION("""COMPUTED_VALUE"""),5)</f>
        <v>5</v>
      </c>
      <c r="C63" s="36" t="str">
        <f ca="1">IFERROR(__xludf.DUMMYFUNCTION("""COMPUTED_VALUE"""),"#5")</f>
        <v>#5</v>
      </c>
      <c r="D63" s="40" t="str">
        <f ca="1">IFERROR(__xludf.DUMMYFUNCTION("""COMPUTED_VALUE"""),"Multi")</f>
        <v>Multi</v>
      </c>
      <c r="E63" s="36" t="str">
        <f ca="1">IFERROR(__xludf.DUMMYFUNCTION("""COMPUTED_VALUE"""),"0-3'")</f>
        <v>0-3'</v>
      </c>
      <c r="F63" s="38">
        <f ca="1">IFERROR(__xludf.DUMMYFUNCTION("""COMPUTED_VALUE"""),-6)</f>
        <v>-6</v>
      </c>
      <c r="G63" s="36">
        <f ca="1">IFERROR(__xludf.DUMMYFUNCTION("""COMPUTED_VALUE"""),72)</f>
        <v>72</v>
      </c>
      <c r="H63" s="39">
        <f ca="1">IFERROR(__xludf.DUMMYFUNCTION("""COMPUTED_VALUE"""),25)</f>
        <v>25</v>
      </c>
    </row>
    <row r="64" spans="1:8" ht="12.75">
      <c r="A64" s="36" t="str">
        <f ca="1">IFERROR(__xludf.DUMMYFUNCTION("""COMPUTED_VALUE"""),"Cherry (Sour) - Montmorency")</f>
        <v>Cherry (Sour) - Montmorency</v>
      </c>
      <c r="B64" s="36">
        <f ca="1">IFERROR(__xludf.DUMMYFUNCTION("""COMPUTED_VALUE"""),5)</f>
        <v>5</v>
      </c>
      <c r="C64" s="36" t="str">
        <f ca="1">IFERROR(__xludf.DUMMYFUNCTION("""COMPUTED_VALUE"""),"#5")</f>
        <v>#5</v>
      </c>
      <c r="D64" s="37" t="str">
        <f ca="1">IFERROR(__xludf.DUMMYFUNCTION("""COMPUTED_VALUE"""),"0.5-0.75""")</f>
        <v>0.5-0.75"</v>
      </c>
      <c r="E64" s="36" t="str">
        <f ca="1">IFERROR(__xludf.DUMMYFUNCTION("""COMPUTED_VALUE"""),"4-6'")</f>
        <v>4-6'</v>
      </c>
      <c r="F64" s="38">
        <f ca="1">IFERROR(__xludf.DUMMYFUNCTION("""COMPUTED_VALUE"""),5)</f>
        <v>5</v>
      </c>
      <c r="G64" s="36">
        <f ca="1">IFERROR(__xludf.DUMMYFUNCTION("""COMPUTED_VALUE"""),150)</f>
        <v>150</v>
      </c>
      <c r="H64" s="39">
        <f ca="1">IFERROR(__xludf.DUMMYFUNCTION("""COMPUTED_VALUE"""),40)</f>
        <v>40</v>
      </c>
    </row>
    <row r="65" spans="1:8" ht="12.75">
      <c r="A65" s="36" t="str">
        <f ca="1">IFERROR(__xludf.DUMMYFUNCTION("""COMPUTED_VALUE"""),"Chestnut - Chinese")</f>
        <v>Chestnut - Chinese</v>
      </c>
      <c r="B65" s="36">
        <f ca="1">IFERROR(__xludf.DUMMYFUNCTION("""COMPUTED_VALUE"""),5)</f>
        <v>5</v>
      </c>
      <c r="C65" s="36" t="str">
        <f ca="1">IFERROR(__xludf.DUMMYFUNCTION("""COMPUTED_VALUE"""),"#5")</f>
        <v>#5</v>
      </c>
      <c r="D65" s="37" t="str">
        <f ca="1">IFERROR(__xludf.DUMMYFUNCTION("""COMPUTED_VALUE"""),"0.125-0.75""")</f>
        <v>0.125-0.75"</v>
      </c>
      <c r="E65" s="36" t="str">
        <f ca="1">IFERROR(__xludf.DUMMYFUNCTION("""COMPUTED_VALUE"""),"3-4.5'")</f>
        <v>3-4.5'</v>
      </c>
      <c r="F65" s="38">
        <f ca="1">IFERROR(__xludf.DUMMYFUNCTION("""COMPUTED_VALUE"""),115)</f>
        <v>115</v>
      </c>
      <c r="G65" s="36">
        <f ca="1">IFERROR(__xludf.DUMMYFUNCTION("""COMPUTED_VALUE"""),0)</f>
        <v>0</v>
      </c>
      <c r="H65" s="39">
        <f ca="1">IFERROR(__xludf.DUMMYFUNCTION("""COMPUTED_VALUE"""),35)</f>
        <v>35</v>
      </c>
    </row>
    <row r="66" spans="1:8" ht="12.75">
      <c r="A66" s="36" t="str">
        <f ca="1">IFERROR(__xludf.DUMMYFUNCTION("""COMPUTED_VALUE"""),"Elderberry")</f>
        <v>Elderberry</v>
      </c>
      <c r="B66" s="36">
        <f ca="1">IFERROR(__xludf.DUMMYFUNCTION("""COMPUTED_VALUE"""),5)</f>
        <v>5</v>
      </c>
      <c r="C66" s="36" t="str">
        <f ca="1">IFERROR(__xludf.DUMMYFUNCTION("""COMPUTED_VALUE"""),"#5")</f>
        <v>#5</v>
      </c>
      <c r="D66" s="37" t="str">
        <f ca="1">IFERROR(__xludf.DUMMYFUNCTION("""COMPUTED_VALUE"""),"Multi")</f>
        <v>Multi</v>
      </c>
      <c r="E66" s="36" t="str">
        <f ca="1">IFERROR(__xludf.DUMMYFUNCTION("""COMPUTED_VALUE"""),"2-3'")</f>
        <v>2-3'</v>
      </c>
      <c r="F66" s="38">
        <f ca="1">IFERROR(__xludf.DUMMYFUNCTION("""COMPUTED_VALUE"""),3)</f>
        <v>3</v>
      </c>
      <c r="G66" s="36">
        <f ca="1">IFERROR(__xludf.DUMMYFUNCTION("""COMPUTED_VALUE"""),300)</f>
        <v>300</v>
      </c>
      <c r="H66" s="39">
        <f ca="1">IFERROR(__xludf.DUMMYFUNCTION("""COMPUTED_VALUE"""),30)</f>
        <v>30</v>
      </c>
    </row>
    <row r="67" spans="1:8" ht="12.75">
      <c r="A67" s="36" t="str">
        <f ca="1">IFERROR(__xludf.DUMMYFUNCTION("""COMPUTED_VALUE"""),"Fig - Black Mission")</f>
        <v>Fig - Black Mission</v>
      </c>
      <c r="B67" s="36">
        <f ca="1">IFERROR(__xludf.DUMMYFUNCTION("""COMPUTED_VALUE"""),5)</f>
        <v>5</v>
      </c>
      <c r="C67" s="36" t="str">
        <f ca="1">IFERROR(__xludf.DUMMYFUNCTION("""COMPUTED_VALUE"""),"#5")</f>
        <v>#5</v>
      </c>
      <c r="D67" s="40" t="str">
        <f ca="1">IFERROR(__xludf.DUMMYFUNCTION("""COMPUTED_VALUE"""),"Multi")</f>
        <v>Multi</v>
      </c>
      <c r="E67" s="36" t="str">
        <f ca="1">IFERROR(__xludf.DUMMYFUNCTION("""COMPUTED_VALUE"""),"1-2'")</f>
        <v>1-2'</v>
      </c>
      <c r="F67" s="38">
        <f ca="1">IFERROR(__xludf.DUMMYFUNCTION("""COMPUTED_VALUE"""),43)</f>
        <v>43</v>
      </c>
      <c r="G67" s="36">
        <f ca="1">IFERROR(__xludf.DUMMYFUNCTION("""COMPUTED_VALUE"""),0)</f>
        <v>0</v>
      </c>
      <c r="H67" s="39">
        <f ca="1">IFERROR(__xludf.DUMMYFUNCTION("""COMPUTED_VALUE"""),30)</f>
        <v>30</v>
      </c>
    </row>
    <row r="68" spans="1:8" ht="12.75">
      <c r="A68" s="36" t="str">
        <f ca="1">IFERROR(__xludf.DUMMYFUNCTION("""COMPUTED_VALUE"""),"Fig - Brown Turkey")</f>
        <v>Fig - Brown Turkey</v>
      </c>
      <c r="B68" s="36">
        <f ca="1">IFERROR(__xludf.DUMMYFUNCTION("""COMPUTED_VALUE"""),5)</f>
        <v>5</v>
      </c>
      <c r="C68" s="36" t="str">
        <f ca="1">IFERROR(__xludf.DUMMYFUNCTION("""COMPUTED_VALUE"""),"#5")</f>
        <v>#5</v>
      </c>
      <c r="D68" s="40" t="str">
        <f ca="1">IFERROR(__xludf.DUMMYFUNCTION("""COMPUTED_VALUE"""),"Multi")</f>
        <v>Multi</v>
      </c>
      <c r="E68" s="36" t="str">
        <f ca="1">IFERROR(__xludf.DUMMYFUNCTION("""COMPUTED_VALUE"""),"0.5-1'")</f>
        <v>0.5-1'</v>
      </c>
      <c r="F68" s="38">
        <f ca="1">IFERROR(__xludf.DUMMYFUNCTION("""COMPUTED_VALUE"""),5)</f>
        <v>5</v>
      </c>
      <c r="G68" s="36">
        <f ca="1">IFERROR(__xludf.DUMMYFUNCTION("""COMPUTED_VALUE"""),72)</f>
        <v>72</v>
      </c>
      <c r="H68" s="39">
        <f ca="1">IFERROR(__xludf.DUMMYFUNCTION("""COMPUTED_VALUE"""),30)</f>
        <v>30</v>
      </c>
    </row>
    <row r="69" spans="1:8" ht="12.75">
      <c r="A69" s="36" t="str">
        <f ca="1">IFERROR(__xludf.DUMMYFUNCTION("""COMPUTED_VALUE"""),"Fig - Celeste")</f>
        <v>Fig - Celeste</v>
      </c>
      <c r="B69" s="36">
        <f ca="1">IFERROR(__xludf.DUMMYFUNCTION("""COMPUTED_VALUE"""),5)</f>
        <v>5</v>
      </c>
      <c r="C69" s="36" t="str">
        <f ca="1">IFERROR(__xludf.DUMMYFUNCTION("""COMPUTED_VALUE"""),"#5")</f>
        <v>#5</v>
      </c>
      <c r="D69" s="40" t="str">
        <f ca="1">IFERROR(__xludf.DUMMYFUNCTION("""COMPUTED_VALUE"""),"Multi")</f>
        <v>Multi</v>
      </c>
      <c r="E69" s="36" t="str">
        <f ca="1">IFERROR(__xludf.DUMMYFUNCTION("""COMPUTED_VALUE"""),"1-2'")</f>
        <v>1-2'</v>
      </c>
      <c r="F69" s="38">
        <f ca="1">IFERROR(__xludf.DUMMYFUNCTION("""COMPUTED_VALUE"""),10)</f>
        <v>10</v>
      </c>
      <c r="G69" s="36">
        <f ca="1">IFERROR(__xludf.DUMMYFUNCTION("""COMPUTED_VALUE"""),72)</f>
        <v>72</v>
      </c>
      <c r="H69" s="39">
        <f ca="1">IFERROR(__xludf.DUMMYFUNCTION("""COMPUTED_VALUE"""),30)</f>
        <v>30</v>
      </c>
    </row>
    <row r="70" spans="1:8" ht="12.75">
      <c r="A70" s="36" t="str">
        <f ca="1">IFERROR(__xludf.DUMMYFUNCTION("""COMPUTED_VALUE"""),"Fig - Chicago Hardy")</f>
        <v>Fig - Chicago Hardy</v>
      </c>
      <c r="B70" s="36">
        <f ca="1">IFERROR(__xludf.DUMMYFUNCTION("""COMPUTED_VALUE"""),5)</f>
        <v>5</v>
      </c>
      <c r="C70" s="36" t="str">
        <f ca="1">IFERROR(__xludf.DUMMYFUNCTION("""COMPUTED_VALUE"""),"#5")</f>
        <v>#5</v>
      </c>
      <c r="D70" s="40" t="str">
        <f ca="1">IFERROR(__xludf.DUMMYFUNCTION("""COMPUTED_VALUE"""),"Multi")</f>
        <v>Multi</v>
      </c>
      <c r="E70" s="36" t="str">
        <f ca="1">IFERROR(__xludf.DUMMYFUNCTION("""COMPUTED_VALUE"""),"0.5-1'")</f>
        <v>0.5-1'</v>
      </c>
      <c r="F70" s="38">
        <f ca="1">IFERROR(__xludf.DUMMYFUNCTION("""COMPUTED_VALUE"""),5)</f>
        <v>5</v>
      </c>
      <c r="G70" s="36">
        <f ca="1">IFERROR(__xludf.DUMMYFUNCTION("""COMPUTED_VALUE"""),144)</f>
        <v>144</v>
      </c>
      <c r="H70" s="39">
        <f ca="1">IFERROR(__xludf.DUMMYFUNCTION("""COMPUTED_VALUE"""),30)</f>
        <v>30</v>
      </c>
    </row>
    <row r="71" spans="1:8" ht="12.75">
      <c r="A71" s="36" t="str">
        <f ca="1">IFERROR(__xludf.DUMMYFUNCTION("""COMPUTED_VALUE"""),"Fig - Italian Honey")</f>
        <v>Fig - Italian Honey</v>
      </c>
      <c r="B71" s="36">
        <f ca="1">IFERROR(__xludf.DUMMYFUNCTION("""COMPUTED_VALUE"""),5)</f>
        <v>5</v>
      </c>
      <c r="C71" s="36" t="str">
        <f ca="1">IFERROR(__xludf.DUMMYFUNCTION("""COMPUTED_VALUE"""),"#5")</f>
        <v>#5</v>
      </c>
      <c r="D71" s="40" t="str">
        <f ca="1">IFERROR(__xludf.DUMMYFUNCTION("""COMPUTED_VALUE"""),"Multi")</f>
        <v>Multi</v>
      </c>
      <c r="E71" s="36" t="str">
        <f ca="1">IFERROR(__xludf.DUMMYFUNCTION("""COMPUTED_VALUE"""),"1-2'")</f>
        <v>1-2'</v>
      </c>
      <c r="F71" s="38">
        <f ca="1">IFERROR(__xludf.DUMMYFUNCTION("""COMPUTED_VALUE"""),6)</f>
        <v>6</v>
      </c>
      <c r="G71" s="36">
        <f ca="1">IFERROR(__xludf.DUMMYFUNCTION("""COMPUTED_VALUE"""),0)</f>
        <v>0</v>
      </c>
      <c r="H71" s="39">
        <f ca="1">IFERROR(__xludf.DUMMYFUNCTION("""COMPUTED_VALUE"""),30)</f>
        <v>30</v>
      </c>
    </row>
    <row r="72" spans="1:8" ht="12.75">
      <c r="A72" s="36" t="str">
        <f ca="1">IFERROR(__xludf.DUMMYFUNCTION("""COMPUTED_VALUE"""),"Fig - LSU Purple")</f>
        <v>Fig - LSU Purple</v>
      </c>
      <c r="B72" s="36">
        <f ca="1">IFERROR(__xludf.DUMMYFUNCTION("""COMPUTED_VALUE"""),5)</f>
        <v>5</v>
      </c>
      <c r="C72" s="36" t="str">
        <f ca="1">IFERROR(__xludf.DUMMYFUNCTION("""COMPUTED_VALUE"""),"#5")</f>
        <v>#5</v>
      </c>
      <c r="D72" s="37" t="str">
        <f ca="1">IFERROR(__xludf.DUMMYFUNCTION("""COMPUTED_VALUE"""),"Multi")</f>
        <v>Multi</v>
      </c>
      <c r="E72" s="36" t="str">
        <f ca="1">IFERROR(__xludf.DUMMYFUNCTION("""COMPUTED_VALUE"""),"0.5-1'")</f>
        <v>0.5-1'</v>
      </c>
      <c r="F72" s="38">
        <f ca="1">IFERROR(__xludf.DUMMYFUNCTION("""COMPUTED_VALUE"""),0)</f>
        <v>0</v>
      </c>
      <c r="G72" s="36">
        <f ca="1">IFERROR(__xludf.DUMMYFUNCTION("""COMPUTED_VALUE"""),72)</f>
        <v>72</v>
      </c>
      <c r="H72" s="39">
        <f ca="1">IFERROR(__xludf.DUMMYFUNCTION("""COMPUTED_VALUE"""),30)</f>
        <v>30</v>
      </c>
    </row>
    <row r="73" spans="1:8" ht="12.75">
      <c r="A73" s="36" t="str">
        <f ca="1">IFERROR(__xludf.DUMMYFUNCTION("""COMPUTED_VALUE"""),"Fig - Olympian")</f>
        <v>Fig - Olympian</v>
      </c>
      <c r="B73" s="36">
        <f ca="1">IFERROR(__xludf.DUMMYFUNCTION("""COMPUTED_VALUE"""),5)</f>
        <v>5</v>
      </c>
      <c r="C73" s="36" t="str">
        <f ca="1">IFERROR(__xludf.DUMMYFUNCTION("""COMPUTED_VALUE"""),"#5")</f>
        <v>#5</v>
      </c>
      <c r="D73" s="40" t="str">
        <f ca="1">IFERROR(__xludf.DUMMYFUNCTION("""COMPUTED_VALUE"""),"Multi")</f>
        <v>Multi</v>
      </c>
      <c r="E73" s="36" t="str">
        <f ca="1">IFERROR(__xludf.DUMMYFUNCTION("""COMPUTED_VALUE"""),"1-2'")</f>
        <v>1-2'</v>
      </c>
      <c r="F73" s="38">
        <f ca="1">IFERROR(__xludf.DUMMYFUNCTION("""COMPUTED_VALUE"""),2)</f>
        <v>2</v>
      </c>
      <c r="G73" s="36">
        <f ca="1">IFERROR(__xludf.DUMMYFUNCTION("""COMPUTED_VALUE"""),72)</f>
        <v>72</v>
      </c>
      <c r="H73" s="39">
        <f ca="1">IFERROR(__xludf.DUMMYFUNCTION("""COMPUTED_VALUE"""),30)</f>
        <v>30</v>
      </c>
    </row>
    <row r="74" spans="1:8" ht="12.75">
      <c r="A74" s="36" t="str">
        <f ca="1">IFERROR(__xludf.DUMMYFUNCTION("""COMPUTED_VALUE"""),"Goji Berry")</f>
        <v>Goji Berry</v>
      </c>
      <c r="B74" s="36">
        <f ca="1">IFERROR(__xludf.DUMMYFUNCTION("""COMPUTED_VALUE"""),5)</f>
        <v>5</v>
      </c>
      <c r="C74" s="36" t="str">
        <f ca="1">IFERROR(__xludf.DUMMYFUNCTION("""COMPUTED_VALUE"""),"#5")</f>
        <v>#5</v>
      </c>
      <c r="D74" s="40" t="str">
        <f ca="1">IFERROR(__xludf.DUMMYFUNCTION("""COMPUTED_VALUE"""),"Multi")</f>
        <v>Multi</v>
      </c>
      <c r="E74" s="36" t="str">
        <f ca="1">IFERROR(__xludf.DUMMYFUNCTION("""COMPUTED_VALUE"""),"2-3'")</f>
        <v>2-3'</v>
      </c>
      <c r="F74" s="38">
        <f ca="1">IFERROR(__xludf.DUMMYFUNCTION("""COMPUTED_VALUE"""),12)</f>
        <v>12</v>
      </c>
      <c r="G74" s="36">
        <f ca="1">IFERROR(__xludf.DUMMYFUNCTION("""COMPUTED_VALUE"""),0)</f>
        <v>0</v>
      </c>
      <c r="H74" s="39">
        <f ca="1">IFERROR(__xludf.DUMMYFUNCTION("""COMPUTED_VALUE"""),30)</f>
        <v>30</v>
      </c>
    </row>
    <row r="75" spans="1:8" ht="12.75">
      <c r="A75" s="36" t="str">
        <f ca="1">IFERROR(__xludf.DUMMYFUNCTION("""COMPUTED_VALUE"""),"Grape - Reliance Red")</f>
        <v>Grape - Reliance Red</v>
      </c>
      <c r="B75" s="36">
        <f ca="1">IFERROR(__xludf.DUMMYFUNCTION("""COMPUTED_VALUE"""),5)</f>
        <v>5</v>
      </c>
      <c r="C75" s="36" t="str">
        <f ca="1">IFERROR(__xludf.DUMMYFUNCTION("""COMPUTED_VALUE"""),"#5")</f>
        <v>#5</v>
      </c>
      <c r="D75" s="40" t="str">
        <f ca="1">IFERROR(__xludf.DUMMYFUNCTION("""COMPUTED_VALUE"""),"Multi")</f>
        <v>Multi</v>
      </c>
      <c r="E75" s="36" t="str">
        <f ca="1">IFERROR(__xludf.DUMMYFUNCTION("""COMPUTED_VALUE"""),"3-5'")</f>
        <v>3-5'</v>
      </c>
      <c r="F75" s="38">
        <f ca="1">IFERROR(__xludf.DUMMYFUNCTION("""COMPUTED_VALUE"""),23)</f>
        <v>23</v>
      </c>
      <c r="G75" s="36">
        <f ca="1">IFERROR(__xludf.DUMMYFUNCTION("""COMPUTED_VALUE"""),0)</f>
        <v>0</v>
      </c>
      <c r="H75" s="39">
        <f ca="1">IFERROR(__xludf.DUMMYFUNCTION("""COMPUTED_VALUE"""),30)</f>
        <v>30</v>
      </c>
    </row>
    <row r="76" spans="1:8" ht="12.75">
      <c r="A76" s="36" t="str">
        <f ca="1">IFERROR(__xludf.DUMMYFUNCTION("""COMPUTED_VALUE"""),"Grape- Himrod")</f>
        <v>Grape- Himrod</v>
      </c>
      <c r="B76" s="36">
        <f ca="1">IFERROR(__xludf.DUMMYFUNCTION("""COMPUTED_VALUE"""),5)</f>
        <v>5</v>
      </c>
      <c r="C76" s="36" t="str">
        <f ca="1">IFERROR(__xludf.DUMMYFUNCTION("""COMPUTED_VALUE"""),"#5")</f>
        <v>#5</v>
      </c>
      <c r="D76" s="40" t="str">
        <f ca="1">IFERROR(__xludf.DUMMYFUNCTION("""COMPUTED_VALUE"""),"Multi")</f>
        <v>Multi</v>
      </c>
      <c r="E76" s="36" t="str">
        <f ca="1">IFERROR(__xludf.DUMMYFUNCTION("""COMPUTED_VALUE"""),"2-4'")</f>
        <v>2-4'</v>
      </c>
      <c r="F76" s="38">
        <f ca="1">IFERROR(__xludf.DUMMYFUNCTION("""COMPUTED_VALUE"""),6)</f>
        <v>6</v>
      </c>
      <c r="G76" s="36">
        <f ca="1">IFERROR(__xludf.DUMMYFUNCTION("""COMPUTED_VALUE"""),0)</f>
        <v>0</v>
      </c>
      <c r="H76" s="39">
        <f ca="1">IFERROR(__xludf.DUMMYFUNCTION("""COMPUTED_VALUE"""),30)</f>
        <v>30</v>
      </c>
    </row>
    <row r="77" spans="1:8" ht="12.75">
      <c r="A77" s="36" t="str">
        <f ca="1">IFERROR(__xludf.DUMMYFUNCTION("""COMPUTED_VALUE"""),"Hardy Kiwi - Prolific")</f>
        <v>Hardy Kiwi - Prolific</v>
      </c>
      <c r="B77" s="36">
        <f ca="1">IFERROR(__xludf.DUMMYFUNCTION("""COMPUTED_VALUE"""),5)</f>
        <v>5</v>
      </c>
      <c r="C77" s="36" t="str">
        <f ca="1">IFERROR(__xludf.DUMMYFUNCTION("""COMPUTED_VALUE"""),"#5")</f>
        <v>#5</v>
      </c>
      <c r="D77" s="37" t="str">
        <f ca="1">IFERROR(__xludf.DUMMYFUNCTION("""COMPUTED_VALUE"""),"0.5-0.5""")</f>
        <v>0.5-0.5"</v>
      </c>
      <c r="E77" s="36" t="str">
        <f ca="1">IFERROR(__xludf.DUMMYFUNCTION("""COMPUTED_VALUE"""),"3-4'")</f>
        <v>3-4'</v>
      </c>
      <c r="F77" s="38">
        <f ca="1">IFERROR(__xludf.DUMMYFUNCTION("""COMPUTED_VALUE"""),0)</f>
        <v>0</v>
      </c>
      <c r="G77" s="36">
        <f ca="1">IFERROR(__xludf.DUMMYFUNCTION("""COMPUTED_VALUE"""),72)</f>
        <v>72</v>
      </c>
      <c r="H77" s="39">
        <f ca="1">IFERROR(__xludf.DUMMYFUNCTION("""COMPUTED_VALUE"""),35)</f>
        <v>35</v>
      </c>
    </row>
    <row r="78" spans="1:8" ht="12.75">
      <c r="A78" s="36" t="str">
        <f ca="1">IFERROR(__xludf.DUMMYFUNCTION("""COMPUTED_VALUE"""),"Hazelnut - Jefferson")</f>
        <v>Hazelnut - Jefferson</v>
      </c>
      <c r="B78" s="36">
        <f ca="1">IFERROR(__xludf.DUMMYFUNCTION("""COMPUTED_VALUE"""),10)</f>
        <v>10</v>
      </c>
      <c r="C78" s="36" t="str">
        <f ca="1">IFERROR(__xludf.DUMMYFUNCTION("""COMPUTED_VALUE"""),"#10")</f>
        <v>#10</v>
      </c>
      <c r="D78" s="37" t="str">
        <f ca="1">IFERROR(__xludf.DUMMYFUNCTION("""COMPUTED_VALUE"""),"0.75-0.75""")</f>
        <v>0.75-0.75"</v>
      </c>
      <c r="E78" s="36" t="str">
        <f ca="1">IFERROR(__xludf.DUMMYFUNCTION("""COMPUTED_VALUE"""),"5-6'")</f>
        <v>5-6'</v>
      </c>
      <c r="F78" s="38">
        <f ca="1">IFERROR(__xludf.DUMMYFUNCTION("""COMPUTED_VALUE"""),10)</f>
        <v>10</v>
      </c>
      <c r="G78" s="36">
        <f ca="1">IFERROR(__xludf.DUMMYFUNCTION("""COMPUTED_VALUE"""),0)</f>
        <v>0</v>
      </c>
      <c r="H78" s="39">
        <f ca="1">IFERROR(__xludf.DUMMYFUNCTION("""COMPUTED_VALUE"""),75)</f>
        <v>75</v>
      </c>
    </row>
    <row r="79" spans="1:8" ht="12.75">
      <c r="A79" s="36" t="str">
        <f ca="1">IFERROR(__xludf.DUMMYFUNCTION("""COMPUTED_VALUE"""),"Jujube - Li")</f>
        <v>Jujube - Li</v>
      </c>
      <c r="B79" s="36">
        <f ca="1">IFERROR(__xludf.DUMMYFUNCTION("""COMPUTED_VALUE"""),7)</f>
        <v>7</v>
      </c>
      <c r="C79" s="36" t="str">
        <f ca="1">IFERROR(__xludf.DUMMYFUNCTION("""COMPUTED_VALUE"""),"#7")</f>
        <v>#7</v>
      </c>
      <c r="D79" s="37" t="str">
        <f ca="1">IFERROR(__xludf.DUMMYFUNCTION("""COMPUTED_VALUE"""),"0.38-0.38""")</f>
        <v>0.38-0.38"</v>
      </c>
      <c r="E79" s="36" t="str">
        <f ca="1">IFERROR(__xludf.DUMMYFUNCTION("""COMPUTED_VALUE"""),"1-2'")</f>
        <v>1-2'</v>
      </c>
      <c r="F79" s="38">
        <f ca="1">IFERROR(__xludf.DUMMYFUNCTION("""COMPUTED_VALUE"""),0)</f>
        <v>0</v>
      </c>
      <c r="G79" s="36">
        <f ca="1">IFERROR(__xludf.DUMMYFUNCTION("""COMPUTED_VALUE"""),50)</f>
        <v>50</v>
      </c>
      <c r="H79" s="39">
        <f ca="1">IFERROR(__xludf.DUMMYFUNCTION("""COMPUTED_VALUE"""),75)</f>
        <v>75</v>
      </c>
    </row>
    <row r="80" spans="1:8" ht="12.75">
      <c r="A80" s="36" t="str">
        <f ca="1">IFERROR(__xludf.DUMMYFUNCTION("""COMPUTED_VALUE"""),"Mulberry - Everbearing ")</f>
        <v xml:space="preserve">Mulberry - Everbearing </v>
      </c>
      <c r="B80" s="36">
        <f ca="1">IFERROR(__xludf.DUMMYFUNCTION("""COMPUTED_VALUE"""),5)</f>
        <v>5</v>
      </c>
      <c r="C80" s="36" t="str">
        <f ca="1">IFERROR(__xludf.DUMMYFUNCTION("""COMPUTED_VALUE"""),"#5")</f>
        <v>#5</v>
      </c>
      <c r="D80" s="37" t="str">
        <f ca="1">IFERROR(__xludf.DUMMYFUNCTION("""COMPUTED_VALUE"""),"0.25-0.25""")</f>
        <v>0.25-0.25"</v>
      </c>
      <c r="E80" s="36" t="str">
        <f ca="1">IFERROR(__xludf.DUMMYFUNCTION("""COMPUTED_VALUE"""),"2-3'")</f>
        <v>2-3'</v>
      </c>
      <c r="F80" s="38">
        <f ca="1">IFERROR(__xludf.DUMMYFUNCTION("""COMPUTED_VALUE"""),53)</f>
        <v>53</v>
      </c>
      <c r="G80" s="36">
        <f ca="1">IFERROR(__xludf.DUMMYFUNCTION("""COMPUTED_VALUE"""),72)</f>
        <v>72</v>
      </c>
      <c r="H80" s="39">
        <f ca="1">IFERROR(__xludf.DUMMYFUNCTION("""COMPUTED_VALUE"""),30)</f>
        <v>30</v>
      </c>
    </row>
    <row r="81" spans="1:8" ht="12.75">
      <c r="A81" s="36" t="str">
        <f ca="1">IFERROR(__xludf.DUMMYFUNCTION("""COMPUTED_VALUE"""),"Mulberry - Red")</f>
        <v>Mulberry - Red</v>
      </c>
      <c r="B81" s="36">
        <f ca="1">IFERROR(__xludf.DUMMYFUNCTION("""COMPUTED_VALUE"""),5)</f>
        <v>5</v>
      </c>
      <c r="C81" s="36" t="str">
        <f ca="1">IFERROR(__xludf.DUMMYFUNCTION("""COMPUTED_VALUE"""),"#5")</f>
        <v>#5</v>
      </c>
      <c r="D81" s="37" t="str">
        <f ca="1">IFERROR(__xludf.DUMMYFUNCTION("""COMPUTED_VALUE"""),"0.25-0.5""")</f>
        <v>0.25-0.5"</v>
      </c>
      <c r="E81" s="36" t="str">
        <f ca="1">IFERROR(__xludf.DUMMYFUNCTION("""COMPUTED_VALUE"""),"3-5'")</f>
        <v>3-5'</v>
      </c>
      <c r="F81" s="38">
        <f ca="1">IFERROR(__xludf.DUMMYFUNCTION("""COMPUTED_VALUE"""),25)</f>
        <v>25</v>
      </c>
      <c r="G81" s="36">
        <f ca="1">IFERROR(__xludf.DUMMYFUNCTION("""COMPUTED_VALUE"""),50)</f>
        <v>50</v>
      </c>
      <c r="H81" s="39">
        <f ca="1">IFERROR(__xludf.DUMMYFUNCTION("""COMPUTED_VALUE"""),35)</f>
        <v>35</v>
      </c>
    </row>
    <row r="82" spans="1:8" ht="12.75">
      <c r="A82" s="36" t="str">
        <f ca="1">IFERROR(__xludf.DUMMYFUNCTION("""COMPUTED_VALUE"""),"Mulberry - White")</f>
        <v>Mulberry - White</v>
      </c>
      <c r="B82" s="36">
        <f ca="1">IFERROR(__xludf.DUMMYFUNCTION("""COMPUTED_VALUE"""),5)</f>
        <v>5</v>
      </c>
      <c r="C82" s="36" t="str">
        <f ca="1">IFERROR(__xludf.DUMMYFUNCTION("""COMPUTED_VALUE"""),"#5")</f>
        <v>#5</v>
      </c>
      <c r="D82" s="37" t="str">
        <f ca="1">IFERROR(__xludf.DUMMYFUNCTION("""COMPUTED_VALUE"""),"0.25-0.75""")</f>
        <v>0.25-0.75"</v>
      </c>
      <c r="E82" s="36" t="str">
        <f ca="1">IFERROR(__xludf.DUMMYFUNCTION("""COMPUTED_VALUE"""),"3-4.5'")</f>
        <v>3-4.5'</v>
      </c>
      <c r="F82" s="38">
        <f ca="1">IFERROR(__xludf.DUMMYFUNCTION("""COMPUTED_VALUE"""),33)</f>
        <v>33</v>
      </c>
      <c r="G82" s="36">
        <f ca="1">IFERROR(__xludf.DUMMYFUNCTION("""COMPUTED_VALUE"""),50)</f>
        <v>50</v>
      </c>
      <c r="H82" s="39">
        <f ca="1">IFERROR(__xludf.DUMMYFUNCTION("""COMPUTED_VALUE"""),35)</f>
        <v>35</v>
      </c>
    </row>
    <row r="83" spans="1:8" ht="12.75">
      <c r="A83" s="36" t="str">
        <f ca="1">IFERROR(__xludf.DUMMYFUNCTION("""COMPUTED_VALUE"""),"Nectarine - Fantasia")</f>
        <v>Nectarine - Fantasia</v>
      </c>
      <c r="B83" s="36">
        <f ca="1">IFERROR(__xludf.DUMMYFUNCTION("""COMPUTED_VALUE"""),5)</f>
        <v>5</v>
      </c>
      <c r="C83" s="36" t="str">
        <f ca="1">IFERROR(__xludf.DUMMYFUNCTION("""COMPUTED_VALUE"""),"#5")</f>
        <v>#5</v>
      </c>
      <c r="D83" s="37" t="str">
        <f ca="1">IFERROR(__xludf.DUMMYFUNCTION("""COMPUTED_VALUE"""),"0.75-1""")</f>
        <v>0.75-1"</v>
      </c>
      <c r="E83" s="36" t="str">
        <f ca="1">IFERROR(__xludf.DUMMYFUNCTION("""COMPUTED_VALUE"""),"6-7'")</f>
        <v>6-7'</v>
      </c>
      <c r="F83" s="38">
        <f ca="1">IFERROR(__xludf.DUMMYFUNCTION("""COMPUTED_VALUE"""),131)</f>
        <v>131</v>
      </c>
      <c r="G83" s="36">
        <f ca="1">IFERROR(__xludf.DUMMYFUNCTION("""COMPUTED_VALUE"""),50)</f>
        <v>50</v>
      </c>
      <c r="H83" s="39">
        <f ca="1">IFERROR(__xludf.DUMMYFUNCTION("""COMPUTED_VALUE"""),40)</f>
        <v>40</v>
      </c>
    </row>
    <row r="84" spans="1:8" ht="12.75">
      <c r="A84" s="36" t="str">
        <f ca="1">IFERROR(__xludf.DUMMYFUNCTION("""COMPUTED_VALUE"""),"Nectarine - Fantasia")</f>
        <v>Nectarine - Fantasia</v>
      </c>
      <c r="B84" s="36">
        <f ca="1">IFERROR(__xludf.DUMMYFUNCTION("""COMPUTED_VALUE"""),7)</f>
        <v>7</v>
      </c>
      <c r="C84" s="36" t="str">
        <f ca="1">IFERROR(__xludf.DUMMYFUNCTION("""COMPUTED_VALUE"""),"#7")</f>
        <v>#7</v>
      </c>
      <c r="D84" s="37" t="str">
        <f ca="1">IFERROR(__xludf.DUMMYFUNCTION("""COMPUTED_VALUE"""),"1.25-1.25""")</f>
        <v>1.25-1.25"</v>
      </c>
      <c r="E84" s="36" t="str">
        <f ca="1">IFERROR(__xludf.DUMMYFUNCTION("""COMPUTED_VALUE"""),"6-7'")</f>
        <v>6-7'</v>
      </c>
      <c r="F84" s="38">
        <f ca="1">IFERROR(__xludf.DUMMYFUNCTION("""COMPUTED_VALUE"""),12)</f>
        <v>12</v>
      </c>
      <c r="G84" s="36">
        <f ca="1">IFERROR(__xludf.DUMMYFUNCTION("""COMPUTED_VALUE"""),0)</f>
        <v>0</v>
      </c>
      <c r="H84" s="39">
        <f ca="1">IFERROR(__xludf.DUMMYFUNCTION("""COMPUTED_VALUE"""),65)</f>
        <v>65</v>
      </c>
    </row>
    <row r="85" spans="1:8" ht="12.75">
      <c r="A85" s="36" t="str">
        <f ca="1">IFERROR(__xludf.DUMMYFUNCTION("""COMPUTED_VALUE"""),"Nectarine - Flavortop")</f>
        <v>Nectarine - Flavortop</v>
      </c>
      <c r="B85" s="36">
        <f ca="1">IFERROR(__xludf.DUMMYFUNCTION("""COMPUTED_VALUE"""),5)</f>
        <v>5</v>
      </c>
      <c r="C85" s="36" t="str">
        <f ca="1">IFERROR(__xludf.DUMMYFUNCTION("""COMPUTED_VALUE"""),"#5")</f>
        <v>#5</v>
      </c>
      <c r="D85" s="37" t="str">
        <f ca="1">IFERROR(__xludf.DUMMYFUNCTION("""COMPUTED_VALUE"""),"0.75-1""")</f>
        <v>0.75-1"</v>
      </c>
      <c r="E85" s="36" t="str">
        <f ca="1">IFERROR(__xludf.DUMMYFUNCTION("""COMPUTED_VALUE"""),"5-8'")</f>
        <v>5-8'</v>
      </c>
      <c r="F85" s="38">
        <f ca="1">IFERROR(__xludf.DUMMYFUNCTION("""COMPUTED_VALUE"""),10)</f>
        <v>10</v>
      </c>
      <c r="G85" s="36">
        <f ca="1">IFERROR(__xludf.DUMMYFUNCTION("""COMPUTED_VALUE"""),50)</f>
        <v>50</v>
      </c>
      <c r="H85" s="39">
        <f ca="1">IFERROR(__xludf.DUMMYFUNCTION("""COMPUTED_VALUE"""),40)</f>
        <v>40</v>
      </c>
    </row>
    <row r="86" spans="1:8" ht="12.75">
      <c r="A86" s="36" t="str">
        <f ca="1">IFERROR(__xludf.DUMMYFUNCTION("""COMPUTED_VALUE"""),"Nectarine - Redgold")</f>
        <v>Nectarine - Redgold</v>
      </c>
      <c r="B86" s="36">
        <f ca="1">IFERROR(__xludf.DUMMYFUNCTION("""COMPUTED_VALUE"""),5)</f>
        <v>5</v>
      </c>
      <c r="C86" s="36" t="str">
        <f ca="1">IFERROR(__xludf.DUMMYFUNCTION("""COMPUTED_VALUE"""),"#5")</f>
        <v>#5</v>
      </c>
      <c r="D86" s="37" t="str">
        <f ca="1">IFERROR(__xludf.DUMMYFUNCTION("""COMPUTED_VALUE"""),"0.75-1""")</f>
        <v>0.75-1"</v>
      </c>
      <c r="E86" s="36" t="str">
        <f ca="1">IFERROR(__xludf.DUMMYFUNCTION("""COMPUTED_VALUE"""),"4-5'")</f>
        <v>4-5'</v>
      </c>
      <c r="F86" s="38">
        <f ca="1">IFERROR(__xludf.DUMMYFUNCTION("""COMPUTED_VALUE"""),13)</f>
        <v>13</v>
      </c>
      <c r="G86" s="36">
        <f ca="1">IFERROR(__xludf.DUMMYFUNCTION("""COMPUTED_VALUE"""),0)</f>
        <v>0</v>
      </c>
      <c r="H86" s="39">
        <f ca="1">IFERROR(__xludf.DUMMYFUNCTION("""COMPUTED_VALUE"""),40)</f>
        <v>40</v>
      </c>
    </row>
    <row r="87" spans="1:8" ht="12.75">
      <c r="A87" s="36" t="str">
        <f ca="1">IFERROR(__xludf.DUMMYFUNCTION("""COMPUTED_VALUE"""),"Nectarine - Sunglo")</f>
        <v>Nectarine - Sunglo</v>
      </c>
      <c r="B87" s="36">
        <f ca="1">IFERROR(__xludf.DUMMYFUNCTION("""COMPUTED_VALUE"""),5)</f>
        <v>5</v>
      </c>
      <c r="C87" s="36" t="str">
        <f ca="1">IFERROR(__xludf.DUMMYFUNCTION("""COMPUTED_VALUE"""),"#5")</f>
        <v>#5</v>
      </c>
      <c r="D87" s="37" t="str">
        <f ca="1">IFERROR(__xludf.DUMMYFUNCTION("""COMPUTED_VALUE"""),"0.75-1""")</f>
        <v>0.75-1"</v>
      </c>
      <c r="E87" s="36" t="str">
        <f ca="1">IFERROR(__xludf.DUMMYFUNCTION("""COMPUTED_VALUE"""),"7-8'")</f>
        <v>7-8'</v>
      </c>
      <c r="F87" s="38">
        <f ca="1">IFERROR(__xludf.DUMMYFUNCTION("""COMPUTED_VALUE"""),13)</f>
        <v>13</v>
      </c>
      <c r="G87" s="36">
        <f ca="1">IFERROR(__xludf.DUMMYFUNCTION("""COMPUTED_VALUE"""),20)</f>
        <v>20</v>
      </c>
      <c r="H87" s="39">
        <f ca="1">IFERROR(__xludf.DUMMYFUNCTION("""COMPUTED_VALUE"""),40)</f>
        <v>40</v>
      </c>
    </row>
    <row r="88" spans="1:8" ht="12.75">
      <c r="A88" s="36" t="str">
        <f ca="1">IFERROR(__xludf.DUMMYFUNCTION("""COMPUTED_VALUE"""),"Nectarine (white) - Arctic Glo")</f>
        <v>Nectarine (white) - Arctic Glo</v>
      </c>
      <c r="B88" s="36">
        <f ca="1">IFERROR(__xludf.DUMMYFUNCTION("""COMPUTED_VALUE"""),5)</f>
        <v>5</v>
      </c>
      <c r="C88" s="36" t="str">
        <f ca="1">IFERROR(__xludf.DUMMYFUNCTION("""COMPUTED_VALUE"""),"#5")</f>
        <v>#5</v>
      </c>
      <c r="D88" s="37" t="str">
        <f ca="1">IFERROR(__xludf.DUMMYFUNCTION("""COMPUTED_VALUE"""),"0.75-1""")</f>
        <v>0.75-1"</v>
      </c>
      <c r="E88" s="36" t="str">
        <f ca="1">IFERROR(__xludf.DUMMYFUNCTION("""COMPUTED_VALUE"""),"6-7'")</f>
        <v>6-7'</v>
      </c>
      <c r="F88" s="38">
        <f ca="1">IFERROR(__xludf.DUMMYFUNCTION("""COMPUTED_VALUE"""),11)</f>
        <v>11</v>
      </c>
      <c r="G88" s="36">
        <f ca="1">IFERROR(__xludf.DUMMYFUNCTION("""COMPUTED_VALUE"""),0)</f>
        <v>0</v>
      </c>
      <c r="H88" s="39">
        <f ca="1">IFERROR(__xludf.DUMMYFUNCTION("""COMPUTED_VALUE"""),40)</f>
        <v>40</v>
      </c>
    </row>
    <row r="89" spans="1:8" ht="12.75">
      <c r="A89" s="36" t="str">
        <f ca="1">IFERROR(__xludf.DUMMYFUNCTION("""COMPUTED_VALUE"""),"Nectarine (White) - Arctic Sweet")</f>
        <v>Nectarine (White) - Arctic Sweet</v>
      </c>
      <c r="B89" s="36">
        <f ca="1">IFERROR(__xludf.DUMMYFUNCTION("""COMPUTED_VALUE"""),5)</f>
        <v>5</v>
      </c>
      <c r="C89" s="36" t="str">
        <f ca="1">IFERROR(__xludf.DUMMYFUNCTION("""COMPUTED_VALUE"""),"#5")</f>
        <v>#5</v>
      </c>
      <c r="D89" s="37" t="str">
        <f ca="1">IFERROR(__xludf.DUMMYFUNCTION("""COMPUTED_VALUE"""),"0.5-0.75""")</f>
        <v>0.5-0.75"</v>
      </c>
      <c r="E89" s="36" t="str">
        <f ca="1">IFERROR(__xludf.DUMMYFUNCTION("""COMPUTED_VALUE"""),"4-5'")</f>
        <v>4-5'</v>
      </c>
      <c r="F89" s="38">
        <f ca="1">IFERROR(__xludf.DUMMYFUNCTION("""COMPUTED_VALUE"""),0)</f>
        <v>0</v>
      </c>
      <c r="G89" s="36">
        <f ca="1">IFERROR(__xludf.DUMMYFUNCTION("""COMPUTED_VALUE"""),50)</f>
        <v>50</v>
      </c>
      <c r="H89" s="39">
        <f ca="1">IFERROR(__xludf.DUMMYFUNCTION("""COMPUTED_VALUE"""),40)</f>
        <v>40</v>
      </c>
    </row>
    <row r="90" spans="1:8" ht="12.75">
      <c r="A90" s="36" t="str">
        <f ca="1">IFERROR(__xludf.DUMMYFUNCTION("""COMPUTED_VALUE"""),"Nectarine (White) - Arctic Sweet")</f>
        <v>Nectarine (White) - Arctic Sweet</v>
      </c>
      <c r="B90" s="36">
        <f ca="1">IFERROR(__xludf.DUMMYFUNCTION("""COMPUTED_VALUE"""),7)</f>
        <v>7</v>
      </c>
      <c r="C90" s="36" t="str">
        <f ca="1">IFERROR(__xludf.DUMMYFUNCTION("""COMPUTED_VALUE"""),"#7")</f>
        <v>#7</v>
      </c>
      <c r="D90" s="37" t="str">
        <f ca="1">IFERROR(__xludf.DUMMYFUNCTION("""COMPUTED_VALUE"""),"1-1.25""")</f>
        <v>1-1.25"</v>
      </c>
      <c r="E90" s="36" t="str">
        <f ca="1">IFERROR(__xludf.DUMMYFUNCTION("""COMPUTED_VALUE"""),"8-8'")</f>
        <v>8-8'</v>
      </c>
      <c r="F90" s="38">
        <f ca="1">IFERROR(__xludf.DUMMYFUNCTION("""COMPUTED_VALUE"""),20)</f>
        <v>20</v>
      </c>
      <c r="G90" s="36">
        <f ca="1">IFERROR(__xludf.DUMMYFUNCTION("""COMPUTED_VALUE"""),0)</f>
        <v>0</v>
      </c>
      <c r="H90" s="39">
        <f ca="1">IFERROR(__xludf.DUMMYFUNCTION("""COMPUTED_VALUE"""),60)</f>
        <v>60</v>
      </c>
    </row>
    <row r="91" spans="1:8" ht="12.75">
      <c r="A91" s="36" t="str">
        <f ca="1">IFERROR(__xludf.DUMMYFUNCTION("""COMPUTED_VALUE"""),"Pawpaw")</f>
        <v>Pawpaw</v>
      </c>
      <c r="B91" s="36">
        <f ca="1">IFERROR(__xludf.DUMMYFUNCTION("""COMPUTED_VALUE"""),5)</f>
        <v>5</v>
      </c>
      <c r="C91" s="36" t="str">
        <f ca="1">IFERROR(__xludf.DUMMYFUNCTION("""COMPUTED_VALUE"""),"#5")</f>
        <v>#5</v>
      </c>
      <c r="D91" s="37" t="str">
        <f ca="1">IFERROR(__xludf.DUMMYFUNCTION("""COMPUTED_VALUE"""),"0.375-0.5""")</f>
        <v>0.375-0.5"</v>
      </c>
      <c r="E91" s="36" t="str">
        <f ca="1">IFERROR(__xludf.DUMMYFUNCTION("""COMPUTED_VALUE"""),"0.5-1'")</f>
        <v>0.5-1'</v>
      </c>
      <c r="F91" s="38">
        <f ca="1">IFERROR(__xludf.DUMMYFUNCTION("""COMPUTED_VALUE"""),1)</f>
        <v>1</v>
      </c>
      <c r="G91" s="36">
        <f ca="1">IFERROR(__xludf.DUMMYFUNCTION("""COMPUTED_VALUE"""),200)</f>
        <v>200</v>
      </c>
      <c r="H91" s="39">
        <f ca="1">IFERROR(__xludf.DUMMYFUNCTION("""COMPUTED_VALUE"""),35)</f>
        <v>35</v>
      </c>
    </row>
    <row r="92" spans="1:8" ht="12.75">
      <c r="A92" s="36" t="str">
        <f ca="1">IFERROR(__xludf.DUMMYFUNCTION("""COMPUTED_VALUE"""),"Pawpaw - Allegheny")</f>
        <v>Pawpaw - Allegheny</v>
      </c>
      <c r="B92" s="36">
        <f ca="1">IFERROR(__xludf.DUMMYFUNCTION("""COMPUTED_VALUE"""),5)</f>
        <v>5</v>
      </c>
      <c r="C92" s="36" t="str">
        <f ca="1">IFERROR(__xludf.DUMMYFUNCTION("""COMPUTED_VALUE"""),"#5")</f>
        <v>#5</v>
      </c>
      <c r="D92" s="37" t="str">
        <f ca="1">IFERROR(__xludf.DUMMYFUNCTION("""COMPUTED_VALUE"""),"0.375-0.375""")</f>
        <v>0.375-0.375"</v>
      </c>
      <c r="E92" s="36" t="str">
        <f ca="1">IFERROR(__xludf.DUMMYFUNCTION("""COMPUTED_VALUE"""),"1-2'")</f>
        <v>1-2'</v>
      </c>
      <c r="F92" s="38">
        <f ca="1">IFERROR(__xludf.DUMMYFUNCTION("""COMPUTED_VALUE"""),4)</f>
        <v>4</v>
      </c>
      <c r="G92" s="36">
        <f ca="1">IFERROR(__xludf.DUMMYFUNCTION("""COMPUTED_VALUE"""),12)</f>
        <v>12</v>
      </c>
      <c r="H92" s="39">
        <f ca="1">IFERROR(__xludf.DUMMYFUNCTION("""COMPUTED_VALUE"""),75)</f>
        <v>75</v>
      </c>
    </row>
    <row r="93" spans="1:8" ht="12.75">
      <c r="A93" s="36" t="str">
        <f ca="1">IFERROR(__xludf.DUMMYFUNCTION("""COMPUTED_VALUE"""),"Pawpaw - Mango")</f>
        <v>Pawpaw - Mango</v>
      </c>
      <c r="B93" s="36">
        <f ca="1">IFERROR(__xludf.DUMMYFUNCTION("""COMPUTED_VALUE"""),5)</f>
        <v>5</v>
      </c>
      <c r="C93" s="36" t="str">
        <f ca="1">IFERROR(__xludf.DUMMYFUNCTION("""COMPUTED_VALUE"""),"#5")</f>
        <v>#5</v>
      </c>
      <c r="D93" s="37" t="str">
        <f ca="1">IFERROR(__xludf.DUMMYFUNCTION("""COMPUTED_VALUE"""),"0.375-0.375""")</f>
        <v>0.375-0.375"</v>
      </c>
      <c r="E93" s="36" t="str">
        <f ca="1">IFERROR(__xludf.DUMMYFUNCTION("""COMPUTED_VALUE"""),"2-2'")</f>
        <v>2-2'</v>
      </c>
      <c r="F93" s="38">
        <f ca="1">IFERROR(__xludf.DUMMYFUNCTION("""COMPUTED_VALUE"""),1)</f>
        <v>1</v>
      </c>
      <c r="G93" s="36">
        <f ca="1">IFERROR(__xludf.DUMMYFUNCTION("""COMPUTED_VALUE"""),30)</f>
        <v>30</v>
      </c>
      <c r="H93" s="39">
        <f ca="1">IFERROR(__xludf.DUMMYFUNCTION("""COMPUTED_VALUE"""),75)</f>
        <v>75</v>
      </c>
    </row>
    <row r="94" spans="1:8" ht="12.75">
      <c r="A94" s="36" t="str">
        <f ca="1">IFERROR(__xludf.DUMMYFUNCTION("""COMPUTED_VALUE"""),"Pawpaw - Pennsylvania Gold")</f>
        <v>Pawpaw - Pennsylvania Gold</v>
      </c>
      <c r="B94" s="36">
        <f ca="1">IFERROR(__xludf.DUMMYFUNCTION("""COMPUTED_VALUE"""),5)</f>
        <v>5</v>
      </c>
      <c r="C94" s="36" t="str">
        <f ca="1">IFERROR(__xludf.DUMMYFUNCTION("""COMPUTED_VALUE"""),"#5")</f>
        <v>#5</v>
      </c>
      <c r="D94" s="37" t="str">
        <f ca="1">IFERROR(__xludf.DUMMYFUNCTION("""COMPUTED_VALUE"""),"0.25-0.25""")</f>
        <v>0.25-0.25"</v>
      </c>
      <c r="E94" s="36" t="str">
        <f ca="1">IFERROR(__xludf.DUMMYFUNCTION("""COMPUTED_VALUE"""),"1-2'")</f>
        <v>1-2'</v>
      </c>
      <c r="F94" s="38">
        <f ca="1">IFERROR(__xludf.DUMMYFUNCTION("""COMPUTED_VALUE"""),0)</f>
        <v>0</v>
      </c>
      <c r="G94" s="36">
        <f ca="1">IFERROR(__xludf.DUMMYFUNCTION("""COMPUTED_VALUE"""),30)</f>
        <v>30</v>
      </c>
      <c r="H94" s="39">
        <f ca="1">IFERROR(__xludf.DUMMYFUNCTION("""COMPUTED_VALUE"""),75)</f>
        <v>75</v>
      </c>
    </row>
    <row r="95" spans="1:8" ht="12.75">
      <c r="A95" s="36" t="str">
        <f ca="1">IFERROR(__xludf.DUMMYFUNCTION("""COMPUTED_VALUE"""),"Pawpaw - Potomac")</f>
        <v>Pawpaw - Potomac</v>
      </c>
      <c r="B95" s="36">
        <f ca="1">IFERROR(__xludf.DUMMYFUNCTION("""COMPUTED_VALUE"""),5)</f>
        <v>5</v>
      </c>
      <c r="C95" s="36" t="str">
        <f ca="1">IFERROR(__xludf.DUMMYFUNCTION("""COMPUTED_VALUE"""),"#5")</f>
        <v>#5</v>
      </c>
      <c r="D95" s="37" t="str">
        <f ca="1">IFERROR(__xludf.DUMMYFUNCTION("""COMPUTED_VALUE"""),"0.375-0.5""")</f>
        <v>0.375-0.5"</v>
      </c>
      <c r="E95" s="36" t="str">
        <f ca="1">IFERROR(__xludf.DUMMYFUNCTION("""COMPUTED_VALUE"""),"1-3.5'")</f>
        <v>1-3.5'</v>
      </c>
      <c r="F95" s="38">
        <f ca="1">IFERROR(__xludf.DUMMYFUNCTION("""COMPUTED_VALUE"""),9)</f>
        <v>9</v>
      </c>
      <c r="G95" s="36">
        <f ca="1">IFERROR(__xludf.DUMMYFUNCTION("""COMPUTED_VALUE"""),50)</f>
        <v>50</v>
      </c>
      <c r="H95" s="39">
        <f ca="1">IFERROR(__xludf.DUMMYFUNCTION("""COMPUTED_VALUE"""),75)</f>
        <v>75</v>
      </c>
    </row>
    <row r="96" spans="1:8" ht="12.75">
      <c r="A96" s="36" t="str">
        <f ca="1">IFERROR(__xludf.DUMMYFUNCTION("""COMPUTED_VALUE"""),"Pawpaw - Rappahannock")</f>
        <v>Pawpaw - Rappahannock</v>
      </c>
      <c r="B96" s="36">
        <f ca="1">IFERROR(__xludf.DUMMYFUNCTION("""COMPUTED_VALUE"""),5)</f>
        <v>5</v>
      </c>
      <c r="C96" s="36" t="str">
        <f ca="1">IFERROR(__xludf.DUMMYFUNCTION("""COMPUTED_VALUE"""),"#5")</f>
        <v>#5</v>
      </c>
      <c r="D96" s="37" t="str">
        <f ca="1">IFERROR(__xludf.DUMMYFUNCTION("""COMPUTED_VALUE"""),"0.375-0.5""")</f>
        <v>0.375-0.5"</v>
      </c>
      <c r="E96" s="36" t="str">
        <f ca="1">IFERROR(__xludf.DUMMYFUNCTION("""COMPUTED_VALUE"""),"0.5-2'")</f>
        <v>0.5-2'</v>
      </c>
      <c r="F96" s="38">
        <f ca="1">IFERROR(__xludf.DUMMYFUNCTION("""COMPUTED_VALUE"""),1)</f>
        <v>1</v>
      </c>
      <c r="G96" s="36">
        <f ca="1">IFERROR(__xludf.DUMMYFUNCTION("""COMPUTED_VALUE"""),31)</f>
        <v>31</v>
      </c>
      <c r="H96" s="39">
        <f ca="1">IFERROR(__xludf.DUMMYFUNCTION("""COMPUTED_VALUE"""),75)</f>
        <v>75</v>
      </c>
    </row>
    <row r="97" spans="1:8" ht="12.75">
      <c r="A97" s="36" t="str">
        <f ca="1">IFERROR(__xludf.DUMMYFUNCTION("""COMPUTED_VALUE"""),"Pawpaw - Shenandoah")</f>
        <v>Pawpaw - Shenandoah</v>
      </c>
      <c r="B97" s="36">
        <f ca="1">IFERROR(__xludf.DUMMYFUNCTION("""COMPUTED_VALUE"""),5)</f>
        <v>5</v>
      </c>
      <c r="C97" s="36" t="str">
        <f ca="1">IFERROR(__xludf.DUMMYFUNCTION("""COMPUTED_VALUE"""),"#5")</f>
        <v>#5</v>
      </c>
      <c r="D97" s="37" t="str">
        <f ca="1">IFERROR(__xludf.DUMMYFUNCTION("""COMPUTED_VALUE"""),"0.375-0.5""")</f>
        <v>0.375-0.5"</v>
      </c>
      <c r="E97" s="36" t="str">
        <f ca="1">IFERROR(__xludf.DUMMYFUNCTION("""COMPUTED_VALUE"""),"1.5-2'")</f>
        <v>1.5-2'</v>
      </c>
      <c r="F97" s="38">
        <f ca="1">IFERROR(__xludf.DUMMYFUNCTION("""COMPUTED_VALUE"""),3)</f>
        <v>3</v>
      </c>
      <c r="G97" s="36">
        <f ca="1">IFERROR(__xludf.DUMMYFUNCTION("""COMPUTED_VALUE"""),8)</f>
        <v>8</v>
      </c>
      <c r="H97" s="39">
        <f ca="1">IFERROR(__xludf.DUMMYFUNCTION("""COMPUTED_VALUE"""),75)</f>
        <v>75</v>
      </c>
    </row>
    <row r="98" spans="1:8" ht="12.75">
      <c r="A98" s="36" t="str">
        <f ca="1">IFERROR(__xludf.DUMMYFUNCTION("""COMPUTED_VALUE"""),"Pawpaw - Shenandoah")</f>
        <v>Pawpaw - Shenandoah</v>
      </c>
      <c r="B98" s="36">
        <f ca="1">IFERROR(__xludf.DUMMYFUNCTION("""COMPUTED_VALUE"""),7)</f>
        <v>7</v>
      </c>
      <c r="C98" s="36" t="str">
        <f ca="1">IFERROR(__xludf.DUMMYFUNCTION("""COMPUTED_VALUE"""),"#7")</f>
        <v>#7</v>
      </c>
      <c r="D98" s="37" t="str">
        <f ca="1">IFERROR(__xludf.DUMMYFUNCTION("""COMPUTED_VALUE"""),"0.5-0.75""")</f>
        <v>0.5-0.75"</v>
      </c>
      <c r="E98" s="36" t="str">
        <f ca="1">IFERROR(__xludf.DUMMYFUNCTION("""COMPUTED_VALUE"""),"5-6'")</f>
        <v>5-6'</v>
      </c>
      <c r="F98" s="38">
        <f ca="1">IFERROR(__xludf.DUMMYFUNCTION("""COMPUTED_VALUE"""),35)</f>
        <v>35</v>
      </c>
      <c r="G98" s="36">
        <f ca="1">IFERROR(__xludf.DUMMYFUNCTION("""COMPUTED_VALUE"""),0)</f>
        <v>0</v>
      </c>
      <c r="H98" s="39">
        <f ca="1">IFERROR(__xludf.DUMMYFUNCTION("""COMPUTED_VALUE"""),115)</f>
        <v>115</v>
      </c>
    </row>
    <row r="99" spans="1:8" ht="12.75">
      <c r="A99" s="36" t="str">
        <f ca="1">IFERROR(__xludf.DUMMYFUNCTION("""COMPUTED_VALUE"""),"Pawpaw - Wabash")</f>
        <v>Pawpaw - Wabash</v>
      </c>
      <c r="B99" s="36">
        <f ca="1">IFERROR(__xludf.DUMMYFUNCTION("""COMPUTED_VALUE"""),5)</f>
        <v>5</v>
      </c>
      <c r="C99" s="36" t="str">
        <f ca="1">IFERROR(__xludf.DUMMYFUNCTION("""COMPUTED_VALUE"""),"#5")</f>
        <v>#5</v>
      </c>
      <c r="D99" s="37" t="str">
        <f ca="1">IFERROR(__xludf.DUMMYFUNCTION("""COMPUTED_VALUE"""),"0.375-0.5""")</f>
        <v>0.375-0.5"</v>
      </c>
      <c r="E99" s="36" t="str">
        <f ca="1">IFERROR(__xludf.DUMMYFUNCTION("""COMPUTED_VALUE"""),"1-3.5'")</f>
        <v>1-3.5'</v>
      </c>
      <c r="F99" s="38">
        <f ca="1">IFERROR(__xludf.DUMMYFUNCTION("""COMPUTED_VALUE"""),12)</f>
        <v>12</v>
      </c>
      <c r="G99" s="36">
        <f ca="1">IFERROR(__xludf.DUMMYFUNCTION("""COMPUTED_VALUE"""),50)</f>
        <v>50</v>
      </c>
      <c r="H99" s="39">
        <f ca="1">IFERROR(__xludf.DUMMYFUNCTION("""COMPUTED_VALUE"""),75)</f>
        <v>75</v>
      </c>
    </row>
    <row r="100" spans="1:8" ht="12.75">
      <c r="A100" s="36" t="str">
        <f ca="1">IFERROR(__xludf.DUMMYFUNCTION("""COMPUTED_VALUE"""),"Peach - Contender")</f>
        <v>Peach - Contender</v>
      </c>
      <c r="B100" s="36">
        <f ca="1">IFERROR(__xludf.DUMMYFUNCTION("""COMPUTED_VALUE"""),5)</f>
        <v>5</v>
      </c>
      <c r="C100" s="36" t="str">
        <f ca="1">IFERROR(__xludf.DUMMYFUNCTION("""COMPUTED_VALUE"""),"#5")</f>
        <v>#5</v>
      </c>
      <c r="D100" s="37" t="str">
        <f ca="1">IFERROR(__xludf.DUMMYFUNCTION("""COMPUTED_VALUE"""),"0.5-1""")</f>
        <v>0.5-1"</v>
      </c>
      <c r="E100" s="36" t="str">
        <f ca="1">IFERROR(__xludf.DUMMYFUNCTION("""COMPUTED_VALUE"""),"4-7'")</f>
        <v>4-7'</v>
      </c>
      <c r="F100" s="38">
        <f ca="1">IFERROR(__xludf.DUMMYFUNCTION("""COMPUTED_VALUE"""),30)</f>
        <v>30</v>
      </c>
      <c r="G100" s="36">
        <f ca="1">IFERROR(__xludf.DUMMYFUNCTION("""COMPUTED_VALUE"""),0)</f>
        <v>0</v>
      </c>
      <c r="H100" s="39">
        <f ca="1">IFERROR(__xludf.DUMMYFUNCTION("""COMPUTED_VALUE"""),40)</f>
        <v>40</v>
      </c>
    </row>
    <row r="101" spans="1:8" ht="12.75">
      <c r="A101" s="36" t="str">
        <f ca="1">IFERROR(__xludf.DUMMYFUNCTION("""COMPUTED_VALUE"""),"Peach - Elberta")</f>
        <v>Peach - Elberta</v>
      </c>
      <c r="B101" s="36">
        <f ca="1">IFERROR(__xludf.DUMMYFUNCTION("""COMPUTED_VALUE"""),5)</f>
        <v>5</v>
      </c>
      <c r="C101" s="36" t="str">
        <f ca="1">IFERROR(__xludf.DUMMYFUNCTION("""COMPUTED_VALUE"""),"#5")</f>
        <v>#5</v>
      </c>
      <c r="D101" s="37" t="str">
        <f ca="1">IFERROR(__xludf.DUMMYFUNCTION("""COMPUTED_VALUE"""),"0.5-0.75""")</f>
        <v>0.5-0.75"</v>
      </c>
      <c r="E101" s="36" t="str">
        <f ca="1">IFERROR(__xludf.DUMMYFUNCTION("""COMPUTED_VALUE"""),"3-5'")</f>
        <v>3-5'</v>
      </c>
      <c r="F101" s="38">
        <f ca="1">IFERROR(__xludf.DUMMYFUNCTION("""COMPUTED_VALUE"""),18)</f>
        <v>18</v>
      </c>
      <c r="G101" s="36">
        <f ca="1">IFERROR(__xludf.DUMMYFUNCTION("""COMPUTED_VALUE"""),0)</f>
        <v>0</v>
      </c>
      <c r="H101" s="39">
        <f ca="1">IFERROR(__xludf.DUMMYFUNCTION("""COMPUTED_VALUE"""),40)</f>
        <v>40</v>
      </c>
    </row>
    <row r="102" spans="1:8" ht="12.75">
      <c r="A102" s="36" t="str">
        <f ca="1">IFERROR(__xludf.DUMMYFUNCTION("""COMPUTED_VALUE"""),"Peach - Harvester")</f>
        <v>Peach - Harvester</v>
      </c>
      <c r="B102" s="36">
        <f ca="1">IFERROR(__xludf.DUMMYFUNCTION("""COMPUTED_VALUE"""),5)</f>
        <v>5</v>
      </c>
      <c r="C102" s="36" t="str">
        <f ca="1">IFERROR(__xludf.DUMMYFUNCTION("""COMPUTED_VALUE"""),"#5")</f>
        <v>#5</v>
      </c>
      <c r="D102" s="37" t="str">
        <f ca="1">IFERROR(__xludf.DUMMYFUNCTION("""COMPUTED_VALUE"""),"0.75-1""")</f>
        <v>0.75-1"</v>
      </c>
      <c r="E102" s="36" t="str">
        <f ca="1">IFERROR(__xludf.DUMMYFUNCTION("""COMPUTED_VALUE"""),"6-7'")</f>
        <v>6-7'</v>
      </c>
      <c r="F102" s="38">
        <f ca="1">IFERROR(__xludf.DUMMYFUNCTION("""COMPUTED_VALUE"""),41)</f>
        <v>41</v>
      </c>
      <c r="G102" s="36">
        <f ca="1">IFERROR(__xludf.DUMMYFUNCTION("""COMPUTED_VALUE"""),0)</f>
        <v>0</v>
      </c>
      <c r="H102" s="39">
        <f ca="1">IFERROR(__xludf.DUMMYFUNCTION("""COMPUTED_VALUE"""),40)</f>
        <v>40</v>
      </c>
    </row>
    <row r="103" spans="1:8" ht="12.75">
      <c r="A103" s="36" t="str">
        <f ca="1">IFERROR(__xludf.DUMMYFUNCTION("""COMPUTED_VALUE"""),"Peach (Donut White) - Galaxy")</f>
        <v>Peach (Donut White) - Galaxy</v>
      </c>
      <c r="B103" s="36">
        <f ca="1">IFERROR(__xludf.DUMMYFUNCTION("""COMPUTED_VALUE"""),5)</f>
        <v>5</v>
      </c>
      <c r="C103" s="36" t="str">
        <f ca="1">IFERROR(__xludf.DUMMYFUNCTION("""COMPUTED_VALUE"""),"#5")</f>
        <v>#5</v>
      </c>
      <c r="D103" s="37" t="str">
        <f ca="1">IFERROR(__xludf.DUMMYFUNCTION("""COMPUTED_VALUE"""),"0.5-0.75""")</f>
        <v>0.5-0.75"</v>
      </c>
      <c r="E103" s="36" t="str">
        <f ca="1">IFERROR(__xludf.DUMMYFUNCTION("""COMPUTED_VALUE"""),"4-5'")</f>
        <v>4-5'</v>
      </c>
      <c r="F103" s="38">
        <f ca="1">IFERROR(__xludf.DUMMYFUNCTION("""COMPUTED_VALUE"""),13)</f>
        <v>13</v>
      </c>
      <c r="G103" s="36">
        <f ca="1">IFERROR(__xludf.DUMMYFUNCTION("""COMPUTED_VALUE"""),50)</f>
        <v>50</v>
      </c>
      <c r="H103" s="39">
        <f ca="1">IFERROR(__xludf.DUMMYFUNCTION("""COMPUTED_VALUE"""),45)</f>
        <v>45</v>
      </c>
    </row>
    <row r="104" spans="1:8" ht="12.75">
      <c r="A104" s="36" t="str">
        <f ca="1">IFERROR(__xludf.DUMMYFUNCTION("""COMPUTED_VALUE"""),"Peach (Donut White) - Saturn")</f>
        <v>Peach (Donut White) - Saturn</v>
      </c>
      <c r="B104" s="36">
        <f ca="1">IFERROR(__xludf.DUMMYFUNCTION("""COMPUTED_VALUE"""),5)</f>
        <v>5</v>
      </c>
      <c r="C104" s="36" t="str">
        <f ca="1">IFERROR(__xludf.DUMMYFUNCTION("""COMPUTED_VALUE"""),"#5")</f>
        <v>#5</v>
      </c>
      <c r="D104" s="37" t="str">
        <f ca="1">IFERROR(__xludf.DUMMYFUNCTION("""COMPUTED_VALUE"""),"0.75-1""")</f>
        <v>0.75-1"</v>
      </c>
      <c r="E104" s="36" t="str">
        <f ca="1">IFERROR(__xludf.DUMMYFUNCTION("""COMPUTED_VALUE"""),"6-7'")</f>
        <v>6-7'</v>
      </c>
      <c r="F104" s="38">
        <f ca="1">IFERROR(__xludf.DUMMYFUNCTION("""COMPUTED_VALUE"""),45)</f>
        <v>45</v>
      </c>
      <c r="G104" s="36">
        <f ca="1">IFERROR(__xludf.DUMMYFUNCTION("""COMPUTED_VALUE"""),80)</f>
        <v>80</v>
      </c>
      <c r="H104" s="39">
        <f ca="1">IFERROR(__xludf.DUMMYFUNCTION("""COMPUTED_VALUE"""),45)</f>
        <v>45</v>
      </c>
    </row>
    <row r="105" spans="1:8" ht="12.75">
      <c r="A105" s="36" t="str">
        <f ca="1">IFERROR(__xludf.DUMMYFUNCTION("""COMPUTED_VALUE"""),"Peach (White) - Snow Giant")</f>
        <v>Peach (White) - Snow Giant</v>
      </c>
      <c r="B105" s="36">
        <f ca="1">IFERROR(__xludf.DUMMYFUNCTION("""COMPUTED_VALUE"""),5)</f>
        <v>5</v>
      </c>
      <c r="C105" s="36" t="str">
        <f ca="1">IFERROR(__xludf.DUMMYFUNCTION("""COMPUTED_VALUE"""),"#5")</f>
        <v>#5</v>
      </c>
      <c r="D105" s="37" t="str">
        <f ca="1">IFERROR(__xludf.DUMMYFUNCTION("""COMPUTED_VALUE"""),"0.75-1""")</f>
        <v>0.75-1"</v>
      </c>
      <c r="E105" s="36" t="str">
        <f ca="1">IFERROR(__xludf.DUMMYFUNCTION("""COMPUTED_VALUE"""),"5-6'")</f>
        <v>5-6'</v>
      </c>
      <c r="F105" s="38">
        <f ca="1">IFERROR(__xludf.DUMMYFUNCTION("""COMPUTED_VALUE"""),31)</f>
        <v>31</v>
      </c>
      <c r="G105" s="36">
        <f ca="1">IFERROR(__xludf.DUMMYFUNCTION("""COMPUTED_VALUE"""),0)</f>
        <v>0</v>
      </c>
      <c r="H105" s="39">
        <f ca="1">IFERROR(__xludf.DUMMYFUNCTION("""COMPUTED_VALUE"""),40)</f>
        <v>40</v>
      </c>
    </row>
    <row r="106" spans="1:8" ht="12.75">
      <c r="A106" s="36" t="str">
        <f ca="1">IFERROR(__xludf.DUMMYFUNCTION("""COMPUTED_VALUE"""),"Peach (White) - Sugar Giant")</f>
        <v>Peach (White) - Sugar Giant</v>
      </c>
      <c r="B106" s="36">
        <f ca="1">IFERROR(__xludf.DUMMYFUNCTION("""COMPUTED_VALUE"""),5)</f>
        <v>5</v>
      </c>
      <c r="C106" s="36" t="str">
        <f ca="1">IFERROR(__xludf.DUMMYFUNCTION("""COMPUTED_VALUE"""),"#5")</f>
        <v>#5</v>
      </c>
      <c r="D106" s="37" t="str">
        <f ca="1">IFERROR(__xludf.DUMMYFUNCTION("""COMPUTED_VALUE"""),"0.75-1""")</f>
        <v>0.75-1"</v>
      </c>
      <c r="E106" s="36" t="str">
        <f ca="1">IFERROR(__xludf.DUMMYFUNCTION("""COMPUTED_VALUE"""),"5-5'")</f>
        <v>5-5'</v>
      </c>
      <c r="F106" s="38">
        <f ca="1">IFERROR(__xludf.DUMMYFUNCTION("""COMPUTED_VALUE"""),39)</f>
        <v>39</v>
      </c>
      <c r="G106" s="36">
        <f ca="1">IFERROR(__xludf.DUMMYFUNCTION("""COMPUTED_VALUE"""),100)</f>
        <v>100</v>
      </c>
      <c r="H106" s="39">
        <f ca="1">IFERROR(__xludf.DUMMYFUNCTION("""COMPUTED_VALUE"""),40)</f>
        <v>40</v>
      </c>
    </row>
    <row r="107" spans="1:8" ht="12.75">
      <c r="A107" s="36" t="str">
        <f ca="1">IFERROR(__xludf.DUMMYFUNCTION("""COMPUTED_VALUE"""),"Peach (White) - White Lady")</f>
        <v>Peach (White) - White Lady</v>
      </c>
      <c r="B107" s="36">
        <f ca="1">IFERROR(__xludf.DUMMYFUNCTION("""COMPUTED_VALUE"""),5)</f>
        <v>5</v>
      </c>
      <c r="C107" s="36" t="str">
        <f ca="1">IFERROR(__xludf.DUMMYFUNCTION("""COMPUTED_VALUE"""),"#5")</f>
        <v>#5</v>
      </c>
      <c r="D107" s="37" t="str">
        <f ca="1">IFERROR(__xludf.DUMMYFUNCTION("""COMPUTED_VALUE"""),"1-1""")</f>
        <v>1-1"</v>
      </c>
      <c r="E107" s="36" t="str">
        <f ca="1">IFERROR(__xludf.DUMMYFUNCTION("""COMPUTED_VALUE"""),"6-7'")</f>
        <v>6-7'</v>
      </c>
      <c r="F107" s="38">
        <f ca="1">IFERROR(__xludf.DUMMYFUNCTION("""COMPUTED_VALUE"""),78)</f>
        <v>78</v>
      </c>
      <c r="G107" s="36">
        <f ca="1">IFERROR(__xludf.DUMMYFUNCTION("""COMPUTED_VALUE"""),100)</f>
        <v>100</v>
      </c>
      <c r="H107" s="39">
        <f ca="1">IFERROR(__xludf.DUMMYFUNCTION("""COMPUTED_VALUE"""),40)</f>
        <v>40</v>
      </c>
    </row>
    <row r="108" spans="1:8" ht="12.75">
      <c r="A108" s="36" t="str">
        <f ca="1">IFERROR(__xludf.DUMMYFUNCTION("""COMPUTED_VALUE"""),"Pear - Ayers")</f>
        <v>Pear - Ayers</v>
      </c>
      <c r="B108" s="36">
        <f ca="1">IFERROR(__xludf.DUMMYFUNCTION("""COMPUTED_VALUE"""),5)</f>
        <v>5</v>
      </c>
      <c r="C108" s="36" t="str">
        <f ca="1">IFERROR(__xludf.DUMMYFUNCTION("""COMPUTED_VALUE"""),"#5")</f>
        <v>#5</v>
      </c>
      <c r="D108" s="37" t="str">
        <f ca="1">IFERROR(__xludf.DUMMYFUNCTION("""COMPUTED_VALUE"""),"0.75-1""")</f>
        <v>0.75-1"</v>
      </c>
      <c r="E108" s="36" t="str">
        <f ca="1">IFERROR(__xludf.DUMMYFUNCTION("""COMPUTED_VALUE"""),"7-8'")</f>
        <v>7-8'</v>
      </c>
      <c r="F108" s="38">
        <f ca="1">IFERROR(__xludf.DUMMYFUNCTION("""COMPUTED_VALUE"""),29)</f>
        <v>29</v>
      </c>
      <c r="G108" s="36">
        <f ca="1">IFERROR(__xludf.DUMMYFUNCTION("""COMPUTED_VALUE"""),50)</f>
        <v>50</v>
      </c>
      <c r="H108" s="39">
        <f ca="1">IFERROR(__xludf.DUMMYFUNCTION("""COMPUTED_VALUE"""),40)</f>
        <v>40</v>
      </c>
    </row>
    <row r="109" spans="1:8" ht="12.75">
      <c r="A109" s="36" t="str">
        <f ca="1">IFERROR(__xludf.DUMMYFUNCTION("""COMPUTED_VALUE"""),"Pear - Bartlett")</f>
        <v>Pear - Bartlett</v>
      </c>
      <c r="B109" s="36">
        <f ca="1">IFERROR(__xludf.DUMMYFUNCTION("""COMPUTED_VALUE"""),5)</f>
        <v>5</v>
      </c>
      <c r="C109" s="36" t="str">
        <f ca="1">IFERROR(__xludf.DUMMYFUNCTION("""COMPUTED_VALUE"""),"#5")</f>
        <v>#5</v>
      </c>
      <c r="D109" s="37" t="str">
        <f ca="1">IFERROR(__xludf.DUMMYFUNCTION("""COMPUTED_VALUE"""),"0.5-0.75""")</f>
        <v>0.5-0.75"</v>
      </c>
      <c r="E109" s="36" t="str">
        <f ca="1">IFERROR(__xludf.DUMMYFUNCTION("""COMPUTED_VALUE"""),"5-8'")</f>
        <v>5-8'</v>
      </c>
      <c r="F109" s="38">
        <f ca="1">IFERROR(__xludf.DUMMYFUNCTION("""COMPUTED_VALUE"""),65)</f>
        <v>65</v>
      </c>
      <c r="G109" s="36">
        <f ca="1">IFERROR(__xludf.DUMMYFUNCTION("""COMPUTED_VALUE"""),150)</f>
        <v>150</v>
      </c>
      <c r="H109" s="39">
        <f ca="1">IFERROR(__xludf.DUMMYFUNCTION("""COMPUTED_VALUE"""),40)</f>
        <v>40</v>
      </c>
    </row>
    <row r="110" spans="1:8" ht="12.75">
      <c r="A110" s="36" t="str">
        <f ca="1">IFERROR(__xludf.DUMMYFUNCTION("""COMPUTED_VALUE"""),"Pear - Golden Russet Bosc")</f>
        <v>Pear - Golden Russet Bosc</v>
      </c>
      <c r="B110" s="36">
        <f ca="1">IFERROR(__xludf.DUMMYFUNCTION("""COMPUTED_VALUE"""),5)</f>
        <v>5</v>
      </c>
      <c r="C110" s="36" t="str">
        <f ca="1">IFERROR(__xludf.DUMMYFUNCTION("""COMPUTED_VALUE"""),"#5")</f>
        <v>#5</v>
      </c>
      <c r="D110" s="37" t="str">
        <f ca="1">IFERROR(__xludf.DUMMYFUNCTION("""COMPUTED_VALUE"""),"0.75-1""")</f>
        <v>0.75-1"</v>
      </c>
      <c r="E110" s="36" t="str">
        <f ca="1">IFERROR(__xludf.DUMMYFUNCTION("""COMPUTED_VALUE"""),"7-8'")</f>
        <v>7-8'</v>
      </c>
      <c r="F110" s="38">
        <f ca="1">IFERROR(__xludf.DUMMYFUNCTION("""COMPUTED_VALUE"""),25)</f>
        <v>25</v>
      </c>
      <c r="G110" s="36">
        <f ca="1">IFERROR(__xludf.DUMMYFUNCTION("""COMPUTED_VALUE"""),100)</f>
        <v>100</v>
      </c>
      <c r="H110" s="39">
        <f ca="1">IFERROR(__xludf.DUMMYFUNCTION("""COMPUTED_VALUE"""),40)</f>
        <v>40</v>
      </c>
    </row>
    <row r="111" spans="1:8" ht="12.75">
      <c r="A111" s="36" t="str">
        <f ca="1">IFERROR(__xludf.DUMMYFUNCTION("""COMPUTED_VALUE"""),"Pear - Harrow Crisp")</f>
        <v>Pear - Harrow Crisp</v>
      </c>
      <c r="B111" s="36">
        <f ca="1">IFERROR(__xludf.DUMMYFUNCTION("""COMPUTED_VALUE"""),5)</f>
        <v>5</v>
      </c>
      <c r="C111" s="36" t="str">
        <f ca="1">IFERROR(__xludf.DUMMYFUNCTION("""COMPUTED_VALUE"""),"#5")</f>
        <v>#5</v>
      </c>
      <c r="D111" s="37" t="str">
        <f ca="1">IFERROR(__xludf.DUMMYFUNCTION("""COMPUTED_VALUE"""),"0.5-0.75""")</f>
        <v>0.5-0.75"</v>
      </c>
      <c r="E111" s="36" t="str">
        <f ca="1">IFERROR(__xludf.DUMMYFUNCTION("""COMPUTED_VALUE"""),"6-6'")</f>
        <v>6-6'</v>
      </c>
      <c r="F111" s="38">
        <f ca="1">IFERROR(__xludf.DUMMYFUNCTION("""COMPUTED_VALUE"""),2)</f>
        <v>2</v>
      </c>
      <c r="G111" s="36">
        <f ca="1">IFERROR(__xludf.DUMMYFUNCTION("""COMPUTED_VALUE"""),0)</f>
        <v>0</v>
      </c>
      <c r="H111" s="39">
        <f ca="1">IFERROR(__xludf.DUMMYFUNCTION("""COMPUTED_VALUE"""),40)</f>
        <v>40</v>
      </c>
    </row>
    <row r="112" spans="1:8" ht="12.75">
      <c r="A112" s="36" t="str">
        <f ca="1">IFERROR(__xludf.DUMMYFUNCTION("""COMPUTED_VALUE"""),"Pear - Harrowsweet")</f>
        <v>Pear - Harrowsweet</v>
      </c>
      <c r="B112" s="36">
        <f ca="1">IFERROR(__xludf.DUMMYFUNCTION("""COMPUTED_VALUE"""),5)</f>
        <v>5</v>
      </c>
      <c r="C112" s="36" t="str">
        <f ca="1">IFERROR(__xludf.DUMMYFUNCTION("""COMPUTED_VALUE"""),"#5")</f>
        <v>#5</v>
      </c>
      <c r="D112" s="37" t="str">
        <f ca="1">IFERROR(__xludf.DUMMYFUNCTION("""COMPUTED_VALUE"""),"0.5-0.75""")</f>
        <v>0.5-0.75"</v>
      </c>
      <c r="E112" s="36" t="str">
        <f ca="1">IFERROR(__xludf.DUMMYFUNCTION("""COMPUTED_VALUE"""),"6-7'")</f>
        <v>6-7'</v>
      </c>
      <c r="F112" s="38">
        <f ca="1">IFERROR(__xludf.DUMMYFUNCTION("""COMPUTED_VALUE"""),16)</f>
        <v>16</v>
      </c>
      <c r="G112" s="36">
        <f ca="1">IFERROR(__xludf.DUMMYFUNCTION("""COMPUTED_VALUE"""),50)</f>
        <v>50</v>
      </c>
      <c r="H112" s="39">
        <f ca="1">IFERROR(__xludf.DUMMYFUNCTION("""COMPUTED_VALUE"""),40)</f>
        <v>40</v>
      </c>
    </row>
    <row r="113" spans="1:8" ht="12.75">
      <c r="A113" s="36" t="str">
        <f ca="1">IFERROR(__xludf.DUMMYFUNCTION("""COMPUTED_VALUE"""),"Pear - Kieffer")</f>
        <v>Pear - Kieffer</v>
      </c>
      <c r="B113" s="36">
        <f ca="1">IFERROR(__xludf.DUMMYFUNCTION("""COMPUTED_VALUE"""),7)</f>
        <v>7</v>
      </c>
      <c r="C113" s="36" t="str">
        <f ca="1">IFERROR(__xludf.DUMMYFUNCTION("""COMPUTED_VALUE"""),"#7")</f>
        <v>#7</v>
      </c>
      <c r="D113" s="37" t="str">
        <f ca="1">IFERROR(__xludf.DUMMYFUNCTION("""COMPUTED_VALUE"""),"0.5-0.5""")</f>
        <v>0.5-0.5"</v>
      </c>
      <c r="E113" s="36" t="str">
        <f ca="1">IFERROR(__xludf.DUMMYFUNCTION("""COMPUTED_VALUE"""),"7-7'")</f>
        <v>7-7'</v>
      </c>
      <c r="F113" s="38">
        <f ca="1">IFERROR(__xludf.DUMMYFUNCTION("""COMPUTED_VALUE"""),2)</f>
        <v>2</v>
      </c>
      <c r="G113" s="36">
        <f ca="1">IFERROR(__xludf.DUMMYFUNCTION("""COMPUTED_VALUE"""),10)</f>
        <v>10</v>
      </c>
      <c r="H113" s="39">
        <f ca="1">IFERROR(__xludf.DUMMYFUNCTION("""COMPUTED_VALUE"""),55)</f>
        <v>55</v>
      </c>
    </row>
    <row r="114" spans="1:8" ht="12.75">
      <c r="A114" s="36" t="str">
        <f ca="1">IFERROR(__xludf.DUMMYFUNCTION("""COMPUTED_VALUE"""),"Pear - Moonglow")</f>
        <v>Pear - Moonglow</v>
      </c>
      <c r="B114" s="36">
        <f ca="1">IFERROR(__xludf.DUMMYFUNCTION("""COMPUTED_VALUE"""),5)</f>
        <v>5</v>
      </c>
      <c r="C114" s="36" t="str">
        <f ca="1">IFERROR(__xludf.DUMMYFUNCTION("""COMPUTED_VALUE"""),"#5")</f>
        <v>#5</v>
      </c>
      <c r="D114" s="37" t="str">
        <f ca="1">IFERROR(__xludf.DUMMYFUNCTION("""COMPUTED_VALUE"""),"0.75-1""")</f>
        <v>0.75-1"</v>
      </c>
      <c r="E114" s="36" t="str">
        <f ca="1">IFERROR(__xludf.DUMMYFUNCTION("""COMPUTED_VALUE"""),"5-7'")</f>
        <v>5-7'</v>
      </c>
      <c r="F114" s="38">
        <f ca="1">IFERROR(__xludf.DUMMYFUNCTION("""COMPUTED_VALUE"""),5)</f>
        <v>5</v>
      </c>
      <c r="G114" s="36">
        <f ca="1">IFERROR(__xludf.DUMMYFUNCTION("""COMPUTED_VALUE"""),50)</f>
        <v>50</v>
      </c>
      <c r="H114" s="39">
        <f ca="1">IFERROR(__xludf.DUMMYFUNCTION("""COMPUTED_VALUE"""),40)</f>
        <v>40</v>
      </c>
    </row>
    <row r="115" spans="1:8" ht="12.75">
      <c r="A115" s="36" t="str">
        <f ca="1">IFERROR(__xludf.DUMMYFUNCTION("""COMPUTED_VALUE"""),"Pecan - Choctaw")</f>
        <v>Pecan - Choctaw</v>
      </c>
      <c r="B115" s="36">
        <f ca="1">IFERROR(__xludf.DUMMYFUNCTION("""COMPUTED_VALUE"""),5)</f>
        <v>5</v>
      </c>
      <c r="C115" s="36" t="str">
        <f ca="1">IFERROR(__xludf.DUMMYFUNCTION("""COMPUTED_VALUE"""),"#5 tall plastic")</f>
        <v>#5 tall plastic</v>
      </c>
      <c r="D115" s="37" t="str">
        <f ca="1">IFERROR(__xludf.DUMMYFUNCTION("""COMPUTED_VALUE"""),"0.75-1""")</f>
        <v>0.75-1"</v>
      </c>
      <c r="E115" s="36" t="str">
        <f ca="1">IFERROR(__xludf.DUMMYFUNCTION("""COMPUTED_VALUE"""),"8-10'")</f>
        <v>8-10'</v>
      </c>
      <c r="F115" s="38">
        <f ca="1">IFERROR(__xludf.DUMMYFUNCTION("""COMPUTED_VALUE"""),4)</f>
        <v>4</v>
      </c>
      <c r="G115" s="36">
        <f ca="1">IFERROR(__xludf.DUMMYFUNCTION("""COMPUTED_VALUE"""),0)</f>
        <v>0</v>
      </c>
      <c r="H115" s="39">
        <f ca="1">IFERROR(__xludf.DUMMYFUNCTION("""COMPUTED_VALUE"""),100)</f>
        <v>100</v>
      </c>
    </row>
    <row r="116" spans="1:8" ht="12.75">
      <c r="A116" s="36" t="str">
        <f ca="1">IFERROR(__xludf.DUMMYFUNCTION("""COMPUTED_VALUE"""),"Pecan - Moreland")</f>
        <v>Pecan - Moreland</v>
      </c>
      <c r="B116" s="36">
        <f ca="1">IFERROR(__xludf.DUMMYFUNCTION("""COMPUTED_VALUE"""),5)</f>
        <v>5</v>
      </c>
      <c r="C116" s="36" t="str">
        <f ca="1">IFERROR(__xludf.DUMMYFUNCTION("""COMPUTED_VALUE"""),"#5 tall plastic")</f>
        <v>#5 tall plastic</v>
      </c>
      <c r="D116" s="37" t="str">
        <f ca="1">IFERROR(__xludf.DUMMYFUNCTION("""COMPUTED_VALUE"""),"0.75-0.75""")</f>
        <v>0.75-0.75"</v>
      </c>
      <c r="E116" s="36" t="str">
        <f ca="1">IFERROR(__xludf.DUMMYFUNCTION("""COMPUTED_VALUE"""),"5-5'")</f>
        <v>5-5'</v>
      </c>
      <c r="F116" s="38">
        <f ca="1">IFERROR(__xludf.DUMMYFUNCTION("""COMPUTED_VALUE"""),2)</f>
        <v>2</v>
      </c>
      <c r="G116" s="36">
        <f ca="1">IFERROR(__xludf.DUMMYFUNCTION("""COMPUTED_VALUE"""),0)</f>
        <v>0</v>
      </c>
      <c r="H116" s="39">
        <f ca="1">IFERROR(__xludf.DUMMYFUNCTION("""COMPUTED_VALUE"""),100)</f>
        <v>100</v>
      </c>
    </row>
    <row r="117" spans="1:8" ht="12.75">
      <c r="A117" s="36" t="str">
        <f ca="1">IFERROR(__xludf.DUMMYFUNCTION("""COMPUTED_VALUE"""),"Pecan - Oconee")</f>
        <v>Pecan - Oconee</v>
      </c>
      <c r="B117" s="36">
        <f ca="1">IFERROR(__xludf.DUMMYFUNCTION("""COMPUTED_VALUE"""),5)</f>
        <v>5</v>
      </c>
      <c r="C117" s="36" t="str">
        <f ca="1">IFERROR(__xludf.DUMMYFUNCTION("""COMPUTED_VALUE"""),"#5 tall plastic")</f>
        <v>#5 tall plastic</v>
      </c>
      <c r="D117" s="37" t="str">
        <f ca="1">IFERROR(__xludf.DUMMYFUNCTION("""COMPUTED_VALUE"""),"1-1""")</f>
        <v>1-1"</v>
      </c>
      <c r="E117" s="36" t="str">
        <f ca="1">IFERROR(__xludf.DUMMYFUNCTION("""COMPUTED_VALUE"""),"8-9'")</f>
        <v>8-9'</v>
      </c>
      <c r="F117" s="38">
        <f ca="1">IFERROR(__xludf.DUMMYFUNCTION("""COMPUTED_VALUE"""),5)</f>
        <v>5</v>
      </c>
      <c r="G117" s="36">
        <f ca="1">IFERROR(__xludf.DUMMYFUNCTION("""COMPUTED_VALUE"""),0)</f>
        <v>0</v>
      </c>
      <c r="H117" s="39">
        <f ca="1">IFERROR(__xludf.DUMMYFUNCTION("""COMPUTED_VALUE"""),100)</f>
        <v>100</v>
      </c>
    </row>
    <row r="118" spans="1:8" ht="12.75">
      <c r="A118" s="36" t="str">
        <f ca="1">IFERROR(__xludf.DUMMYFUNCTION("""COMPUTED_VALUE"""),"Pecan - Pawnee")</f>
        <v>Pecan - Pawnee</v>
      </c>
      <c r="B118" s="36" t="str">
        <f ca="1">IFERROR(__xludf.DUMMYFUNCTION("""COMPUTED_VALUE"""),"5 Tall Plastic")</f>
        <v>5 Tall Plastic</v>
      </c>
      <c r="C118" s="36" t="str">
        <f ca="1">IFERROR(__xludf.DUMMYFUNCTION("""COMPUTED_VALUE"""),"#5 Tall Plastic")</f>
        <v>#5 Tall Plastic</v>
      </c>
      <c r="D118" s="37" t="str">
        <f ca="1">IFERROR(__xludf.DUMMYFUNCTION("""COMPUTED_VALUE"""),"0.75-1""")</f>
        <v>0.75-1"</v>
      </c>
      <c r="E118" s="36" t="str">
        <f ca="1">IFERROR(__xludf.DUMMYFUNCTION("""COMPUTED_VALUE"""),"6-8'")</f>
        <v>6-8'</v>
      </c>
      <c r="F118" s="38">
        <f ca="1">IFERROR(__xludf.DUMMYFUNCTION("""COMPUTED_VALUE"""),3)</f>
        <v>3</v>
      </c>
      <c r="G118" s="36">
        <f ca="1">IFERROR(__xludf.DUMMYFUNCTION("""COMPUTED_VALUE"""),0)</f>
        <v>0</v>
      </c>
      <c r="H118" s="39">
        <f ca="1">IFERROR(__xludf.DUMMYFUNCTION("""COMPUTED_VALUE"""),100)</f>
        <v>100</v>
      </c>
    </row>
    <row r="119" spans="1:8" ht="12.75">
      <c r="A119" s="36" t="str">
        <f ca="1">IFERROR(__xludf.DUMMYFUNCTION("""COMPUTED_VALUE"""),"Persimmon - Fuyu")</f>
        <v>Persimmon - Fuyu</v>
      </c>
      <c r="B119" s="36">
        <f ca="1">IFERROR(__xludf.DUMMYFUNCTION("""COMPUTED_VALUE"""),5)</f>
        <v>5</v>
      </c>
      <c r="C119" s="36" t="str">
        <f ca="1">IFERROR(__xludf.DUMMYFUNCTION("""COMPUTED_VALUE"""),"#5")</f>
        <v>#5</v>
      </c>
      <c r="D119" s="37" t="str">
        <f ca="1">IFERROR(__xludf.DUMMYFUNCTION("""COMPUTED_VALUE"""),"0-0.5""")</f>
        <v>0-0.5"</v>
      </c>
      <c r="E119" s="36" t="str">
        <f ca="1">IFERROR(__xludf.DUMMYFUNCTION("""COMPUTED_VALUE"""),"0-5'")</f>
        <v>0-5'</v>
      </c>
      <c r="F119" s="38">
        <f ca="1">IFERROR(__xludf.DUMMYFUNCTION("""COMPUTED_VALUE"""),0)</f>
        <v>0</v>
      </c>
      <c r="G119" s="36">
        <f ca="1">IFERROR(__xludf.DUMMYFUNCTION("""COMPUTED_VALUE"""),150)</f>
        <v>150</v>
      </c>
      <c r="H119" s="39">
        <f ca="1">IFERROR(__xludf.DUMMYFUNCTION("""COMPUTED_VALUE"""),75)</f>
        <v>75</v>
      </c>
    </row>
    <row r="120" spans="1:8" ht="12.75">
      <c r="A120" s="36" t="str">
        <f ca="1">IFERROR(__xludf.DUMMYFUNCTION("""COMPUTED_VALUE"""),"Persimmon - Rosseyanka")</f>
        <v>Persimmon - Rosseyanka</v>
      </c>
      <c r="B120" s="36">
        <f ca="1">IFERROR(__xludf.DUMMYFUNCTION("""COMPUTED_VALUE"""),5)</f>
        <v>5</v>
      </c>
      <c r="C120" s="36" t="str">
        <f ca="1">IFERROR(__xludf.DUMMYFUNCTION("""COMPUTED_VALUE"""),"#5")</f>
        <v>#5</v>
      </c>
      <c r="D120" s="37" t="str">
        <f ca="1">IFERROR(__xludf.DUMMYFUNCTION("""COMPUTED_VALUE"""),"0.75-1""")</f>
        <v>0.75-1"</v>
      </c>
      <c r="E120" s="36" t="str">
        <f ca="1">IFERROR(__xludf.DUMMYFUNCTION("""COMPUTED_VALUE"""),"7-8'")</f>
        <v>7-8'</v>
      </c>
      <c r="F120" s="38">
        <f ca="1">IFERROR(__xludf.DUMMYFUNCTION("""COMPUTED_VALUE"""),1)</f>
        <v>1</v>
      </c>
      <c r="G120" s="36">
        <f ca="1">IFERROR(__xludf.DUMMYFUNCTION("""COMPUTED_VALUE"""),0)</f>
        <v>0</v>
      </c>
      <c r="H120" s="39">
        <f ca="1">IFERROR(__xludf.DUMMYFUNCTION("""COMPUTED_VALUE"""),60)</f>
        <v>60</v>
      </c>
    </row>
    <row r="121" spans="1:8" ht="12.75">
      <c r="A121" s="36" t="str">
        <f ca="1">IFERROR(__xludf.DUMMYFUNCTION("""COMPUTED_VALUE"""),"Persimmon - Rosseyanka")</f>
        <v>Persimmon - Rosseyanka</v>
      </c>
      <c r="B121" s="36">
        <f ca="1">IFERROR(__xludf.DUMMYFUNCTION("""COMPUTED_VALUE"""),10)</f>
        <v>10</v>
      </c>
      <c r="C121" s="36" t="str">
        <f ca="1">IFERROR(__xludf.DUMMYFUNCTION("""COMPUTED_VALUE"""),"#10")</f>
        <v>#10</v>
      </c>
      <c r="D121" s="37" t="str">
        <f ca="1">IFERROR(__xludf.DUMMYFUNCTION("""COMPUTED_VALUE"""),"0.25-0.75""")</f>
        <v>0.25-0.75"</v>
      </c>
      <c r="E121" s="36" t="str">
        <f ca="1">IFERROR(__xludf.DUMMYFUNCTION("""COMPUTED_VALUE"""),"5-7'")</f>
        <v>5-7'</v>
      </c>
      <c r="F121" s="38">
        <f ca="1">IFERROR(__xludf.DUMMYFUNCTION("""COMPUTED_VALUE"""),9)</f>
        <v>9</v>
      </c>
      <c r="G121" s="36">
        <f ca="1">IFERROR(__xludf.DUMMYFUNCTION("""COMPUTED_VALUE"""),0)</f>
        <v>0</v>
      </c>
      <c r="H121" s="39">
        <f ca="1">IFERROR(__xludf.DUMMYFUNCTION("""COMPUTED_VALUE"""),95)</f>
        <v>95</v>
      </c>
    </row>
    <row r="122" spans="1:8" ht="12.75">
      <c r="A122" s="36" t="str">
        <f ca="1">IFERROR(__xludf.DUMMYFUNCTION("""COMPUTED_VALUE"""),"Persimmon - Rosseyanka")</f>
        <v>Persimmon - Rosseyanka</v>
      </c>
      <c r="B122" s="36">
        <f ca="1">IFERROR(__xludf.DUMMYFUNCTION("""COMPUTED_VALUE"""),15)</f>
        <v>15</v>
      </c>
      <c r="C122" s="36" t="str">
        <f ca="1">IFERROR(__xludf.DUMMYFUNCTION("""COMPUTED_VALUE"""),"#15")</f>
        <v>#15</v>
      </c>
      <c r="D122" s="37" t="str">
        <f ca="1">IFERROR(__xludf.DUMMYFUNCTION("""COMPUTED_VALUE"""),"0.25-0.75""")</f>
        <v>0.25-0.75"</v>
      </c>
      <c r="E122" s="36" t="str">
        <f ca="1">IFERROR(__xludf.DUMMYFUNCTION("""COMPUTED_VALUE"""),"5-7'")</f>
        <v>5-7'</v>
      </c>
      <c r="F122" s="38">
        <f ca="1">IFERROR(__xludf.DUMMYFUNCTION("""COMPUTED_VALUE"""),1)</f>
        <v>1</v>
      </c>
      <c r="G122" s="36">
        <f ca="1">IFERROR(__xludf.DUMMYFUNCTION("""COMPUTED_VALUE"""),0)</f>
        <v>0</v>
      </c>
      <c r="H122" s="39">
        <f ca="1">IFERROR(__xludf.DUMMYFUNCTION("""COMPUTED_VALUE"""),115)</f>
        <v>115</v>
      </c>
    </row>
    <row r="123" spans="1:8" ht="12.75">
      <c r="A123" s="36" t="str">
        <f ca="1">IFERROR(__xludf.DUMMYFUNCTION("""COMPUTED_VALUE"""),"Persimmon - Rosseyanka")</f>
        <v>Persimmon - Rosseyanka</v>
      </c>
      <c r="B123" s="36">
        <f ca="1">IFERROR(__xludf.DUMMYFUNCTION("""COMPUTED_VALUE"""),25)</f>
        <v>25</v>
      </c>
      <c r="C123" s="36" t="str">
        <f ca="1">IFERROR(__xludf.DUMMYFUNCTION("""COMPUTED_VALUE"""),"#25")</f>
        <v>#25</v>
      </c>
      <c r="D123" s="37" t="str">
        <f ca="1">IFERROR(__xludf.DUMMYFUNCTION("""COMPUTED_VALUE"""),"0.5-1""")</f>
        <v>0.5-1"</v>
      </c>
      <c r="E123" s="36" t="str">
        <f ca="1">IFERROR(__xludf.DUMMYFUNCTION("""COMPUTED_VALUE"""),"7-10'")</f>
        <v>7-10'</v>
      </c>
      <c r="F123" s="38">
        <f ca="1">IFERROR(__xludf.DUMMYFUNCTION("""COMPUTED_VALUE"""),2)</f>
        <v>2</v>
      </c>
      <c r="G123" s="36">
        <f ca="1">IFERROR(__xludf.DUMMYFUNCTION("""COMPUTED_VALUE"""),0)</f>
        <v>0</v>
      </c>
      <c r="H123" s="39">
        <f ca="1">IFERROR(__xludf.DUMMYFUNCTION("""COMPUTED_VALUE"""),150)</f>
        <v>150</v>
      </c>
    </row>
    <row r="124" spans="1:8" ht="12.75">
      <c r="A124" s="36" t="str">
        <f ca="1">IFERROR(__xludf.DUMMYFUNCTION("""COMPUTED_VALUE"""),"Plum - Green Gage")</f>
        <v>Plum - Green Gage</v>
      </c>
      <c r="B124" s="36">
        <f ca="1">IFERROR(__xludf.DUMMYFUNCTION("""COMPUTED_VALUE"""),5)</f>
        <v>5</v>
      </c>
      <c r="C124" s="36" t="str">
        <f ca="1">IFERROR(__xludf.DUMMYFUNCTION("""COMPUTED_VALUE"""),"#5")</f>
        <v>#5</v>
      </c>
      <c r="D124" s="37" t="str">
        <f ca="1">IFERROR(__xludf.DUMMYFUNCTION("""COMPUTED_VALUE"""),"0.75-1""")</f>
        <v>0.75-1"</v>
      </c>
      <c r="E124" s="36" t="str">
        <f ca="1">IFERROR(__xludf.DUMMYFUNCTION("""COMPUTED_VALUE"""),"6-7'")</f>
        <v>6-7'</v>
      </c>
      <c r="F124" s="38">
        <f ca="1">IFERROR(__xludf.DUMMYFUNCTION("""COMPUTED_VALUE"""),11)</f>
        <v>11</v>
      </c>
      <c r="G124" s="36">
        <f ca="1">IFERROR(__xludf.DUMMYFUNCTION("""COMPUTED_VALUE"""),50)</f>
        <v>50</v>
      </c>
      <c r="H124" s="39">
        <f ca="1">IFERROR(__xludf.DUMMYFUNCTION("""COMPUTED_VALUE"""),40)</f>
        <v>40</v>
      </c>
    </row>
    <row r="125" spans="1:8" ht="12.75">
      <c r="A125" s="36" t="str">
        <f ca="1">IFERROR(__xludf.DUMMYFUNCTION("""COMPUTED_VALUE"""),"Plum - Methley")</f>
        <v>Plum - Methley</v>
      </c>
      <c r="B125" s="36">
        <f ca="1">IFERROR(__xludf.DUMMYFUNCTION("""COMPUTED_VALUE"""),5)</f>
        <v>5</v>
      </c>
      <c r="C125" s="36" t="str">
        <f ca="1">IFERROR(__xludf.DUMMYFUNCTION("""COMPUTED_VALUE"""),"#5")</f>
        <v>#5</v>
      </c>
      <c r="D125" s="37" t="str">
        <f ca="1">IFERROR(__xludf.DUMMYFUNCTION("""COMPUTED_VALUE"""),"0.25-0.5""")</f>
        <v>0.25-0.5"</v>
      </c>
      <c r="E125" s="36" t="str">
        <f ca="1">IFERROR(__xludf.DUMMYFUNCTION("""COMPUTED_VALUE"""),"6-7'")</f>
        <v>6-7'</v>
      </c>
      <c r="F125" s="38">
        <f ca="1">IFERROR(__xludf.DUMMYFUNCTION("""COMPUTED_VALUE"""),1)</f>
        <v>1</v>
      </c>
      <c r="G125" s="36">
        <f ca="1">IFERROR(__xludf.DUMMYFUNCTION("""COMPUTED_VALUE"""),150)</f>
        <v>150</v>
      </c>
      <c r="H125" s="39">
        <f ca="1">IFERROR(__xludf.DUMMYFUNCTION("""COMPUTED_VALUE"""),40)</f>
        <v>40</v>
      </c>
    </row>
    <row r="126" spans="1:8" ht="12.75">
      <c r="A126" s="36" t="str">
        <f ca="1">IFERROR(__xludf.DUMMYFUNCTION("""COMPUTED_VALUE"""),"Plum - NY9")</f>
        <v>Plum - NY9</v>
      </c>
      <c r="B126" s="36">
        <f ca="1">IFERROR(__xludf.DUMMYFUNCTION("""COMPUTED_VALUE"""),5)</f>
        <v>5</v>
      </c>
      <c r="C126" s="36" t="str">
        <f ca="1">IFERROR(__xludf.DUMMYFUNCTION("""COMPUTED_VALUE"""),"#5")</f>
        <v>#5</v>
      </c>
      <c r="D126" s="37" t="str">
        <f ca="1">IFERROR(__xludf.DUMMYFUNCTION("""COMPUTED_VALUE"""),"0.5-0.75""")</f>
        <v>0.5-0.75"</v>
      </c>
      <c r="E126" s="36" t="str">
        <f ca="1">IFERROR(__xludf.DUMMYFUNCTION("""COMPUTED_VALUE"""),"5-7'")</f>
        <v>5-7'</v>
      </c>
      <c r="F126" s="38">
        <f ca="1">IFERROR(__xludf.DUMMYFUNCTION("""COMPUTED_VALUE"""),60)</f>
        <v>60</v>
      </c>
      <c r="G126" s="36">
        <f ca="1">IFERROR(__xludf.DUMMYFUNCTION("""COMPUTED_VALUE"""),50)</f>
        <v>50</v>
      </c>
      <c r="H126" s="39">
        <f ca="1">IFERROR(__xludf.DUMMYFUNCTION("""COMPUTED_VALUE"""),40)</f>
        <v>40</v>
      </c>
    </row>
    <row r="127" spans="1:8" ht="12.75">
      <c r="A127" s="36" t="str">
        <f ca="1">IFERROR(__xludf.DUMMYFUNCTION("""COMPUTED_VALUE"""),"Plum - Santa Rosa")</f>
        <v>Plum - Santa Rosa</v>
      </c>
      <c r="B127" s="36">
        <f ca="1">IFERROR(__xludf.DUMMYFUNCTION("""COMPUTED_VALUE"""),5)</f>
        <v>5</v>
      </c>
      <c r="C127" s="36" t="str">
        <f ca="1">IFERROR(__xludf.DUMMYFUNCTION("""COMPUTED_VALUE"""),"#5")</f>
        <v>#5</v>
      </c>
      <c r="D127" s="37" t="str">
        <f ca="1">IFERROR(__xludf.DUMMYFUNCTION("""COMPUTED_VALUE"""),"1-1.25""")</f>
        <v>1-1.25"</v>
      </c>
      <c r="E127" s="36" t="str">
        <f ca="1">IFERROR(__xludf.DUMMYFUNCTION("""COMPUTED_VALUE"""),"6-7'")</f>
        <v>6-7'</v>
      </c>
      <c r="F127" s="38">
        <f ca="1">IFERROR(__xludf.DUMMYFUNCTION("""COMPUTED_VALUE"""),3)</f>
        <v>3</v>
      </c>
      <c r="G127" s="36">
        <f ca="1">IFERROR(__xludf.DUMMYFUNCTION("""COMPUTED_VALUE"""),275)</f>
        <v>275</v>
      </c>
      <c r="H127" s="39">
        <f ca="1">IFERROR(__xludf.DUMMYFUNCTION("""COMPUTED_VALUE"""),40)</f>
        <v>40</v>
      </c>
    </row>
    <row r="128" spans="1:8" ht="12.75">
      <c r="A128" s="36" t="str">
        <f ca="1">IFERROR(__xludf.DUMMYFUNCTION("""COMPUTED_VALUE"""),"Plum (cherry) - Sweet Pixie 2")</f>
        <v>Plum (cherry) - Sweet Pixie 2</v>
      </c>
      <c r="B128" s="36">
        <f ca="1">IFERROR(__xludf.DUMMYFUNCTION("""COMPUTED_VALUE"""),5)</f>
        <v>5</v>
      </c>
      <c r="C128" s="36" t="str">
        <f ca="1">IFERROR(__xludf.DUMMYFUNCTION("""COMPUTED_VALUE"""),"#5")</f>
        <v>#5</v>
      </c>
      <c r="D128" s="37" t="str">
        <f ca="1">IFERROR(__xludf.DUMMYFUNCTION("""COMPUTED_VALUE"""),"1-1.25""")</f>
        <v>1-1.25"</v>
      </c>
      <c r="E128" s="36" t="str">
        <f ca="1">IFERROR(__xludf.DUMMYFUNCTION("""COMPUTED_VALUE"""),"7-8'")</f>
        <v>7-8'</v>
      </c>
      <c r="F128" s="38">
        <f ca="1">IFERROR(__xludf.DUMMYFUNCTION("""COMPUTED_VALUE"""),7)</f>
        <v>7</v>
      </c>
      <c r="G128" s="36">
        <f ca="1">IFERROR(__xludf.DUMMYFUNCTION("""COMPUTED_VALUE"""),30)</f>
        <v>30</v>
      </c>
      <c r="H128" s="39">
        <f ca="1">IFERROR(__xludf.DUMMYFUNCTION("""COMPUTED_VALUE"""),55)</f>
        <v>55</v>
      </c>
    </row>
    <row r="129" spans="1:8" ht="12.75">
      <c r="A129" s="36" t="str">
        <f ca="1">IFERROR(__xludf.DUMMYFUNCTION("""COMPUTED_VALUE"""),"Plumcot - Spring Satin")</f>
        <v>Plumcot - Spring Satin</v>
      </c>
      <c r="B129" s="36">
        <f ca="1">IFERROR(__xludf.DUMMYFUNCTION("""COMPUTED_VALUE"""),5)</f>
        <v>5</v>
      </c>
      <c r="C129" s="36" t="str">
        <f ca="1">IFERROR(__xludf.DUMMYFUNCTION("""COMPUTED_VALUE"""),"#5")</f>
        <v>#5</v>
      </c>
      <c r="D129" s="37" t="str">
        <f ca="1">IFERROR(__xludf.DUMMYFUNCTION("""COMPUTED_VALUE"""),"0.75-1""")</f>
        <v>0.75-1"</v>
      </c>
      <c r="E129" s="36" t="str">
        <f ca="1">IFERROR(__xludf.DUMMYFUNCTION("""COMPUTED_VALUE"""),"8-9'")</f>
        <v>8-9'</v>
      </c>
      <c r="F129" s="38">
        <f ca="1">IFERROR(__xludf.DUMMYFUNCTION("""COMPUTED_VALUE"""),9)</f>
        <v>9</v>
      </c>
      <c r="G129" s="36">
        <f ca="1">IFERROR(__xludf.DUMMYFUNCTION("""COMPUTED_VALUE"""),30)</f>
        <v>30</v>
      </c>
      <c r="H129" s="39">
        <f ca="1">IFERROR(__xludf.DUMMYFUNCTION("""COMPUTED_VALUE"""),40)</f>
        <v>40</v>
      </c>
    </row>
    <row r="130" spans="1:8" ht="12.75">
      <c r="A130" s="36" t="str">
        <f ca="1">IFERROR(__xludf.DUMMYFUNCTION("""COMPUTED_VALUE"""),"Pluot - Dapple Dandy")</f>
        <v>Pluot - Dapple Dandy</v>
      </c>
      <c r="B130" s="36">
        <f ca="1">IFERROR(__xludf.DUMMYFUNCTION("""COMPUTED_VALUE"""),7)</f>
        <v>7</v>
      </c>
      <c r="C130" s="36" t="str">
        <f ca="1">IFERROR(__xludf.DUMMYFUNCTION("""COMPUTED_VALUE"""),"#7")</f>
        <v>#7</v>
      </c>
      <c r="D130" s="37" t="str">
        <f ca="1">IFERROR(__xludf.DUMMYFUNCTION("""COMPUTED_VALUE"""),"0.75-1""")</f>
        <v>0.75-1"</v>
      </c>
      <c r="E130" s="36" t="str">
        <f ca="1">IFERROR(__xludf.DUMMYFUNCTION("""COMPUTED_VALUE"""),"5-6'")</f>
        <v>5-6'</v>
      </c>
      <c r="F130" s="38">
        <f ca="1">IFERROR(__xludf.DUMMYFUNCTION("""COMPUTED_VALUE"""),0)</f>
        <v>0</v>
      </c>
      <c r="G130" s="36">
        <f ca="1">IFERROR(__xludf.DUMMYFUNCTION("""COMPUTED_VALUE"""),50)</f>
        <v>50</v>
      </c>
      <c r="H130" s="39">
        <f ca="1">IFERROR(__xludf.DUMMYFUNCTION("""COMPUTED_VALUE"""),75)</f>
        <v>75</v>
      </c>
    </row>
    <row r="131" spans="1:8" ht="12.75">
      <c r="A131" s="36" t="str">
        <f ca="1">IFERROR(__xludf.DUMMYFUNCTION("""COMPUTED_VALUE"""),"Pluot - Dapple Dandy")</f>
        <v>Pluot - Dapple Dandy</v>
      </c>
      <c r="B131" s="36">
        <f ca="1">IFERROR(__xludf.DUMMYFUNCTION("""COMPUTED_VALUE"""),10)</f>
        <v>10</v>
      </c>
      <c r="C131" s="36" t="str">
        <f ca="1">IFERROR(__xludf.DUMMYFUNCTION("""COMPUTED_VALUE"""),"#10")</f>
        <v>#10</v>
      </c>
      <c r="D131" s="37" t="str">
        <f ca="1">IFERROR(__xludf.DUMMYFUNCTION("""COMPUTED_VALUE"""),"1-1.5""")</f>
        <v>1-1.5"</v>
      </c>
      <c r="E131" s="36" t="str">
        <f ca="1">IFERROR(__xludf.DUMMYFUNCTION("""COMPUTED_VALUE"""),"9-10'")</f>
        <v>9-10'</v>
      </c>
      <c r="F131" s="38">
        <f ca="1">IFERROR(__xludf.DUMMYFUNCTION("""COMPUTED_VALUE"""),23)</f>
        <v>23</v>
      </c>
      <c r="G131" s="36">
        <f ca="1">IFERROR(__xludf.DUMMYFUNCTION("""COMPUTED_VALUE"""),0)</f>
        <v>0</v>
      </c>
      <c r="H131" s="39">
        <f ca="1">IFERROR(__xludf.DUMMYFUNCTION("""COMPUTED_VALUE"""),65)</f>
        <v>65</v>
      </c>
    </row>
    <row r="132" spans="1:8" ht="12.75">
      <c r="A132" s="36" t="str">
        <f ca="1">IFERROR(__xludf.DUMMYFUNCTION("""COMPUTED_VALUE"""),"Pluot - Flavor King")</f>
        <v>Pluot - Flavor King</v>
      </c>
      <c r="B132" s="36">
        <f ca="1">IFERROR(__xludf.DUMMYFUNCTION("""COMPUTED_VALUE"""),5)</f>
        <v>5</v>
      </c>
      <c r="C132" s="36" t="str">
        <f ca="1">IFERROR(__xludf.DUMMYFUNCTION("""COMPUTED_VALUE"""),"#5")</f>
        <v>#5</v>
      </c>
      <c r="D132" s="37" t="str">
        <f ca="1">IFERROR(__xludf.DUMMYFUNCTION("""COMPUTED_VALUE"""),"0.5-0.75""")</f>
        <v>0.5-0.75"</v>
      </c>
      <c r="E132" s="36" t="str">
        <f ca="1">IFERROR(__xludf.DUMMYFUNCTION("""COMPUTED_VALUE"""),"4-5'")</f>
        <v>4-5'</v>
      </c>
      <c r="F132" s="38">
        <f ca="1">IFERROR(__xludf.DUMMYFUNCTION("""COMPUTED_VALUE"""),0)</f>
        <v>0</v>
      </c>
      <c r="G132" s="36">
        <f ca="1">IFERROR(__xludf.DUMMYFUNCTION("""COMPUTED_VALUE"""),30)</f>
        <v>30</v>
      </c>
      <c r="H132" s="39">
        <f ca="1">IFERROR(__xludf.DUMMYFUNCTION("""COMPUTED_VALUE"""),45)</f>
        <v>45</v>
      </c>
    </row>
    <row r="133" spans="1:8" ht="12.75">
      <c r="A133" s="36" t="str">
        <f ca="1">IFERROR(__xludf.DUMMYFUNCTION("""COMPUTED_VALUE"""),"Pluot - Flavor Queen")</f>
        <v>Pluot - Flavor Queen</v>
      </c>
      <c r="B133" s="36">
        <f ca="1">IFERROR(__xludf.DUMMYFUNCTION("""COMPUTED_VALUE"""),5)</f>
        <v>5</v>
      </c>
      <c r="C133" s="36" t="str">
        <f ca="1">IFERROR(__xludf.DUMMYFUNCTION("""COMPUTED_VALUE"""),"#5")</f>
        <v>#5</v>
      </c>
      <c r="D133" s="37" t="str">
        <f ca="1">IFERROR(__xludf.DUMMYFUNCTION("""COMPUTED_VALUE"""),"0.5-0.75""")</f>
        <v>0.5-0.75"</v>
      </c>
      <c r="E133" s="36" t="str">
        <f ca="1">IFERROR(__xludf.DUMMYFUNCTION("""COMPUTED_VALUE"""),"4-5'")</f>
        <v>4-5'</v>
      </c>
      <c r="F133" s="38">
        <f ca="1">IFERROR(__xludf.DUMMYFUNCTION("""COMPUTED_VALUE"""),0)</f>
        <v>0</v>
      </c>
      <c r="G133" s="36">
        <f ca="1">IFERROR(__xludf.DUMMYFUNCTION("""COMPUTED_VALUE"""),30)</f>
        <v>30</v>
      </c>
      <c r="H133" s="39">
        <f ca="1">IFERROR(__xludf.DUMMYFUNCTION("""COMPUTED_VALUE"""),45)</f>
        <v>45</v>
      </c>
    </row>
    <row r="134" spans="1:8" ht="12.75">
      <c r="A134" s="36" t="str">
        <f ca="1">IFERROR(__xludf.DUMMYFUNCTION("""COMPUTED_VALUE"""),"Raspberry - Fall Gold ")</f>
        <v xml:space="preserve">Raspberry - Fall Gold </v>
      </c>
      <c r="B134" s="36">
        <f ca="1">IFERROR(__xludf.DUMMYFUNCTION("""COMPUTED_VALUE"""),5)</f>
        <v>5</v>
      </c>
      <c r="C134" s="36" t="str">
        <f ca="1">IFERROR(__xludf.DUMMYFUNCTION("""COMPUTED_VALUE"""),"#5")</f>
        <v>#5</v>
      </c>
      <c r="D134" s="40" t="str">
        <f ca="1">IFERROR(__xludf.DUMMYFUNCTION("""COMPUTED_VALUE"""),"Multi")</f>
        <v>Multi</v>
      </c>
      <c r="E134" s="36" t="str">
        <f ca="1">IFERROR(__xludf.DUMMYFUNCTION("""COMPUTED_VALUE"""),"2-3'")</f>
        <v>2-3'</v>
      </c>
      <c r="F134" s="38">
        <f ca="1">IFERROR(__xludf.DUMMYFUNCTION("""COMPUTED_VALUE"""),32)</f>
        <v>32</v>
      </c>
      <c r="G134" s="36">
        <f ca="1">IFERROR(__xludf.DUMMYFUNCTION("""COMPUTED_VALUE"""),0)</f>
        <v>0</v>
      </c>
      <c r="H134" s="39">
        <f ca="1">IFERROR(__xludf.DUMMYFUNCTION("""COMPUTED_VALUE"""),30)</f>
        <v>30</v>
      </c>
    </row>
    <row r="135" spans="1:8" ht="12.75">
      <c r="A135" s="36" t="str">
        <f ca="1">IFERROR(__xludf.DUMMYFUNCTION("""COMPUTED_VALUE"""),"Raspberry- Heritage")</f>
        <v>Raspberry- Heritage</v>
      </c>
      <c r="B135" s="36">
        <f ca="1">IFERROR(__xludf.DUMMYFUNCTION("""COMPUTED_VALUE"""),5)</f>
        <v>5</v>
      </c>
      <c r="C135" s="36" t="str">
        <f ca="1">IFERROR(__xludf.DUMMYFUNCTION("""COMPUTED_VALUE"""),"#5")</f>
        <v>#5</v>
      </c>
      <c r="D135" s="40" t="str">
        <f ca="1">IFERROR(__xludf.DUMMYFUNCTION("""COMPUTED_VALUE"""),"Multi")</f>
        <v>Multi</v>
      </c>
      <c r="E135" s="36" t="str">
        <f ca="1">IFERROR(__xludf.DUMMYFUNCTION("""COMPUTED_VALUE"""),"3-3'")</f>
        <v>3-3'</v>
      </c>
      <c r="F135" s="38">
        <f ca="1">IFERROR(__xludf.DUMMYFUNCTION("""COMPUTED_VALUE"""),5)</f>
        <v>5</v>
      </c>
      <c r="G135" s="36">
        <f ca="1">IFERROR(__xludf.DUMMYFUNCTION("""COMPUTED_VALUE"""),0)</f>
        <v>0</v>
      </c>
      <c r="H135" s="39">
        <f ca="1">IFERROR(__xludf.DUMMYFUNCTION("""COMPUTED_VALUE"""),30)</f>
        <v>30</v>
      </c>
    </row>
    <row r="136" spans="1:8" ht="12.75">
      <c r="A136" s="36" t="str">
        <f ca="1">IFERROR(__xludf.DUMMYFUNCTION("""COMPUTED_VALUE"""),"Russian Pomegrante - Salavatski")</f>
        <v>Russian Pomegrante - Salavatski</v>
      </c>
      <c r="B136" s="36">
        <f ca="1">IFERROR(__xludf.DUMMYFUNCTION("""COMPUTED_VALUE"""),5)</f>
        <v>5</v>
      </c>
      <c r="C136" s="36" t="str">
        <f ca="1">IFERROR(__xludf.DUMMYFUNCTION("""COMPUTED_VALUE"""),"#5")</f>
        <v>#5</v>
      </c>
      <c r="D136" s="40" t="str">
        <f ca="1">IFERROR(__xludf.DUMMYFUNCTION("""COMPUTED_VALUE"""),"Multi")</f>
        <v>Multi</v>
      </c>
      <c r="E136" s="36" t="str">
        <f ca="1">IFERROR(__xludf.DUMMYFUNCTION("""COMPUTED_VALUE"""),"0-1'")</f>
        <v>0-1'</v>
      </c>
      <c r="F136" s="38">
        <f ca="1">IFERROR(__xludf.DUMMYFUNCTION("""COMPUTED_VALUE"""),0)</f>
        <v>0</v>
      </c>
      <c r="G136" s="36">
        <f ca="1">IFERROR(__xludf.DUMMYFUNCTION("""COMPUTED_VALUE"""),72)</f>
        <v>72</v>
      </c>
      <c r="H136" s="39">
        <f ca="1">IFERROR(__xludf.DUMMYFUNCTION("""COMPUTED_VALUE"""),30)</f>
        <v>30</v>
      </c>
    </row>
    <row r="137" spans="1:8" ht="12.75">
      <c r="A137" s="36" t="str">
        <f ca="1">IFERROR(__xludf.DUMMYFUNCTION("""COMPUTED_VALUE"""),"Walnut - Mesa Carpathian")</f>
        <v>Walnut - Mesa Carpathian</v>
      </c>
      <c r="B137" s="36">
        <f ca="1">IFERROR(__xludf.DUMMYFUNCTION("""COMPUTED_VALUE"""),15)</f>
        <v>15</v>
      </c>
      <c r="C137" s="36" t="str">
        <f ca="1">IFERROR(__xludf.DUMMYFUNCTION("""COMPUTED_VALUE"""),"#15")</f>
        <v>#15</v>
      </c>
      <c r="D137" s="37" t="str">
        <f ca="1">IFERROR(__xludf.DUMMYFUNCTION("""COMPUTED_VALUE"""),"0-1""")</f>
        <v>0-1"</v>
      </c>
      <c r="E137" s="36" t="str">
        <f ca="1">IFERROR(__xludf.DUMMYFUNCTION("""COMPUTED_VALUE"""),"0-4'")</f>
        <v>0-4'</v>
      </c>
      <c r="F137" s="38">
        <f ca="1">IFERROR(__xludf.DUMMYFUNCTION("""COMPUTED_VALUE"""),0)</f>
        <v>0</v>
      </c>
      <c r="G137" s="36">
        <f ca="1">IFERROR(__xludf.DUMMYFUNCTION("""COMPUTED_VALUE"""),10)</f>
        <v>10</v>
      </c>
      <c r="H137" s="39">
        <f ca="1">IFERROR(__xludf.DUMMYFUNCTION("""COMPUTED_VALUE"""),110)</f>
        <v>110</v>
      </c>
    </row>
    <row r="138" spans="1:8" ht="12.75">
      <c r="A138" s="36"/>
      <c r="B138" s="36"/>
      <c r="C138" s="36"/>
      <c r="D138" s="36"/>
      <c r="E138" s="36"/>
      <c r="F138" s="36"/>
      <c r="G138" s="36"/>
      <c r="H138" s="36"/>
    </row>
    <row r="139" spans="1:8" ht="12.75">
      <c r="A139" s="36"/>
      <c r="B139" s="36"/>
      <c r="C139" s="36"/>
      <c r="D139" s="36"/>
      <c r="E139" s="36"/>
      <c r="F139" s="36"/>
      <c r="G139" s="36"/>
      <c r="H139" s="36"/>
    </row>
    <row r="140" spans="1:8" ht="12.75">
      <c r="A140" s="36"/>
      <c r="B140" s="36"/>
      <c r="C140" s="36"/>
      <c r="D140" s="36"/>
      <c r="E140" s="36"/>
      <c r="F140" s="36"/>
      <c r="G140" s="36"/>
      <c r="H140" s="36"/>
    </row>
    <row r="141" spans="1:8" ht="12.75">
      <c r="A141" s="36"/>
      <c r="B141" s="36"/>
      <c r="C141" s="36"/>
      <c r="D141" s="36"/>
      <c r="E141" s="36"/>
      <c r="F141" s="36"/>
      <c r="G141" s="36"/>
      <c r="H141" s="36"/>
    </row>
    <row r="142" spans="1:8" ht="12.75">
      <c r="A142" s="36"/>
      <c r="B142" s="36"/>
      <c r="C142" s="36"/>
      <c r="D142" s="36"/>
      <c r="E142" s="36"/>
      <c r="F142" s="36"/>
      <c r="G142" s="36"/>
      <c r="H142" s="36"/>
    </row>
    <row r="143" spans="1:8" ht="12.75">
      <c r="A143" s="36"/>
      <c r="B143" s="36"/>
      <c r="C143" s="36"/>
      <c r="D143" s="36"/>
      <c r="E143" s="36"/>
      <c r="F143" s="36"/>
      <c r="G143" s="36"/>
      <c r="H143" s="36"/>
    </row>
    <row r="144" spans="1:8" ht="12.75">
      <c r="A144" s="36"/>
      <c r="B144" s="36"/>
      <c r="C144" s="36"/>
      <c r="D144" s="36"/>
      <c r="E144" s="36"/>
      <c r="F144" s="36"/>
      <c r="G144" s="36"/>
      <c r="H144" s="36"/>
    </row>
    <row r="145" spans="1:8" ht="12.75">
      <c r="A145" s="36"/>
      <c r="B145" s="36"/>
      <c r="C145" s="36"/>
      <c r="D145" s="36"/>
      <c r="E145" s="36"/>
      <c r="F145" s="36"/>
      <c r="G145" s="36"/>
      <c r="H145" s="36"/>
    </row>
    <row r="146" spans="1:8" ht="12.75">
      <c r="A146" s="36"/>
      <c r="B146" s="36"/>
      <c r="C146" s="36"/>
      <c r="D146" s="36"/>
      <c r="E146" s="36"/>
      <c r="F146" s="36"/>
      <c r="G146" s="36"/>
      <c r="H146" s="36"/>
    </row>
    <row r="147" spans="1:8" ht="12.75">
      <c r="A147" s="36"/>
      <c r="B147" s="36"/>
      <c r="C147" s="36"/>
      <c r="D147" s="36"/>
      <c r="E147" s="36"/>
      <c r="F147" s="36"/>
      <c r="G147" s="36"/>
      <c r="H147" s="36"/>
    </row>
    <row r="148" spans="1:8" ht="12.75">
      <c r="A148" s="36"/>
      <c r="B148" s="36"/>
      <c r="C148" s="36"/>
      <c r="D148" s="36"/>
      <c r="E148" s="36"/>
      <c r="F148" s="36"/>
      <c r="G148" s="36"/>
      <c r="H148" s="36"/>
    </row>
    <row r="149" spans="1:8" ht="12.75" hidden="1">
      <c r="A149" s="36"/>
      <c r="B149" s="36"/>
      <c r="C149" s="36"/>
      <c r="D149" s="36"/>
      <c r="E149" s="36"/>
      <c r="F149" s="36"/>
      <c r="G149" s="36"/>
      <c r="H149" s="36"/>
    </row>
    <row r="150" spans="1:8" ht="12.75" hidden="1">
      <c r="A150" s="36"/>
      <c r="B150" s="36"/>
      <c r="C150" s="36"/>
      <c r="D150" s="36"/>
      <c r="E150" s="36"/>
      <c r="F150" s="36"/>
      <c r="G150" s="36"/>
      <c r="H150" s="36"/>
    </row>
    <row r="151" spans="1:8" ht="12.75" hidden="1">
      <c r="A151" s="36"/>
      <c r="B151" s="36"/>
      <c r="C151" s="36"/>
      <c r="D151" s="36"/>
      <c r="E151" s="36"/>
      <c r="F151" s="36"/>
      <c r="G151" s="36"/>
      <c r="H151" s="36"/>
    </row>
    <row r="152" spans="1:8" ht="12.75" hidden="1">
      <c r="A152" s="36"/>
      <c r="B152" s="36"/>
      <c r="C152" s="36"/>
      <c r="D152" s="36"/>
      <c r="E152" s="36"/>
      <c r="F152" s="36"/>
      <c r="G152" s="36"/>
      <c r="H152" s="36"/>
    </row>
    <row r="153" spans="1:8" ht="12.75" hidden="1">
      <c r="A153" s="36"/>
      <c r="B153" s="36"/>
      <c r="C153" s="36"/>
      <c r="D153" s="36"/>
      <c r="E153" s="36"/>
      <c r="F153" s="36"/>
      <c r="G153" s="36"/>
      <c r="H153" s="36"/>
    </row>
    <row r="154" spans="1:8" ht="12.75" hidden="1">
      <c r="A154" s="36"/>
      <c r="B154" s="36"/>
      <c r="C154" s="36"/>
      <c r="D154" s="36"/>
      <c r="E154" s="36"/>
      <c r="F154" s="36"/>
      <c r="G154" s="36"/>
      <c r="H154" s="36"/>
    </row>
    <row r="155" spans="1:8" ht="12.75" hidden="1">
      <c r="A155" s="36"/>
      <c r="B155" s="36"/>
      <c r="C155" s="36"/>
      <c r="D155" s="36"/>
      <c r="E155" s="36"/>
      <c r="F155" s="36"/>
      <c r="G155" s="36"/>
      <c r="H155" s="36"/>
    </row>
    <row r="156" spans="1:8" ht="12.75" hidden="1">
      <c r="A156" s="36"/>
      <c r="B156" s="36"/>
      <c r="C156" s="36"/>
      <c r="D156" s="36"/>
      <c r="E156" s="36"/>
      <c r="F156" s="36"/>
      <c r="G156" s="36"/>
      <c r="H156" s="36"/>
    </row>
    <row r="157" spans="1:8" ht="12.75" hidden="1">
      <c r="A157" s="36"/>
      <c r="B157" s="36"/>
      <c r="C157" s="36"/>
      <c r="D157" s="36"/>
      <c r="E157" s="36"/>
      <c r="F157" s="36"/>
      <c r="G157" s="36"/>
      <c r="H157" s="36"/>
    </row>
    <row r="158" spans="1:8" ht="12.75" hidden="1">
      <c r="A158" s="36"/>
      <c r="B158" s="36"/>
      <c r="C158" s="36"/>
      <c r="D158" s="36"/>
      <c r="E158" s="36"/>
      <c r="F158" s="36"/>
      <c r="G158" s="36"/>
      <c r="H158" s="36"/>
    </row>
    <row r="159" spans="1:8" ht="12.75" hidden="1">
      <c r="A159" s="36"/>
      <c r="B159" s="36"/>
      <c r="C159" s="36"/>
      <c r="D159" s="36"/>
      <c r="E159" s="36"/>
      <c r="F159" s="36"/>
      <c r="G159" s="36"/>
      <c r="H159" s="36"/>
    </row>
    <row r="160" spans="1:8" ht="12.75" hidden="1">
      <c r="A160" s="36"/>
      <c r="B160" s="36"/>
      <c r="C160" s="36"/>
      <c r="D160" s="36"/>
      <c r="E160" s="36"/>
      <c r="F160" s="36"/>
      <c r="G160" s="36"/>
      <c r="H160" s="36"/>
    </row>
    <row r="161" spans="1:8" ht="12.75" hidden="1">
      <c r="A161" s="36"/>
      <c r="B161" s="36"/>
      <c r="C161" s="36"/>
      <c r="D161" s="36"/>
      <c r="E161" s="36"/>
      <c r="F161" s="36"/>
      <c r="G161" s="36"/>
      <c r="H161" s="36"/>
    </row>
    <row r="162" spans="1:8" ht="12.75" hidden="1">
      <c r="A162" s="36"/>
      <c r="B162" s="36"/>
      <c r="C162" s="36"/>
      <c r="D162" s="36"/>
      <c r="E162" s="36"/>
      <c r="F162" s="36"/>
      <c r="G162" s="36"/>
      <c r="H162" s="36"/>
    </row>
    <row r="163" spans="1:8" ht="12.75" hidden="1">
      <c r="A163" s="36"/>
      <c r="B163" s="36"/>
      <c r="C163" s="36"/>
      <c r="D163" s="36"/>
      <c r="E163" s="36"/>
      <c r="F163" s="36"/>
      <c r="G163" s="36"/>
      <c r="H163" s="36"/>
    </row>
    <row r="164" spans="1:8" ht="12.75" hidden="1">
      <c r="A164" s="36"/>
      <c r="B164" s="36"/>
      <c r="C164" s="36"/>
      <c r="D164" s="36"/>
      <c r="E164" s="36"/>
      <c r="F164" s="36"/>
      <c r="G164" s="36"/>
      <c r="H164" s="36"/>
    </row>
    <row r="165" spans="1:8" ht="12.75" hidden="1">
      <c r="A165" s="36"/>
      <c r="B165" s="36"/>
      <c r="C165" s="36"/>
      <c r="D165" s="36"/>
      <c r="E165" s="36"/>
      <c r="F165" s="36"/>
      <c r="G165" s="36"/>
      <c r="H165" s="36"/>
    </row>
    <row r="166" spans="1:8" ht="12.75" hidden="1">
      <c r="A166" s="36"/>
      <c r="B166" s="36"/>
      <c r="C166" s="36"/>
      <c r="D166" s="36"/>
      <c r="E166" s="36"/>
      <c r="F166" s="36"/>
      <c r="G166" s="36"/>
      <c r="H166" s="36"/>
    </row>
    <row r="167" spans="1:8" ht="12.75" hidden="1">
      <c r="A167" s="36"/>
      <c r="B167" s="36"/>
      <c r="C167" s="36"/>
      <c r="D167" s="36"/>
      <c r="E167" s="36"/>
      <c r="F167" s="36"/>
      <c r="G167" s="36"/>
      <c r="H167" s="36"/>
    </row>
    <row r="168" spans="1:8" ht="12.75" hidden="1">
      <c r="A168" s="36"/>
      <c r="B168" s="36"/>
      <c r="C168" s="36"/>
      <c r="D168" s="36"/>
      <c r="E168" s="36"/>
      <c r="F168" s="36"/>
      <c r="G168" s="36"/>
      <c r="H168" s="36"/>
    </row>
    <row r="169" spans="1:8" ht="12.75" hidden="1">
      <c r="A169" s="36"/>
      <c r="B169" s="36"/>
      <c r="C169" s="36"/>
      <c r="D169" s="36"/>
      <c r="E169" s="36"/>
      <c r="F169" s="36"/>
      <c r="G169" s="36"/>
      <c r="H169" s="36"/>
    </row>
    <row r="170" spans="1:8" ht="12.75" hidden="1">
      <c r="A170" s="36"/>
      <c r="B170" s="36"/>
      <c r="C170" s="36"/>
      <c r="D170" s="36"/>
      <c r="E170" s="36"/>
      <c r="F170" s="36"/>
      <c r="G170" s="36"/>
      <c r="H170" s="36"/>
    </row>
    <row r="171" spans="1:8" ht="12.75" hidden="1">
      <c r="A171" s="36"/>
      <c r="B171" s="36"/>
      <c r="C171" s="36"/>
      <c r="D171" s="36"/>
      <c r="E171" s="36"/>
      <c r="F171" s="36"/>
      <c r="G171" s="36"/>
      <c r="H171" s="36"/>
    </row>
    <row r="172" spans="1:8" ht="12.75" hidden="1">
      <c r="A172" s="36"/>
      <c r="B172" s="36"/>
      <c r="C172" s="36"/>
      <c r="D172" s="36"/>
      <c r="E172" s="36"/>
      <c r="F172" s="36"/>
      <c r="G172" s="36"/>
      <c r="H172" s="36"/>
    </row>
    <row r="173" spans="1:8" ht="12.75" hidden="1">
      <c r="A173" s="36"/>
      <c r="B173" s="36"/>
      <c r="C173" s="36"/>
      <c r="D173" s="36"/>
      <c r="E173" s="36"/>
      <c r="F173" s="36"/>
      <c r="G173" s="36"/>
      <c r="H173" s="36"/>
    </row>
    <row r="174" spans="1:8" ht="12.75" hidden="1">
      <c r="A174" s="36"/>
      <c r="B174" s="36"/>
      <c r="C174" s="36"/>
      <c r="D174" s="36"/>
      <c r="E174" s="36"/>
      <c r="F174" s="36"/>
      <c r="G174" s="36"/>
      <c r="H174" s="36"/>
    </row>
    <row r="175" spans="1:8" ht="12.75" hidden="1">
      <c r="A175" s="36"/>
      <c r="B175" s="36"/>
      <c r="C175" s="36"/>
      <c r="D175" s="36"/>
      <c r="E175" s="36"/>
      <c r="F175" s="36"/>
      <c r="G175" s="36"/>
      <c r="H175" s="36"/>
    </row>
    <row r="176" spans="1:8" ht="12.75" hidden="1">
      <c r="A176" s="36"/>
      <c r="B176" s="36"/>
      <c r="C176" s="36"/>
      <c r="D176" s="36"/>
      <c r="E176" s="36"/>
      <c r="F176" s="36"/>
      <c r="G176" s="36"/>
      <c r="H176" s="36"/>
    </row>
    <row r="177" spans="1:8" ht="12.75" hidden="1">
      <c r="A177" s="36"/>
      <c r="B177" s="36"/>
      <c r="C177" s="36"/>
      <c r="D177" s="36"/>
      <c r="E177" s="36"/>
      <c r="F177" s="36"/>
      <c r="G177" s="36"/>
      <c r="H177" s="36"/>
    </row>
    <row r="178" spans="1:8" ht="12.75" hidden="1">
      <c r="A178" s="36"/>
      <c r="B178" s="36"/>
      <c r="C178" s="36"/>
      <c r="D178" s="36"/>
      <c r="E178" s="36"/>
      <c r="F178" s="36"/>
      <c r="G178" s="36"/>
      <c r="H178" s="36"/>
    </row>
    <row r="179" spans="1:8" ht="12.75" hidden="1">
      <c r="A179" s="36"/>
      <c r="B179" s="36"/>
      <c r="C179" s="36"/>
      <c r="D179" s="36"/>
      <c r="E179" s="36"/>
      <c r="F179" s="36"/>
      <c r="G179" s="36"/>
      <c r="H179" s="36"/>
    </row>
    <row r="180" spans="1:8" ht="12.75" hidden="1">
      <c r="A180" s="36"/>
      <c r="B180" s="36"/>
      <c r="C180" s="36"/>
      <c r="D180" s="36"/>
      <c r="E180" s="36"/>
      <c r="F180" s="36"/>
      <c r="G180" s="36"/>
      <c r="H180" s="36"/>
    </row>
    <row r="181" spans="1:8" ht="12.75" hidden="1">
      <c r="A181" s="36"/>
      <c r="B181" s="36"/>
      <c r="C181" s="36"/>
      <c r="D181" s="36"/>
      <c r="E181" s="36"/>
      <c r="F181" s="36"/>
      <c r="G181" s="36"/>
      <c r="H181" s="36"/>
    </row>
    <row r="182" spans="1:8" ht="12.75" hidden="1">
      <c r="A182" s="36"/>
      <c r="B182" s="36"/>
      <c r="C182" s="36"/>
      <c r="D182" s="36"/>
      <c r="E182" s="36"/>
      <c r="F182" s="36"/>
      <c r="G182" s="36"/>
      <c r="H182" s="36"/>
    </row>
    <row r="183" spans="1:8" ht="12.75" hidden="1">
      <c r="A183" s="36"/>
      <c r="B183" s="36"/>
      <c r="C183" s="36"/>
      <c r="D183" s="36"/>
      <c r="E183" s="36"/>
      <c r="F183" s="36"/>
      <c r="G183" s="36"/>
      <c r="H183" s="36"/>
    </row>
    <row r="184" spans="1:8" ht="12.75" hidden="1">
      <c r="A184" s="36"/>
      <c r="B184" s="36"/>
      <c r="C184" s="36"/>
      <c r="D184" s="36"/>
      <c r="E184" s="36"/>
      <c r="F184" s="36"/>
      <c r="G184" s="36"/>
      <c r="H184" s="36"/>
    </row>
    <row r="185" spans="1:8" ht="12.75" hidden="1">
      <c r="A185" s="36"/>
      <c r="B185" s="36"/>
      <c r="C185" s="36"/>
      <c r="D185" s="36"/>
      <c r="E185" s="36"/>
      <c r="F185" s="36"/>
      <c r="G185" s="36"/>
      <c r="H185" s="36"/>
    </row>
    <row r="186" spans="1:8" ht="12.75" hidden="1">
      <c r="A186" s="36"/>
      <c r="B186" s="36"/>
      <c r="C186" s="36"/>
      <c r="D186" s="36"/>
      <c r="E186" s="36"/>
      <c r="F186" s="36"/>
      <c r="G186" s="36"/>
      <c r="H186" s="36"/>
    </row>
    <row r="187" spans="1:8" ht="12.75" hidden="1">
      <c r="A187" s="36"/>
      <c r="B187" s="36"/>
      <c r="C187" s="36"/>
      <c r="D187" s="36"/>
      <c r="E187" s="36"/>
      <c r="F187" s="36"/>
      <c r="G187" s="36"/>
      <c r="H187" s="36"/>
    </row>
    <row r="188" spans="1:8" ht="12.75" hidden="1">
      <c r="A188" s="36"/>
      <c r="B188" s="36"/>
      <c r="C188" s="36"/>
      <c r="D188" s="36"/>
      <c r="E188" s="36"/>
      <c r="F188" s="36"/>
      <c r="G188" s="36"/>
      <c r="H188" s="36"/>
    </row>
    <row r="189" spans="1:8" ht="12.75" hidden="1">
      <c r="A189" s="36"/>
      <c r="B189" s="36"/>
      <c r="C189" s="36"/>
      <c r="D189" s="36"/>
      <c r="E189" s="36"/>
      <c r="F189" s="36"/>
      <c r="G189" s="36"/>
      <c r="H189" s="36"/>
    </row>
    <row r="190" spans="1:8" ht="12.75" hidden="1">
      <c r="A190" s="36"/>
      <c r="B190" s="36"/>
      <c r="C190" s="36"/>
      <c r="D190" s="36"/>
      <c r="E190" s="36"/>
      <c r="F190" s="36"/>
      <c r="G190" s="36"/>
      <c r="H190" s="36"/>
    </row>
    <row r="191" spans="1:8" ht="12.75" hidden="1">
      <c r="A191" s="36"/>
      <c r="B191" s="36"/>
      <c r="C191" s="36"/>
      <c r="D191" s="36"/>
      <c r="E191" s="36"/>
      <c r="F191" s="36"/>
      <c r="G191" s="36"/>
      <c r="H191" s="36"/>
    </row>
    <row r="192" spans="1:8" ht="12.75" hidden="1">
      <c r="A192" s="36"/>
      <c r="B192" s="36"/>
      <c r="C192" s="36"/>
      <c r="D192" s="36"/>
      <c r="E192" s="36"/>
      <c r="F192" s="36"/>
      <c r="G192" s="36"/>
      <c r="H192" s="36"/>
    </row>
    <row r="193" spans="1:8" ht="12.75" hidden="1">
      <c r="A193" s="36"/>
      <c r="B193" s="36"/>
      <c r="C193" s="36"/>
      <c r="D193" s="36"/>
      <c r="E193" s="36"/>
      <c r="F193" s="36"/>
      <c r="G193" s="36"/>
      <c r="H193" s="36"/>
    </row>
    <row r="194" spans="1:8" ht="12.75" hidden="1">
      <c r="A194" s="36"/>
      <c r="B194" s="36"/>
      <c r="C194" s="36"/>
      <c r="D194" s="36"/>
      <c r="E194" s="36"/>
      <c r="F194" s="36"/>
      <c r="G194" s="36"/>
      <c r="H194" s="36"/>
    </row>
    <row r="195" spans="1:8" ht="12.75" hidden="1">
      <c r="A195" s="36"/>
      <c r="B195" s="36"/>
      <c r="C195" s="36"/>
      <c r="D195" s="36"/>
      <c r="E195" s="36"/>
      <c r="F195" s="36"/>
      <c r="G195" s="36"/>
      <c r="H195" s="36"/>
    </row>
    <row r="196" spans="1:8" ht="12.75" hidden="1">
      <c r="A196" s="36"/>
      <c r="B196" s="36"/>
      <c r="C196" s="36"/>
      <c r="D196" s="36"/>
      <c r="E196" s="36"/>
      <c r="F196" s="36"/>
      <c r="G196" s="36"/>
      <c r="H196" s="36"/>
    </row>
    <row r="197" spans="1:8" ht="12.75" hidden="1">
      <c r="A197" s="36"/>
      <c r="B197" s="36"/>
      <c r="C197" s="36"/>
      <c r="D197" s="36"/>
      <c r="E197" s="36"/>
      <c r="F197" s="36"/>
      <c r="G197" s="36"/>
      <c r="H197" s="36"/>
    </row>
    <row r="198" spans="1:8" ht="12.75" hidden="1">
      <c r="A198" s="36"/>
      <c r="B198" s="36"/>
      <c r="C198" s="36"/>
      <c r="D198" s="36"/>
      <c r="E198" s="36"/>
      <c r="F198" s="36"/>
      <c r="G198" s="36"/>
      <c r="H198" s="36"/>
    </row>
    <row r="199" spans="1:8" ht="12.75" hidden="1">
      <c r="A199" s="36"/>
      <c r="B199" s="36"/>
      <c r="C199" s="36"/>
      <c r="D199" s="36"/>
      <c r="E199" s="36"/>
      <c r="F199" s="36"/>
      <c r="G199" s="36"/>
      <c r="H199" s="36"/>
    </row>
    <row r="200" spans="1:8" ht="12.75" hidden="1">
      <c r="A200" s="36"/>
      <c r="B200" s="36"/>
      <c r="C200" s="36"/>
      <c r="D200" s="36"/>
      <c r="E200" s="36"/>
      <c r="F200" s="36"/>
      <c r="G200" s="36"/>
      <c r="H200" s="36"/>
    </row>
    <row r="201" spans="1:8" ht="12.75" hidden="1">
      <c r="A201" s="36"/>
      <c r="B201" s="36"/>
      <c r="C201" s="36"/>
      <c r="D201" s="36"/>
      <c r="E201" s="36"/>
      <c r="F201" s="36"/>
      <c r="G201" s="36"/>
      <c r="H201" s="36"/>
    </row>
    <row r="202" spans="1:8" ht="12.75" hidden="1">
      <c r="A202" s="36"/>
      <c r="B202" s="36"/>
      <c r="C202" s="36"/>
      <c r="D202" s="36"/>
      <c r="E202" s="36"/>
      <c r="F202" s="36"/>
      <c r="G202" s="36"/>
      <c r="H202" s="36"/>
    </row>
    <row r="203" spans="1:8" ht="12.75" hidden="1">
      <c r="A203" s="36"/>
      <c r="B203" s="36"/>
      <c r="C203" s="36"/>
      <c r="D203" s="36"/>
      <c r="E203" s="36"/>
      <c r="F203" s="36"/>
      <c r="G203" s="36"/>
      <c r="H203" s="36"/>
    </row>
    <row r="204" spans="1:8" ht="12.75" hidden="1">
      <c r="A204" s="36"/>
      <c r="B204" s="36"/>
      <c r="C204" s="36"/>
      <c r="D204" s="36"/>
      <c r="E204" s="36"/>
      <c r="F204" s="36"/>
      <c r="G204" s="36"/>
      <c r="H204" s="36"/>
    </row>
    <row r="205" spans="1:8" ht="12.75" hidden="1">
      <c r="A205" s="36"/>
      <c r="B205" s="36"/>
      <c r="C205" s="36"/>
      <c r="D205" s="36"/>
      <c r="E205" s="36"/>
      <c r="F205" s="36"/>
      <c r="G205" s="36"/>
      <c r="H205" s="36"/>
    </row>
    <row r="206" spans="1:8" ht="12.75" hidden="1">
      <c r="A206" s="36"/>
      <c r="B206" s="36"/>
      <c r="C206" s="36"/>
      <c r="D206" s="36"/>
      <c r="E206" s="36"/>
      <c r="F206" s="36"/>
      <c r="G206" s="36"/>
      <c r="H206" s="36"/>
    </row>
    <row r="207" spans="1:8" ht="12.75" hidden="1">
      <c r="A207" s="36"/>
      <c r="B207" s="36"/>
      <c r="C207" s="36"/>
      <c r="D207" s="36"/>
      <c r="E207" s="36"/>
      <c r="F207" s="36"/>
      <c r="G207" s="36"/>
      <c r="H207" s="36"/>
    </row>
    <row r="208" spans="1:8" ht="12.75" hidden="1">
      <c r="A208" s="36"/>
      <c r="B208" s="36"/>
      <c r="C208" s="36"/>
      <c r="D208" s="36"/>
      <c r="E208" s="36"/>
      <c r="F208" s="36"/>
      <c r="G208" s="36"/>
      <c r="H208" s="36"/>
    </row>
    <row r="209" spans="1:8" ht="12.75" hidden="1">
      <c r="A209" s="36"/>
      <c r="B209" s="36"/>
      <c r="C209" s="36"/>
      <c r="D209" s="36"/>
      <c r="E209" s="36"/>
      <c r="F209" s="36"/>
      <c r="G209" s="36"/>
      <c r="H209" s="36"/>
    </row>
    <row r="210" spans="1:8" ht="12.75" hidden="1">
      <c r="A210" s="36"/>
      <c r="B210" s="36"/>
      <c r="C210" s="36"/>
      <c r="D210" s="36"/>
      <c r="E210" s="36"/>
      <c r="F210" s="36"/>
      <c r="G210" s="36"/>
      <c r="H210" s="36"/>
    </row>
    <row r="211" spans="1:8" ht="12.75" hidden="1">
      <c r="A211" s="36"/>
      <c r="B211" s="36"/>
      <c r="C211" s="36"/>
      <c r="D211" s="36"/>
      <c r="E211" s="36"/>
      <c r="F211" s="36"/>
      <c r="G211" s="36"/>
      <c r="H211" s="36"/>
    </row>
    <row r="212" spans="1:8" ht="12.75" hidden="1">
      <c r="A212" s="36"/>
      <c r="B212" s="36"/>
      <c r="C212" s="36"/>
      <c r="D212" s="36"/>
      <c r="E212" s="36"/>
      <c r="F212" s="36"/>
      <c r="G212" s="36"/>
      <c r="H212" s="36"/>
    </row>
    <row r="213" spans="1:8" ht="12.75" hidden="1">
      <c r="A213" s="36"/>
      <c r="B213" s="36"/>
      <c r="C213" s="36"/>
      <c r="D213" s="36"/>
      <c r="E213" s="36"/>
      <c r="F213" s="36"/>
      <c r="G213" s="36"/>
      <c r="H213" s="36"/>
    </row>
    <row r="214" spans="1:8" ht="12.75" hidden="1">
      <c r="A214" s="36"/>
      <c r="B214" s="36"/>
      <c r="C214" s="36"/>
      <c r="D214" s="36"/>
      <c r="E214" s="36"/>
      <c r="F214" s="36"/>
      <c r="G214" s="36"/>
      <c r="H214" s="36"/>
    </row>
    <row r="215" spans="1:8" ht="12.75" hidden="1">
      <c r="A215" s="36"/>
      <c r="B215" s="36"/>
      <c r="C215" s="36"/>
      <c r="D215" s="36"/>
      <c r="E215" s="36"/>
      <c r="F215" s="36"/>
      <c r="G215" s="36"/>
      <c r="H215" s="36"/>
    </row>
    <row r="216" spans="1:8" ht="12.75" hidden="1">
      <c r="A216" s="36"/>
      <c r="B216" s="36"/>
      <c r="C216" s="36"/>
      <c r="D216" s="36"/>
      <c r="E216" s="36"/>
      <c r="F216" s="36"/>
      <c r="G216" s="36"/>
      <c r="H216" s="36"/>
    </row>
    <row r="217" spans="1:8" ht="12.75" hidden="1">
      <c r="A217" s="36"/>
      <c r="B217" s="36"/>
      <c r="C217" s="36"/>
      <c r="D217" s="36"/>
      <c r="E217" s="36"/>
      <c r="F217" s="36"/>
      <c r="G217" s="36"/>
      <c r="H217" s="36"/>
    </row>
    <row r="218" spans="1:8" ht="12.75" hidden="1">
      <c r="A218" s="36"/>
      <c r="B218" s="36"/>
      <c r="C218" s="36"/>
      <c r="D218" s="36"/>
      <c r="E218" s="36"/>
      <c r="F218" s="36"/>
      <c r="G218" s="36"/>
      <c r="H218" s="36"/>
    </row>
    <row r="219" spans="1:8" ht="12.75" hidden="1">
      <c r="A219" s="36"/>
      <c r="B219" s="36"/>
      <c r="C219" s="36"/>
      <c r="D219" s="36"/>
      <c r="E219" s="36"/>
      <c r="F219" s="36"/>
      <c r="G219" s="36"/>
      <c r="H219" s="36"/>
    </row>
    <row r="220" spans="1:8" ht="12.75" hidden="1">
      <c r="A220" s="36"/>
      <c r="B220" s="36"/>
      <c r="C220" s="36"/>
      <c r="D220" s="36"/>
      <c r="E220" s="36"/>
      <c r="F220" s="36"/>
      <c r="G220" s="36"/>
      <c r="H220" s="36"/>
    </row>
    <row r="221" spans="1:8" ht="12.75" hidden="1">
      <c r="A221" s="36"/>
      <c r="B221" s="36"/>
      <c r="C221" s="36"/>
      <c r="D221" s="36"/>
      <c r="E221" s="36"/>
      <c r="F221" s="36"/>
      <c r="G221" s="36"/>
      <c r="H221" s="36"/>
    </row>
    <row r="222" spans="1:8" ht="12.75" hidden="1">
      <c r="A222" s="36"/>
      <c r="B222" s="36"/>
      <c r="C222" s="36"/>
      <c r="D222" s="36"/>
      <c r="E222" s="36"/>
      <c r="F222" s="36"/>
      <c r="G222" s="36"/>
      <c r="H222" s="36"/>
    </row>
    <row r="223" spans="1:8" ht="12.75" hidden="1">
      <c r="A223" s="36"/>
      <c r="B223" s="36"/>
      <c r="C223" s="36"/>
      <c r="D223" s="36"/>
      <c r="E223" s="36"/>
      <c r="F223" s="36"/>
      <c r="G223" s="36"/>
      <c r="H223" s="36"/>
    </row>
    <row r="224" spans="1:8" ht="12.75" hidden="1">
      <c r="A224" s="36"/>
      <c r="B224" s="36"/>
      <c r="C224" s="36"/>
      <c r="D224" s="36"/>
      <c r="E224" s="36"/>
      <c r="F224" s="36"/>
      <c r="G224" s="36"/>
      <c r="H224" s="36"/>
    </row>
    <row r="225" spans="1:8" ht="12.75" hidden="1">
      <c r="A225" s="36"/>
      <c r="B225" s="36"/>
      <c r="C225" s="36"/>
      <c r="D225" s="36"/>
      <c r="E225" s="36"/>
      <c r="F225" s="36"/>
      <c r="G225" s="36"/>
      <c r="H225" s="36"/>
    </row>
    <row r="226" spans="1:8" ht="12.75" hidden="1">
      <c r="A226" s="36"/>
      <c r="B226" s="36"/>
      <c r="C226" s="36"/>
      <c r="D226" s="36"/>
      <c r="E226" s="36"/>
      <c r="F226" s="36"/>
      <c r="G226" s="36"/>
      <c r="H226" s="36"/>
    </row>
    <row r="227" spans="1:8" ht="12.75" hidden="1">
      <c r="A227" s="36"/>
      <c r="B227" s="36"/>
      <c r="C227" s="36"/>
      <c r="D227" s="36"/>
      <c r="E227" s="36"/>
      <c r="F227" s="36"/>
      <c r="G227" s="36"/>
      <c r="H227" s="36"/>
    </row>
    <row r="228" spans="1:8" ht="12.75" hidden="1">
      <c r="A228" s="36"/>
      <c r="B228" s="36"/>
      <c r="C228" s="36"/>
      <c r="D228" s="36"/>
      <c r="E228" s="36"/>
      <c r="F228" s="36"/>
      <c r="G228" s="36"/>
      <c r="H228" s="36"/>
    </row>
    <row r="229" spans="1:8" ht="12.75" hidden="1">
      <c r="A229" s="36"/>
      <c r="B229" s="36"/>
      <c r="C229" s="36"/>
      <c r="D229" s="36"/>
      <c r="E229" s="36"/>
      <c r="F229" s="36"/>
      <c r="G229" s="36"/>
      <c r="H229" s="36"/>
    </row>
    <row r="230" spans="1:8" ht="12.75" hidden="1">
      <c r="A230" s="36"/>
      <c r="B230" s="36"/>
      <c r="C230" s="36"/>
      <c r="D230" s="36"/>
      <c r="E230" s="36"/>
      <c r="F230" s="36"/>
      <c r="G230" s="36"/>
      <c r="H230" s="36"/>
    </row>
    <row r="231" spans="1:8" ht="12.75" hidden="1">
      <c r="A231" s="36"/>
      <c r="B231" s="36"/>
      <c r="C231" s="36"/>
      <c r="D231" s="36"/>
      <c r="E231" s="36"/>
      <c r="F231" s="36"/>
      <c r="G231" s="36"/>
      <c r="H231" s="36"/>
    </row>
    <row r="232" spans="1:8" ht="12.75" hidden="1">
      <c r="A232" s="36"/>
      <c r="B232" s="36"/>
      <c r="C232" s="36"/>
      <c r="D232" s="36"/>
      <c r="E232" s="36"/>
      <c r="F232" s="36"/>
      <c r="G232" s="36"/>
      <c r="H232" s="36"/>
    </row>
    <row r="233" spans="1:8" ht="12.75" hidden="1">
      <c r="A233" s="36"/>
      <c r="B233" s="36"/>
      <c r="C233" s="36"/>
      <c r="D233" s="36"/>
      <c r="E233" s="36"/>
      <c r="F233" s="36"/>
      <c r="G233" s="36"/>
      <c r="H233" s="36"/>
    </row>
    <row r="234" spans="1:8" ht="12.75" hidden="1">
      <c r="A234" s="36"/>
      <c r="B234" s="36"/>
      <c r="C234" s="36"/>
      <c r="D234" s="36"/>
      <c r="E234" s="36"/>
      <c r="F234" s="36"/>
      <c r="G234" s="36"/>
      <c r="H234" s="36"/>
    </row>
    <row r="235" spans="1:8" ht="12.75" hidden="1">
      <c r="A235" s="36"/>
      <c r="B235" s="36"/>
      <c r="C235" s="36"/>
      <c r="D235" s="36"/>
      <c r="E235" s="36"/>
      <c r="F235" s="36"/>
      <c r="G235" s="36"/>
      <c r="H235" s="36"/>
    </row>
    <row r="236" spans="1:8" ht="12.75" hidden="1">
      <c r="A236" s="36"/>
      <c r="B236" s="36"/>
      <c r="C236" s="36"/>
      <c r="D236" s="36"/>
      <c r="E236" s="36"/>
      <c r="F236" s="36"/>
      <c r="G236" s="36"/>
      <c r="H236" s="36"/>
    </row>
    <row r="237" spans="1:8" ht="12.75" hidden="1">
      <c r="A237" s="36"/>
      <c r="B237" s="36"/>
      <c r="C237" s="36"/>
      <c r="D237" s="36"/>
      <c r="E237" s="36"/>
      <c r="F237" s="36"/>
      <c r="G237" s="36"/>
      <c r="H237" s="36"/>
    </row>
    <row r="238" spans="1:8" ht="12.75" hidden="1">
      <c r="A238" s="36"/>
      <c r="B238" s="36"/>
      <c r="C238" s="36"/>
      <c r="D238" s="36"/>
      <c r="E238" s="36"/>
      <c r="F238" s="36"/>
      <c r="G238" s="36"/>
      <c r="H238" s="36"/>
    </row>
    <row r="239" spans="1:8" ht="12.75" hidden="1">
      <c r="A239" s="36"/>
      <c r="B239" s="36"/>
      <c r="C239" s="36"/>
      <c r="D239" s="36"/>
      <c r="E239" s="36"/>
      <c r="F239" s="36"/>
      <c r="G239" s="36"/>
      <c r="H239" s="36"/>
    </row>
    <row r="240" spans="1:8" ht="12.75" hidden="1">
      <c r="A240" s="36"/>
      <c r="B240" s="36"/>
      <c r="C240" s="36"/>
      <c r="D240" s="36"/>
      <c r="E240" s="36"/>
      <c r="F240" s="36"/>
      <c r="G240" s="36"/>
      <c r="H240" s="36"/>
    </row>
    <row r="241" spans="1:8" ht="12.75" hidden="1">
      <c r="A241" s="36"/>
      <c r="B241" s="36"/>
      <c r="C241" s="36"/>
      <c r="D241" s="36"/>
      <c r="E241" s="36"/>
      <c r="F241" s="36"/>
      <c r="G241" s="36"/>
      <c r="H241" s="36"/>
    </row>
    <row r="242" spans="1:8" ht="12.75" hidden="1">
      <c r="A242" s="36"/>
      <c r="B242" s="36"/>
      <c r="C242" s="36"/>
      <c r="D242" s="36"/>
      <c r="E242" s="36"/>
      <c r="F242" s="36"/>
      <c r="G242" s="36"/>
      <c r="H242" s="36"/>
    </row>
    <row r="243" spans="1:8" ht="12.75" hidden="1">
      <c r="A243" s="36"/>
      <c r="B243" s="36"/>
      <c r="C243" s="36"/>
      <c r="D243" s="36"/>
      <c r="E243" s="36"/>
      <c r="F243" s="36"/>
      <c r="G243" s="36"/>
      <c r="H243" s="36"/>
    </row>
    <row r="244" spans="1:8" ht="12.75" hidden="1">
      <c r="A244" s="36"/>
      <c r="B244" s="36"/>
      <c r="C244" s="36"/>
      <c r="D244" s="36"/>
      <c r="E244" s="36"/>
      <c r="F244" s="36"/>
      <c r="G244" s="36"/>
      <c r="H244" s="36"/>
    </row>
    <row r="245" spans="1:8" ht="12.75" hidden="1">
      <c r="A245" s="36"/>
      <c r="B245" s="36"/>
      <c r="C245" s="36"/>
      <c r="D245" s="36"/>
      <c r="E245" s="36"/>
      <c r="F245" s="36"/>
      <c r="G245" s="36"/>
      <c r="H245" s="36"/>
    </row>
    <row r="246" spans="1:8" ht="12.75" hidden="1">
      <c r="A246" s="36"/>
      <c r="B246" s="36"/>
      <c r="C246" s="36"/>
      <c r="D246" s="36"/>
      <c r="E246" s="36"/>
      <c r="F246" s="36"/>
      <c r="G246" s="36"/>
      <c r="H246" s="36"/>
    </row>
    <row r="247" spans="1:8" ht="12.75" hidden="1">
      <c r="A247" s="36"/>
      <c r="B247" s="36"/>
      <c r="C247" s="36"/>
      <c r="D247" s="36"/>
      <c r="E247" s="36"/>
      <c r="F247" s="36"/>
      <c r="G247" s="36"/>
      <c r="H247" s="36"/>
    </row>
    <row r="248" spans="1:8" ht="12.75" hidden="1">
      <c r="A248" s="36"/>
      <c r="B248" s="36"/>
      <c r="C248" s="36"/>
      <c r="D248" s="36"/>
      <c r="E248" s="36"/>
      <c r="F248" s="36"/>
      <c r="G248" s="36"/>
      <c r="H248" s="36"/>
    </row>
    <row r="249" spans="1:8" ht="12.75" hidden="1">
      <c r="A249" s="36"/>
      <c r="B249" s="36"/>
      <c r="C249" s="36"/>
      <c r="D249" s="36"/>
      <c r="E249" s="36"/>
      <c r="F249" s="36"/>
      <c r="G249" s="36"/>
      <c r="H249" s="36"/>
    </row>
    <row r="250" spans="1:8" ht="12.75" hidden="1">
      <c r="A250" s="36"/>
      <c r="B250" s="36"/>
      <c r="C250" s="36"/>
      <c r="D250" s="36"/>
      <c r="E250" s="36"/>
      <c r="F250" s="36"/>
      <c r="G250" s="36"/>
      <c r="H250" s="36"/>
    </row>
    <row r="251" spans="1:8" ht="12.75" hidden="1">
      <c r="A251" s="36"/>
      <c r="B251" s="36"/>
      <c r="C251" s="36"/>
      <c r="D251" s="36"/>
      <c r="E251" s="36"/>
      <c r="F251" s="36"/>
      <c r="G251" s="36"/>
      <c r="H251" s="36"/>
    </row>
    <row r="252" spans="1:8" ht="12.75" hidden="1">
      <c r="A252" s="36"/>
      <c r="B252" s="36"/>
      <c r="C252" s="36"/>
      <c r="D252" s="36"/>
      <c r="E252" s="36"/>
      <c r="F252" s="36"/>
      <c r="G252" s="36"/>
      <c r="H252" s="36"/>
    </row>
    <row r="253" spans="1:8" ht="12.75" hidden="1">
      <c r="A253" s="36"/>
      <c r="B253" s="36"/>
      <c r="C253" s="36"/>
      <c r="D253" s="36"/>
      <c r="E253" s="36"/>
      <c r="F253" s="36"/>
      <c r="G253" s="36"/>
      <c r="H253" s="36"/>
    </row>
    <row r="254" spans="1:8" ht="12.75" hidden="1">
      <c r="A254" s="36"/>
      <c r="B254" s="36"/>
      <c r="C254" s="36"/>
      <c r="D254" s="36"/>
      <c r="E254" s="36"/>
      <c r="F254" s="36"/>
      <c r="G254" s="36"/>
      <c r="H254" s="36"/>
    </row>
    <row r="255" spans="1:8" ht="12.75" hidden="1">
      <c r="A255" s="36"/>
      <c r="B255" s="36"/>
      <c r="C255" s="36"/>
      <c r="D255" s="36"/>
      <c r="E255" s="36"/>
      <c r="F255" s="36"/>
      <c r="G255" s="36"/>
      <c r="H255" s="36"/>
    </row>
    <row r="256" spans="1:8" ht="12.75" hidden="1">
      <c r="A256" s="36"/>
      <c r="B256" s="36"/>
      <c r="C256" s="36"/>
      <c r="D256" s="36"/>
      <c r="E256" s="36"/>
      <c r="F256" s="36"/>
      <c r="G256" s="36"/>
      <c r="H256" s="36"/>
    </row>
    <row r="257" spans="1:8" ht="12.75" hidden="1">
      <c r="A257" s="36"/>
      <c r="B257" s="36"/>
      <c r="C257" s="36"/>
      <c r="D257" s="36"/>
      <c r="E257" s="36"/>
      <c r="F257" s="36"/>
      <c r="G257" s="36"/>
      <c r="H257" s="36"/>
    </row>
    <row r="258" spans="1:8" ht="12.75" hidden="1">
      <c r="A258" s="36"/>
      <c r="B258" s="36"/>
      <c r="C258" s="36"/>
      <c r="D258" s="36"/>
      <c r="E258" s="36"/>
      <c r="F258" s="36"/>
      <c r="G258" s="36"/>
      <c r="H258" s="36"/>
    </row>
    <row r="259" spans="1:8" ht="12.75" hidden="1">
      <c r="A259" s="36"/>
      <c r="B259" s="36"/>
      <c r="C259" s="36"/>
      <c r="D259" s="36"/>
      <c r="E259" s="36"/>
      <c r="F259" s="36"/>
      <c r="G259" s="36"/>
      <c r="H259" s="36"/>
    </row>
    <row r="260" spans="1:8" ht="12.75" hidden="1">
      <c r="A260" s="36"/>
      <c r="B260" s="36"/>
      <c r="C260" s="36"/>
      <c r="D260" s="36"/>
      <c r="E260" s="36"/>
      <c r="F260" s="36"/>
      <c r="G260" s="36"/>
      <c r="H260" s="36"/>
    </row>
    <row r="261" spans="1:8" ht="12.75" hidden="1">
      <c r="A261" s="36"/>
      <c r="B261" s="36"/>
      <c r="C261" s="36"/>
      <c r="D261" s="36"/>
      <c r="E261" s="36"/>
      <c r="F261" s="36"/>
      <c r="G261" s="36"/>
      <c r="H261" s="36"/>
    </row>
    <row r="262" spans="1:8" ht="12.75" hidden="1">
      <c r="A262" s="36"/>
      <c r="B262" s="36"/>
      <c r="C262" s="36"/>
      <c r="D262" s="36"/>
      <c r="E262" s="36"/>
      <c r="F262" s="36"/>
      <c r="G262" s="36"/>
      <c r="H262" s="36"/>
    </row>
    <row r="263" spans="1:8" ht="12.75" hidden="1">
      <c r="A263" s="36"/>
      <c r="B263" s="36"/>
      <c r="C263" s="36"/>
      <c r="D263" s="36"/>
      <c r="E263" s="36"/>
      <c r="F263" s="36"/>
      <c r="G263" s="36"/>
      <c r="H263" s="36"/>
    </row>
    <row r="264" spans="1:8" ht="12.75" hidden="1">
      <c r="A264" s="36"/>
      <c r="B264" s="36"/>
      <c r="C264" s="36"/>
      <c r="D264" s="36"/>
      <c r="E264" s="36"/>
      <c r="F264" s="36"/>
      <c r="G264" s="36"/>
      <c r="H264" s="36"/>
    </row>
    <row r="265" spans="1:8" ht="12.75" hidden="1">
      <c r="A265" s="36"/>
      <c r="B265" s="36"/>
      <c r="C265" s="36"/>
      <c r="D265" s="36"/>
      <c r="E265" s="36"/>
      <c r="F265" s="36"/>
      <c r="G265" s="36"/>
      <c r="H265" s="36"/>
    </row>
    <row r="266" spans="1:8" ht="12.75" hidden="1">
      <c r="A266" s="36"/>
      <c r="B266" s="36"/>
      <c r="C266" s="36"/>
      <c r="D266" s="36"/>
      <c r="E266" s="36"/>
      <c r="F266" s="36"/>
      <c r="G266" s="36"/>
      <c r="H266" s="36"/>
    </row>
    <row r="267" spans="1:8" ht="12.75" hidden="1">
      <c r="A267" s="36"/>
      <c r="B267" s="36"/>
      <c r="C267" s="36"/>
      <c r="D267" s="36"/>
      <c r="E267" s="36"/>
      <c r="F267" s="36"/>
      <c r="G267" s="36"/>
      <c r="H267" s="36"/>
    </row>
    <row r="268" spans="1:8" ht="12.75" hidden="1">
      <c r="A268" s="36"/>
      <c r="B268" s="36"/>
      <c r="C268" s="36"/>
      <c r="D268" s="36"/>
      <c r="E268" s="36"/>
      <c r="F268" s="36"/>
      <c r="G268" s="36"/>
      <c r="H268" s="36"/>
    </row>
    <row r="269" spans="1:8" ht="12.75" hidden="1">
      <c r="A269" s="36"/>
      <c r="B269" s="36"/>
      <c r="C269" s="36"/>
      <c r="D269" s="36"/>
      <c r="E269" s="36"/>
      <c r="F269" s="36"/>
      <c r="G269" s="36"/>
      <c r="H269" s="36"/>
    </row>
    <row r="270" spans="1:8" ht="12.75" hidden="1">
      <c r="A270" s="36"/>
      <c r="B270" s="36"/>
      <c r="C270" s="36"/>
      <c r="D270" s="36"/>
      <c r="E270" s="36"/>
      <c r="F270" s="36"/>
      <c r="G270" s="36"/>
      <c r="H270" s="36"/>
    </row>
    <row r="271" spans="1:8" ht="12.75" hidden="1">
      <c r="A271" s="36"/>
      <c r="B271" s="36"/>
      <c r="C271" s="36"/>
      <c r="D271" s="36"/>
      <c r="E271" s="36"/>
      <c r="F271" s="36"/>
      <c r="G271" s="36"/>
      <c r="H271" s="36"/>
    </row>
    <row r="272" spans="1:8" ht="12.75" hidden="1">
      <c r="A272" s="36"/>
      <c r="B272" s="36"/>
      <c r="C272" s="36"/>
      <c r="D272" s="36"/>
      <c r="E272" s="36"/>
      <c r="F272" s="36"/>
      <c r="G272" s="36"/>
      <c r="H272" s="36"/>
    </row>
    <row r="273" spans="1:8" ht="12.75" hidden="1">
      <c r="A273" s="36"/>
      <c r="B273" s="36"/>
      <c r="C273" s="36"/>
      <c r="D273" s="36"/>
      <c r="E273" s="36"/>
      <c r="F273" s="36"/>
      <c r="G273" s="36"/>
      <c r="H273" s="36"/>
    </row>
    <row r="274" spans="1:8" ht="12.75" hidden="1">
      <c r="A274" s="36"/>
      <c r="B274" s="36"/>
      <c r="C274" s="36"/>
      <c r="D274" s="36"/>
      <c r="E274" s="36"/>
      <c r="F274" s="36"/>
      <c r="G274" s="36"/>
      <c r="H274" s="36"/>
    </row>
    <row r="275" spans="1:8" ht="12.75" hidden="1">
      <c r="A275" s="36"/>
      <c r="B275" s="36"/>
      <c r="C275" s="36"/>
      <c r="D275" s="36"/>
      <c r="E275" s="36"/>
      <c r="F275" s="36"/>
      <c r="G275" s="36"/>
      <c r="H275" s="36"/>
    </row>
    <row r="276" spans="1:8" ht="12.75" hidden="1">
      <c r="A276" s="36"/>
      <c r="B276" s="36"/>
      <c r="C276" s="36"/>
      <c r="D276" s="36"/>
      <c r="E276" s="36"/>
      <c r="F276" s="36"/>
      <c r="G276" s="36"/>
      <c r="H276" s="36"/>
    </row>
    <row r="277" spans="1:8" ht="12.75" hidden="1">
      <c r="A277" s="36"/>
      <c r="B277" s="36"/>
      <c r="C277" s="36"/>
      <c r="D277" s="36"/>
      <c r="E277" s="36"/>
      <c r="F277" s="36"/>
      <c r="G277" s="36"/>
      <c r="H277" s="36"/>
    </row>
    <row r="278" spans="1:8" ht="12.75" hidden="1">
      <c r="A278" s="36"/>
      <c r="B278" s="36"/>
      <c r="C278" s="36"/>
      <c r="D278" s="36"/>
      <c r="E278" s="36"/>
      <c r="F278" s="36"/>
      <c r="G278" s="36"/>
      <c r="H278" s="36"/>
    </row>
    <row r="279" spans="1:8" ht="12.75" hidden="1">
      <c r="A279" s="36"/>
      <c r="B279" s="36"/>
      <c r="C279" s="36"/>
      <c r="D279" s="36"/>
      <c r="E279" s="36"/>
      <c r="F279" s="36"/>
      <c r="G279" s="36"/>
      <c r="H279" s="36"/>
    </row>
    <row r="280" spans="1:8" ht="12.75" hidden="1">
      <c r="A280" s="36"/>
      <c r="B280" s="36"/>
      <c r="C280" s="36"/>
      <c r="D280" s="36"/>
      <c r="E280" s="36"/>
      <c r="F280" s="36"/>
      <c r="G280" s="36"/>
      <c r="H280" s="36"/>
    </row>
    <row r="281" spans="1:8" ht="12.75" hidden="1">
      <c r="A281" s="36"/>
      <c r="B281" s="36"/>
      <c r="C281" s="36"/>
      <c r="D281" s="36"/>
      <c r="E281" s="36"/>
      <c r="F281" s="36"/>
      <c r="G281" s="36"/>
      <c r="H281" s="36"/>
    </row>
    <row r="282" spans="1:8" ht="12.75" hidden="1">
      <c r="A282" s="36"/>
      <c r="B282" s="36"/>
      <c r="C282" s="36"/>
      <c r="D282" s="36"/>
      <c r="E282" s="36"/>
      <c r="F282" s="36"/>
      <c r="G282" s="36"/>
      <c r="H282" s="36"/>
    </row>
    <row r="283" spans="1:8" ht="12.75" hidden="1">
      <c r="A283" s="36"/>
      <c r="B283" s="36"/>
      <c r="C283" s="36"/>
      <c r="D283" s="36"/>
      <c r="E283" s="36"/>
      <c r="F283" s="36"/>
      <c r="G283" s="36"/>
      <c r="H283" s="36"/>
    </row>
    <row r="284" spans="1:8" ht="12.75" hidden="1">
      <c r="A284" s="36"/>
      <c r="B284" s="36"/>
      <c r="C284" s="36"/>
      <c r="D284" s="36"/>
      <c r="E284" s="36"/>
      <c r="F284" s="36"/>
      <c r="G284" s="36"/>
      <c r="H284" s="36"/>
    </row>
    <row r="285" spans="1:8" ht="12.75" hidden="1">
      <c r="A285" s="36"/>
      <c r="B285" s="36"/>
      <c r="C285" s="36"/>
      <c r="D285" s="36"/>
      <c r="E285" s="36"/>
      <c r="F285" s="36"/>
      <c r="G285" s="36"/>
      <c r="H285" s="36"/>
    </row>
    <row r="286" spans="1:8" ht="12.75" hidden="1">
      <c r="A286" s="36"/>
      <c r="B286" s="36"/>
      <c r="C286" s="36"/>
      <c r="D286" s="36"/>
      <c r="E286" s="36"/>
      <c r="F286" s="36"/>
      <c r="G286" s="36"/>
      <c r="H286" s="36"/>
    </row>
    <row r="287" spans="1:8" ht="12.75" hidden="1">
      <c r="A287" s="36"/>
      <c r="B287" s="36"/>
      <c r="C287" s="36"/>
      <c r="D287" s="36"/>
      <c r="E287" s="36"/>
      <c r="F287" s="36"/>
      <c r="G287" s="36"/>
      <c r="H287" s="36"/>
    </row>
    <row r="288" spans="1:8" ht="12.75" hidden="1">
      <c r="A288" s="36"/>
      <c r="B288" s="36"/>
      <c r="C288" s="36"/>
      <c r="D288" s="36"/>
      <c r="E288" s="36"/>
      <c r="F288" s="36"/>
      <c r="G288" s="36"/>
      <c r="H288" s="36"/>
    </row>
    <row r="289" spans="1:8" ht="12.75" hidden="1">
      <c r="A289" s="36"/>
      <c r="B289" s="36"/>
      <c r="C289" s="36"/>
      <c r="D289" s="36"/>
      <c r="E289" s="36"/>
      <c r="F289" s="36"/>
      <c r="G289" s="36"/>
      <c r="H289" s="36"/>
    </row>
    <row r="290" spans="1:8" ht="12.75" hidden="1">
      <c r="A290" s="36"/>
      <c r="B290" s="36"/>
      <c r="C290" s="36"/>
      <c r="D290" s="36"/>
      <c r="E290" s="36"/>
      <c r="F290" s="36"/>
      <c r="G290" s="36"/>
      <c r="H290" s="36"/>
    </row>
    <row r="291" spans="1:8" ht="12.75" hidden="1">
      <c r="A291" s="36"/>
      <c r="B291" s="36"/>
      <c r="C291" s="36"/>
      <c r="D291" s="36"/>
      <c r="E291" s="36"/>
      <c r="F291" s="36"/>
      <c r="G291" s="36"/>
      <c r="H291" s="36"/>
    </row>
    <row r="292" spans="1:8" ht="12.75" hidden="1">
      <c r="A292" s="36"/>
      <c r="B292" s="36"/>
      <c r="C292" s="36"/>
      <c r="D292" s="36"/>
      <c r="E292" s="36"/>
      <c r="F292" s="36"/>
      <c r="G292" s="36"/>
      <c r="H292" s="36"/>
    </row>
    <row r="293" spans="1:8" ht="12.75" hidden="1">
      <c r="A293" s="36"/>
      <c r="B293" s="36"/>
      <c r="C293" s="36"/>
      <c r="D293" s="36"/>
      <c r="E293" s="36"/>
      <c r="F293" s="36"/>
      <c r="G293" s="36"/>
      <c r="H293" s="36"/>
    </row>
    <row r="294" spans="1:8" ht="12.75" hidden="1">
      <c r="A294" s="36"/>
      <c r="B294" s="36"/>
      <c r="C294" s="36"/>
      <c r="D294" s="36"/>
      <c r="E294" s="36"/>
      <c r="F294" s="36"/>
      <c r="G294" s="36"/>
      <c r="H294" s="36"/>
    </row>
    <row r="295" spans="1:8" ht="12.75" hidden="1">
      <c r="A295" s="36"/>
      <c r="B295" s="36"/>
      <c r="C295" s="36"/>
      <c r="D295" s="36"/>
      <c r="E295" s="36"/>
      <c r="F295" s="36"/>
      <c r="G295" s="36"/>
      <c r="H295" s="36"/>
    </row>
    <row r="296" spans="1:8" ht="12.75" hidden="1">
      <c r="A296" s="36"/>
      <c r="B296" s="36"/>
      <c r="C296" s="36"/>
      <c r="D296" s="36"/>
      <c r="E296" s="36"/>
      <c r="F296" s="36"/>
      <c r="G296" s="36"/>
      <c r="H296" s="36"/>
    </row>
    <row r="297" spans="1:8" ht="12.75" hidden="1">
      <c r="A297" s="36"/>
      <c r="B297" s="36"/>
      <c r="C297" s="36"/>
      <c r="D297" s="36"/>
      <c r="E297" s="36"/>
      <c r="F297" s="36"/>
      <c r="G297" s="36"/>
      <c r="H297" s="36"/>
    </row>
    <row r="298" spans="1:8" ht="12.75" hidden="1">
      <c r="A298" s="36"/>
      <c r="B298" s="36"/>
      <c r="C298" s="36"/>
      <c r="D298" s="36"/>
      <c r="E298" s="36"/>
      <c r="F298" s="36"/>
      <c r="G298" s="36"/>
      <c r="H298" s="36"/>
    </row>
    <row r="299" spans="1:8" ht="12.75" hidden="1">
      <c r="A299" s="36"/>
      <c r="B299" s="36"/>
      <c r="C299" s="36"/>
      <c r="D299" s="36"/>
      <c r="E299" s="36"/>
      <c r="F299" s="36"/>
      <c r="G299" s="36"/>
      <c r="H299" s="36"/>
    </row>
    <row r="300" spans="1:8" ht="12.75" hidden="1">
      <c r="A300" s="36"/>
      <c r="B300" s="36"/>
      <c r="C300" s="36"/>
      <c r="D300" s="36"/>
      <c r="E300" s="36"/>
      <c r="F300" s="36"/>
      <c r="G300" s="36"/>
      <c r="H300" s="36"/>
    </row>
    <row r="301" spans="1:8" ht="12.75" hidden="1">
      <c r="A301" s="36"/>
      <c r="B301" s="36"/>
      <c r="C301" s="36"/>
      <c r="D301" s="36"/>
      <c r="E301" s="36"/>
      <c r="F301" s="36"/>
      <c r="G301" s="36"/>
      <c r="H301" s="36"/>
    </row>
    <row r="302" spans="1:8" ht="12.75" hidden="1">
      <c r="A302" s="36"/>
      <c r="B302" s="36"/>
      <c r="C302" s="36"/>
      <c r="D302" s="36"/>
      <c r="E302" s="36"/>
      <c r="F302" s="36"/>
      <c r="G302" s="36"/>
      <c r="H302" s="36"/>
    </row>
    <row r="303" spans="1:8" ht="12.75" hidden="1">
      <c r="A303" s="36"/>
      <c r="B303" s="36"/>
      <c r="C303" s="36"/>
      <c r="D303" s="36"/>
      <c r="E303" s="36"/>
      <c r="F303" s="36"/>
      <c r="G303" s="36"/>
      <c r="H303" s="36"/>
    </row>
    <row r="304" spans="1:8" ht="12.75" hidden="1">
      <c r="A304" s="36"/>
      <c r="B304" s="36"/>
      <c r="C304" s="36"/>
      <c r="D304" s="36"/>
      <c r="E304" s="36"/>
      <c r="F304" s="36"/>
      <c r="G304" s="36"/>
      <c r="H304" s="36"/>
    </row>
    <row r="305" spans="1:8" ht="12.75" hidden="1">
      <c r="A305" s="36"/>
      <c r="B305" s="36"/>
      <c r="C305" s="36"/>
      <c r="D305" s="36"/>
      <c r="E305" s="36"/>
      <c r="F305" s="36"/>
      <c r="G305" s="36"/>
      <c r="H305" s="36"/>
    </row>
    <row r="306" spans="1:8" ht="12.75" hidden="1">
      <c r="A306" s="36"/>
      <c r="B306" s="36"/>
      <c r="C306" s="36"/>
      <c r="D306" s="36"/>
      <c r="E306" s="36"/>
      <c r="F306" s="36"/>
      <c r="G306" s="36"/>
      <c r="H306" s="36"/>
    </row>
    <row r="307" spans="1:8" ht="12.75" hidden="1">
      <c r="A307" s="36"/>
      <c r="B307" s="36"/>
      <c r="C307" s="36"/>
      <c r="D307" s="36"/>
      <c r="E307" s="36"/>
      <c r="F307" s="36"/>
      <c r="G307" s="36"/>
      <c r="H307" s="36"/>
    </row>
    <row r="308" spans="1:8" ht="12.75" hidden="1">
      <c r="A308" s="36"/>
      <c r="B308" s="36"/>
      <c r="C308" s="36"/>
      <c r="D308" s="36"/>
      <c r="E308" s="36"/>
      <c r="F308" s="36"/>
      <c r="G308" s="36"/>
      <c r="H308" s="36"/>
    </row>
    <row r="309" spans="1:8" ht="12.75" hidden="1">
      <c r="A309" s="36"/>
      <c r="B309" s="36"/>
      <c r="C309" s="36"/>
      <c r="D309" s="36"/>
      <c r="E309" s="36"/>
      <c r="F309" s="36"/>
      <c r="G309" s="36"/>
      <c r="H309" s="36"/>
    </row>
    <row r="310" spans="1:8" ht="12.75" hidden="1">
      <c r="A310" s="36"/>
      <c r="B310" s="36"/>
      <c r="C310" s="36"/>
      <c r="D310" s="36"/>
      <c r="E310" s="36"/>
      <c r="F310" s="36"/>
      <c r="G310" s="36"/>
      <c r="H310" s="36"/>
    </row>
    <row r="311" spans="1:8" ht="12.75" hidden="1">
      <c r="A311" s="36"/>
      <c r="B311" s="36"/>
      <c r="C311" s="36"/>
      <c r="D311" s="36"/>
      <c r="E311" s="36"/>
      <c r="F311" s="36"/>
      <c r="G311" s="36"/>
      <c r="H311" s="36"/>
    </row>
    <row r="312" spans="1:8" ht="12.75" hidden="1">
      <c r="A312" s="36"/>
      <c r="B312" s="36"/>
      <c r="C312" s="36"/>
      <c r="D312" s="36"/>
      <c r="E312" s="36"/>
      <c r="F312" s="36"/>
      <c r="G312" s="36"/>
      <c r="H312" s="36"/>
    </row>
    <row r="313" spans="1:8" ht="12.75" hidden="1">
      <c r="A313" s="36"/>
      <c r="B313" s="36"/>
      <c r="C313" s="36"/>
      <c r="D313" s="36"/>
      <c r="E313" s="36"/>
      <c r="F313" s="36"/>
      <c r="G313" s="36"/>
      <c r="H313" s="36"/>
    </row>
    <row r="314" spans="1:8" ht="12.75" hidden="1">
      <c r="A314" s="36"/>
      <c r="B314" s="36"/>
      <c r="C314" s="36"/>
      <c r="D314" s="36"/>
      <c r="E314" s="36"/>
      <c r="F314" s="36"/>
      <c r="G314" s="36"/>
      <c r="H314" s="36"/>
    </row>
    <row r="315" spans="1:8" ht="12.75" hidden="1">
      <c r="A315" s="36"/>
      <c r="B315" s="36"/>
      <c r="C315" s="36"/>
      <c r="D315" s="36"/>
      <c r="E315" s="36"/>
      <c r="F315" s="36"/>
      <c r="G315" s="36"/>
      <c r="H315" s="36"/>
    </row>
    <row r="316" spans="1:8" ht="12.75" hidden="1">
      <c r="A316" s="36"/>
      <c r="B316" s="36"/>
      <c r="C316" s="36"/>
      <c r="D316" s="36"/>
      <c r="E316" s="36"/>
      <c r="F316" s="36"/>
      <c r="G316" s="36"/>
      <c r="H316" s="36"/>
    </row>
    <row r="317" spans="1:8" ht="12.75" hidden="1">
      <c r="A317" s="36"/>
      <c r="B317" s="36"/>
      <c r="C317" s="36"/>
      <c r="D317" s="36"/>
      <c r="E317" s="36"/>
      <c r="F317" s="36"/>
      <c r="G317" s="36"/>
      <c r="H317" s="36"/>
    </row>
    <row r="318" spans="1:8" ht="12.75" hidden="1">
      <c r="A318" s="36"/>
      <c r="B318" s="36"/>
      <c r="C318" s="36"/>
      <c r="D318" s="36"/>
      <c r="E318" s="36"/>
      <c r="F318" s="36"/>
      <c r="G318" s="36"/>
      <c r="H318" s="36"/>
    </row>
    <row r="319" spans="1:8" ht="12.75" hidden="1">
      <c r="A319" s="36"/>
      <c r="B319" s="36"/>
      <c r="C319" s="36"/>
      <c r="D319" s="36"/>
      <c r="E319" s="36"/>
      <c r="F319" s="36"/>
      <c r="G319" s="36"/>
      <c r="H319" s="36"/>
    </row>
    <row r="320" spans="1:8" ht="12.75" hidden="1">
      <c r="A320" s="36"/>
      <c r="B320" s="36"/>
      <c r="C320" s="36"/>
      <c r="D320" s="36"/>
      <c r="E320" s="36"/>
      <c r="F320" s="36"/>
      <c r="G320" s="36"/>
      <c r="H320" s="36"/>
    </row>
    <row r="321" spans="1:8" ht="12.75" hidden="1">
      <c r="A321" s="36"/>
      <c r="B321" s="36"/>
      <c r="C321" s="36"/>
      <c r="D321" s="36"/>
      <c r="E321" s="36"/>
      <c r="F321" s="36"/>
      <c r="G321" s="36"/>
      <c r="H321" s="36"/>
    </row>
    <row r="322" spans="1:8" ht="12.75" hidden="1">
      <c r="A322" s="36"/>
      <c r="B322" s="36"/>
      <c r="C322" s="36"/>
      <c r="D322" s="36"/>
      <c r="E322" s="36"/>
      <c r="F322" s="36"/>
      <c r="G322" s="36"/>
      <c r="H322" s="36"/>
    </row>
    <row r="323" spans="1:8" ht="12.75" hidden="1">
      <c r="A323" s="36"/>
      <c r="B323" s="36"/>
      <c r="C323" s="36"/>
      <c r="D323" s="36"/>
      <c r="E323" s="36"/>
      <c r="F323" s="36"/>
      <c r="G323" s="36"/>
      <c r="H323" s="36"/>
    </row>
    <row r="324" spans="1:8" ht="12.75" hidden="1">
      <c r="A324" s="36"/>
      <c r="B324" s="36"/>
      <c r="C324" s="36"/>
      <c r="D324" s="36"/>
      <c r="E324" s="36"/>
      <c r="F324" s="36"/>
      <c r="G324" s="36"/>
      <c r="H324" s="36"/>
    </row>
    <row r="325" spans="1:8" ht="12.75" hidden="1">
      <c r="A325" s="36"/>
      <c r="B325" s="36"/>
      <c r="C325" s="36"/>
      <c r="D325" s="36"/>
      <c r="E325" s="36"/>
      <c r="F325" s="36"/>
      <c r="G325" s="36"/>
      <c r="H325" s="36"/>
    </row>
    <row r="326" spans="1:8" ht="12.75" hidden="1">
      <c r="A326" s="36"/>
      <c r="B326" s="36"/>
      <c r="C326" s="36"/>
      <c r="D326" s="36"/>
      <c r="E326" s="36"/>
      <c r="F326" s="36"/>
      <c r="G326" s="36"/>
      <c r="H326" s="36"/>
    </row>
    <row r="327" spans="1:8" ht="12.75" hidden="1">
      <c r="A327" s="36"/>
      <c r="B327" s="36"/>
      <c r="C327" s="36"/>
      <c r="D327" s="36"/>
      <c r="E327" s="36"/>
      <c r="F327" s="36"/>
      <c r="G327" s="36"/>
      <c r="H327" s="36"/>
    </row>
    <row r="328" spans="1:8" ht="12.75" hidden="1">
      <c r="A328" s="36"/>
      <c r="B328" s="36"/>
      <c r="C328" s="36"/>
      <c r="D328" s="36"/>
      <c r="E328" s="36"/>
      <c r="F328" s="36"/>
      <c r="G328" s="36"/>
      <c r="H328" s="36"/>
    </row>
    <row r="329" spans="1:8" ht="12.75" hidden="1">
      <c r="A329" s="36"/>
      <c r="B329" s="36"/>
      <c r="C329" s="36"/>
      <c r="D329" s="36"/>
      <c r="E329" s="36"/>
      <c r="F329" s="36"/>
      <c r="G329" s="36"/>
      <c r="H329" s="36"/>
    </row>
    <row r="330" spans="1:8" ht="12.75" hidden="1">
      <c r="A330" s="36"/>
      <c r="B330" s="36"/>
      <c r="C330" s="36"/>
      <c r="D330" s="36"/>
      <c r="E330" s="36"/>
      <c r="F330" s="36"/>
      <c r="G330" s="36"/>
      <c r="H330" s="36"/>
    </row>
    <row r="331" spans="1:8" ht="12.75" hidden="1">
      <c r="A331" s="36"/>
      <c r="B331" s="36"/>
      <c r="C331" s="36"/>
      <c r="D331" s="36"/>
      <c r="E331" s="36"/>
      <c r="F331" s="36"/>
      <c r="G331" s="36"/>
      <c r="H331" s="36"/>
    </row>
    <row r="332" spans="1:8" ht="12.75" hidden="1">
      <c r="A332" s="36"/>
      <c r="B332" s="36"/>
      <c r="C332" s="36"/>
      <c r="D332" s="36"/>
      <c r="E332" s="36"/>
      <c r="F332" s="36"/>
      <c r="G332" s="36"/>
      <c r="H332" s="36"/>
    </row>
    <row r="333" spans="1:8" ht="12.75" hidden="1">
      <c r="A333" s="36"/>
      <c r="B333" s="36"/>
      <c r="C333" s="36"/>
      <c r="D333" s="36"/>
      <c r="E333" s="36"/>
      <c r="F333" s="36"/>
      <c r="G333" s="36"/>
      <c r="H333" s="36"/>
    </row>
    <row r="334" spans="1:8" ht="12.75" hidden="1">
      <c r="A334" s="36"/>
      <c r="B334" s="36"/>
      <c r="C334" s="36"/>
      <c r="D334" s="36"/>
      <c r="E334" s="36"/>
      <c r="F334" s="36"/>
      <c r="G334" s="36"/>
      <c r="H334" s="36"/>
    </row>
    <row r="335" spans="1:8" ht="12.75" hidden="1">
      <c r="A335" s="36"/>
      <c r="B335" s="36"/>
      <c r="C335" s="36"/>
      <c r="D335" s="36"/>
      <c r="E335" s="36"/>
      <c r="F335" s="36"/>
      <c r="G335" s="36"/>
      <c r="H335" s="36"/>
    </row>
    <row r="336" spans="1:8" ht="12.75" hidden="1">
      <c r="A336" s="36"/>
      <c r="B336" s="36"/>
      <c r="C336" s="36"/>
      <c r="D336" s="36"/>
      <c r="E336" s="36"/>
      <c r="F336" s="36"/>
      <c r="G336" s="36"/>
      <c r="H336" s="36"/>
    </row>
    <row r="337" spans="1:8" ht="12.75" hidden="1">
      <c r="A337" s="36"/>
      <c r="B337" s="36"/>
      <c r="C337" s="36"/>
      <c r="D337" s="36"/>
      <c r="E337" s="36"/>
      <c r="F337" s="36"/>
      <c r="G337" s="36"/>
      <c r="H337" s="36"/>
    </row>
    <row r="338" spans="1:8" ht="12.75" hidden="1">
      <c r="A338" s="36"/>
      <c r="B338" s="36"/>
      <c r="C338" s="36"/>
      <c r="D338" s="36"/>
      <c r="E338" s="36"/>
      <c r="F338" s="36"/>
      <c r="G338" s="36"/>
      <c r="H338" s="36"/>
    </row>
    <row r="339" spans="1:8" ht="12.75" hidden="1">
      <c r="A339" s="36"/>
      <c r="B339" s="36"/>
      <c r="C339" s="36"/>
      <c r="D339" s="36"/>
      <c r="E339" s="36"/>
      <c r="F339" s="36"/>
      <c r="G339" s="36"/>
      <c r="H339" s="36"/>
    </row>
    <row r="340" spans="1:8" ht="12.75" hidden="1">
      <c r="A340" s="36"/>
      <c r="B340" s="36"/>
      <c r="C340" s="36"/>
      <c r="D340" s="36"/>
      <c r="E340" s="36"/>
      <c r="F340" s="36"/>
      <c r="G340" s="36"/>
      <c r="H340" s="36"/>
    </row>
    <row r="341" spans="1:8" ht="12.75" hidden="1">
      <c r="A341" s="36"/>
      <c r="B341" s="36"/>
      <c r="C341" s="36"/>
      <c r="D341" s="36"/>
      <c r="E341" s="36"/>
      <c r="F341" s="36"/>
      <c r="G341" s="36"/>
      <c r="H341" s="36"/>
    </row>
    <row r="342" spans="1:8" ht="12.75" hidden="1">
      <c r="A342" s="36"/>
      <c r="B342" s="36"/>
      <c r="C342" s="36"/>
      <c r="D342" s="36"/>
      <c r="E342" s="36"/>
      <c r="F342" s="36"/>
      <c r="G342" s="36"/>
      <c r="H342" s="36"/>
    </row>
    <row r="343" spans="1:8" ht="12.75" hidden="1">
      <c r="A343" s="36"/>
      <c r="B343" s="36"/>
      <c r="C343" s="36"/>
      <c r="D343" s="36"/>
      <c r="E343" s="36"/>
      <c r="F343" s="36"/>
      <c r="G343" s="36"/>
      <c r="H343" s="36"/>
    </row>
    <row r="344" spans="1:8" ht="12.75" hidden="1">
      <c r="A344" s="36"/>
      <c r="B344" s="36"/>
      <c r="C344" s="36"/>
      <c r="D344" s="36"/>
      <c r="E344" s="36"/>
      <c r="F344" s="36"/>
      <c r="G344" s="36"/>
      <c r="H344" s="36"/>
    </row>
    <row r="345" spans="1:8" ht="12.75" hidden="1">
      <c r="A345" s="36"/>
      <c r="B345" s="36"/>
      <c r="C345" s="36"/>
      <c r="D345" s="36"/>
      <c r="E345" s="36"/>
      <c r="F345" s="36"/>
      <c r="G345" s="36"/>
      <c r="H345" s="36"/>
    </row>
    <row r="346" spans="1:8" ht="12.75" hidden="1">
      <c r="A346" s="36"/>
      <c r="B346" s="36"/>
      <c r="C346" s="36"/>
      <c r="D346" s="36"/>
      <c r="E346" s="36"/>
      <c r="F346" s="36"/>
      <c r="G346" s="36"/>
      <c r="H346" s="36"/>
    </row>
    <row r="347" spans="1:8" ht="12.75" hidden="1">
      <c r="A347" s="36"/>
      <c r="B347" s="36"/>
      <c r="C347" s="36"/>
      <c r="D347" s="36"/>
      <c r="E347" s="36"/>
      <c r="F347" s="36"/>
      <c r="G347" s="36"/>
      <c r="H347" s="36"/>
    </row>
    <row r="348" spans="1:8" ht="12.75" hidden="1">
      <c r="A348" s="36"/>
      <c r="B348" s="36"/>
      <c r="C348" s="36"/>
      <c r="D348" s="36"/>
      <c r="E348" s="36"/>
      <c r="F348" s="36"/>
      <c r="G348" s="36"/>
      <c r="H348" s="36"/>
    </row>
    <row r="349" spans="1:8" ht="12.75" hidden="1">
      <c r="A349" s="36"/>
      <c r="B349" s="36"/>
      <c r="C349" s="36"/>
      <c r="D349" s="36"/>
      <c r="E349" s="36"/>
      <c r="F349" s="36"/>
      <c r="G349" s="36"/>
      <c r="H349" s="36"/>
    </row>
    <row r="350" spans="1:8" ht="12.75" hidden="1">
      <c r="A350" s="36"/>
      <c r="B350" s="36"/>
      <c r="C350" s="36"/>
      <c r="D350" s="36"/>
      <c r="E350" s="36"/>
      <c r="F350" s="36"/>
      <c r="G350" s="36"/>
      <c r="H350" s="36"/>
    </row>
    <row r="351" spans="1:8" ht="12.75" hidden="1">
      <c r="A351" s="36"/>
      <c r="B351" s="36"/>
      <c r="C351" s="36"/>
      <c r="D351" s="36"/>
      <c r="E351" s="36"/>
      <c r="F351" s="36"/>
      <c r="G351" s="36"/>
      <c r="H351" s="36"/>
    </row>
    <row r="352" spans="1:8" ht="12.75" hidden="1">
      <c r="A352" s="36"/>
      <c r="B352" s="36"/>
      <c r="C352" s="36"/>
      <c r="D352" s="36"/>
      <c r="E352" s="36"/>
      <c r="F352" s="36"/>
      <c r="G352" s="36"/>
      <c r="H352" s="36"/>
    </row>
    <row r="353" spans="1:8" ht="12.75" hidden="1">
      <c r="A353" s="36"/>
      <c r="B353" s="36"/>
      <c r="C353" s="36"/>
      <c r="D353" s="36"/>
      <c r="E353" s="36"/>
      <c r="F353" s="36"/>
      <c r="G353" s="36"/>
      <c r="H353" s="36"/>
    </row>
    <row r="354" spans="1:8" ht="12.75" hidden="1">
      <c r="A354" s="36"/>
      <c r="B354" s="36"/>
      <c r="C354" s="36"/>
      <c r="D354" s="36"/>
      <c r="E354" s="36"/>
      <c r="F354" s="36"/>
      <c r="G354" s="36"/>
      <c r="H354" s="36"/>
    </row>
    <row r="355" spans="1:8" ht="12.75" hidden="1">
      <c r="A355" s="36"/>
      <c r="B355" s="36"/>
      <c r="C355" s="36"/>
      <c r="D355" s="36"/>
      <c r="E355" s="36"/>
      <c r="F355" s="36"/>
      <c r="G355" s="36"/>
      <c r="H355" s="36"/>
    </row>
    <row r="356" spans="1:8" ht="12.75" hidden="1">
      <c r="A356" s="36"/>
      <c r="B356" s="36"/>
      <c r="C356" s="36"/>
      <c r="D356" s="36"/>
      <c r="E356" s="36"/>
      <c r="F356" s="36"/>
      <c r="G356" s="36"/>
      <c r="H356" s="36"/>
    </row>
    <row r="357" spans="1:8" ht="12.75" hidden="1">
      <c r="A357" s="36"/>
      <c r="B357" s="36"/>
      <c r="C357" s="36"/>
      <c r="D357" s="36"/>
      <c r="E357" s="36"/>
      <c r="F357" s="36"/>
      <c r="G357" s="36"/>
      <c r="H357" s="36"/>
    </row>
    <row r="358" spans="1:8" ht="12.75" hidden="1">
      <c r="A358" s="36"/>
      <c r="B358" s="36"/>
      <c r="C358" s="36"/>
      <c r="D358" s="36"/>
      <c r="E358" s="36"/>
      <c r="F358" s="36"/>
      <c r="G358" s="36"/>
      <c r="H358" s="36"/>
    </row>
    <row r="359" spans="1:8" ht="12.75" hidden="1">
      <c r="A359" s="36"/>
      <c r="B359" s="36"/>
      <c r="C359" s="36"/>
      <c r="D359" s="36"/>
      <c r="E359" s="36"/>
      <c r="F359" s="36"/>
      <c r="G359" s="36"/>
      <c r="H359" s="36"/>
    </row>
    <row r="360" spans="1:8" ht="12.75" hidden="1">
      <c r="A360" s="36"/>
      <c r="B360" s="36"/>
      <c r="C360" s="36"/>
      <c r="D360" s="36"/>
      <c r="E360" s="36"/>
      <c r="F360" s="36"/>
      <c r="G360" s="36"/>
      <c r="H360" s="36"/>
    </row>
    <row r="361" spans="1:8" ht="12.75" hidden="1">
      <c r="A361" s="36"/>
      <c r="B361" s="36"/>
      <c r="C361" s="36"/>
      <c r="D361" s="36"/>
      <c r="E361" s="36"/>
      <c r="F361" s="36"/>
      <c r="G361" s="36"/>
      <c r="H361" s="36"/>
    </row>
    <row r="362" spans="1:8" ht="12.75" hidden="1">
      <c r="A362" s="36"/>
      <c r="B362" s="36"/>
      <c r="C362" s="36"/>
      <c r="D362" s="36"/>
      <c r="E362" s="36"/>
      <c r="F362" s="36"/>
      <c r="G362" s="36"/>
      <c r="H362" s="36"/>
    </row>
    <row r="363" spans="1:8" ht="12.75" hidden="1">
      <c r="A363" s="36"/>
      <c r="B363" s="36"/>
      <c r="C363" s="36"/>
      <c r="D363" s="36"/>
      <c r="E363" s="36"/>
      <c r="F363" s="36"/>
      <c r="G363" s="36"/>
      <c r="H363" s="36"/>
    </row>
    <row r="364" spans="1:8" ht="12.75" hidden="1">
      <c r="A364" s="36"/>
      <c r="B364" s="36"/>
      <c r="C364" s="36"/>
      <c r="D364" s="36"/>
      <c r="E364" s="36"/>
      <c r="F364" s="36"/>
      <c r="G364" s="36"/>
      <c r="H364" s="36"/>
    </row>
    <row r="365" spans="1:8" ht="12.75" hidden="1">
      <c r="A365" s="36"/>
      <c r="B365" s="36"/>
      <c r="C365" s="36"/>
      <c r="D365" s="36"/>
      <c r="E365" s="36"/>
      <c r="F365" s="36"/>
      <c r="G365" s="36"/>
      <c r="H365" s="36"/>
    </row>
    <row r="366" spans="1:8" ht="12.75" hidden="1">
      <c r="A366" s="36"/>
      <c r="B366" s="36"/>
      <c r="C366" s="36"/>
      <c r="D366" s="36"/>
      <c r="E366" s="36"/>
      <c r="F366" s="36"/>
      <c r="G366" s="36"/>
      <c r="H366" s="36"/>
    </row>
    <row r="367" spans="1:8" ht="12.75" hidden="1">
      <c r="A367" s="36"/>
      <c r="B367" s="36"/>
      <c r="C367" s="36"/>
      <c r="D367" s="36"/>
      <c r="E367" s="36"/>
      <c r="F367" s="36"/>
      <c r="G367" s="36"/>
      <c r="H367" s="36"/>
    </row>
    <row r="368" spans="1:8" ht="12.75" hidden="1">
      <c r="A368" s="36"/>
      <c r="B368" s="36"/>
      <c r="C368" s="36"/>
      <c r="D368" s="36"/>
      <c r="E368" s="36"/>
      <c r="F368" s="36"/>
      <c r="G368" s="36"/>
      <c r="H368" s="36"/>
    </row>
    <row r="369" spans="1:8" ht="12.75" hidden="1">
      <c r="A369" s="36"/>
      <c r="B369" s="36"/>
      <c r="C369" s="36"/>
      <c r="D369" s="36"/>
      <c r="E369" s="36"/>
      <c r="F369" s="36"/>
      <c r="G369" s="36"/>
      <c r="H369" s="36"/>
    </row>
    <row r="370" spans="1:8" ht="12.75" hidden="1">
      <c r="A370" s="36"/>
      <c r="B370" s="36"/>
      <c r="C370" s="36"/>
      <c r="D370" s="36"/>
      <c r="E370" s="36"/>
      <c r="F370" s="36"/>
      <c r="G370" s="36"/>
      <c r="H370" s="36"/>
    </row>
    <row r="371" spans="1:8" ht="12.75" hidden="1">
      <c r="A371" s="36"/>
      <c r="B371" s="36"/>
      <c r="C371" s="36"/>
      <c r="D371" s="36"/>
      <c r="E371" s="36"/>
      <c r="F371" s="36"/>
      <c r="G371" s="36"/>
      <c r="H371" s="36"/>
    </row>
    <row r="372" spans="1:8" ht="12.75" hidden="1">
      <c r="A372" s="36"/>
      <c r="B372" s="36"/>
      <c r="C372" s="36"/>
      <c r="D372" s="36"/>
      <c r="E372" s="36"/>
      <c r="F372" s="36"/>
      <c r="G372" s="36"/>
      <c r="H372" s="36"/>
    </row>
    <row r="373" spans="1:8" ht="12.75" hidden="1">
      <c r="A373" s="36"/>
      <c r="B373" s="36"/>
      <c r="C373" s="36"/>
      <c r="D373" s="36"/>
      <c r="E373" s="36"/>
      <c r="F373" s="36"/>
      <c r="G373" s="36"/>
      <c r="H373" s="36"/>
    </row>
    <row r="374" spans="1:8" ht="12.75" hidden="1">
      <c r="A374" s="36"/>
      <c r="B374" s="36"/>
      <c r="C374" s="36"/>
      <c r="D374" s="36"/>
      <c r="E374" s="36"/>
      <c r="F374" s="36"/>
      <c r="G374" s="36"/>
      <c r="H374" s="36"/>
    </row>
    <row r="375" spans="1:8" ht="12.75" hidden="1">
      <c r="A375" s="36"/>
      <c r="B375" s="36"/>
      <c r="C375" s="36"/>
      <c r="D375" s="36"/>
      <c r="E375" s="36"/>
      <c r="F375" s="36"/>
      <c r="G375" s="36"/>
      <c r="H375" s="36"/>
    </row>
    <row r="376" spans="1:8" ht="12.75" hidden="1">
      <c r="A376" s="36"/>
      <c r="B376" s="36"/>
      <c r="C376" s="36"/>
      <c r="D376" s="36"/>
      <c r="E376" s="36"/>
      <c r="F376" s="36"/>
      <c r="G376" s="36"/>
      <c r="H376" s="36"/>
    </row>
    <row r="377" spans="1:8" ht="12.75" hidden="1">
      <c r="A377" s="36"/>
      <c r="B377" s="36"/>
      <c r="C377" s="36"/>
      <c r="D377" s="36"/>
      <c r="E377" s="36"/>
      <c r="F377" s="36"/>
      <c r="G377" s="36"/>
      <c r="H377" s="36"/>
    </row>
    <row r="378" spans="1:8" ht="12.75" hidden="1">
      <c r="A378" s="36"/>
      <c r="B378" s="36"/>
      <c r="C378" s="36"/>
      <c r="D378" s="36"/>
      <c r="E378" s="36"/>
      <c r="F378" s="36"/>
      <c r="G378" s="36"/>
      <c r="H378" s="36"/>
    </row>
    <row r="379" spans="1:8" ht="12.75" hidden="1">
      <c r="A379" s="36"/>
      <c r="B379" s="36"/>
      <c r="C379" s="36"/>
      <c r="D379" s="36"/>
      <c r="E379" s="36"/>
      <c r="F379" s="36"/>
      <c r="G379" s="36"/>
      <c r="H379" s="36"/>
    </row>
    <row r="380" spans="1:8" ht="12.75" hidden="1">
      <c r="A380" s="36"/>
      <c r="B380" s="36"/>
      <c r="C380" s="36"/>
      <c r="D380" s="36"/>
      <c r="E380" s="36"/>
      <c r="F380" s="36"/>
      <c r="G380" s="36"/>
      <c r="H380" s="36"/>
    </row>
    <row r="381" spans="1:8" ht="12.75" hidden="1">
      <c r="A381" s="36"/>
      <c r="B381" s="36"/>
      <c r="C381" s="36"/>
      <c r="D381" s="36"/>
      <c r="E381" s="36"/>
      <c r="F381" s="36"/>
      <c r="G381" s="36"/>
      <c r="H381" s="36"/>
    </row>
    <row r="382" spans="1:8" ht="12.75" hidden="1">
      <c r="A382" s="36"/>
      <c r="B382" s="36"/>
      <c r="C382" s="36"/>
      <c r="D382" s="36"/>
      <c r="E382" s="36"/>
      <c r="F382" s="36"/>
      <c r="G382" s="36"/>
      <c r="H382" s="36"/>
    </row>
    <row r="383" spans="1:8" ht="12.75" hidden="1">
      <c r="A383" s="36"/>
      <c r="B383" s="36"/>
      <c r="C383" s="36"/>
      <c r="D383" s="36"/>
      <c r="E383" s="36"/>
      <c r="F383" s="36"/>
      <c r="G383" s="36"/>
      <c r="H383" s="36"/>
    </row>
    <row r="384" spans="1:8" ht="12.75" hidden="1">
      <c r="A384" s="36"/>
      <c r="B384" s="36"/>
      <c r="C384" s="36"/>
      <c r="D384" s="36"/>
      <c r="E384" s="36"/>
      <c r="F384" s="36"/>
      <c r="G384" s="36"/>
      <c r="H384" s="36"/>
    </row>
    <row r="385" spans="1:8" ht="12.75" hidden="1">
      <c r="A385" s="36"/>
      <c r="B385" s="36"/>
      <c r="C385" s="36"/>
      <c r="D385" s="36"/>
      <c r="E385" s="36"/>
      <c r="F385" s="36"/>
      <c r="G385" s="36"/>
      <c r="H385" s="36"/>
    </row>
    <row r="386" spans="1:8" ht="12.75" hidden="1">
      <c r="A386" s="36"/>
      <c r="B386" s="36"/>
      <c r="C386" s="36"/>
      <c r="D386" s="36"/>
      <c r="E386" s="36"/>
      <c r="F386" s="36"/>
      <c r="G386" s="36"/>
      <c r="H386" s="36"/>
    </row>
    <row r="387" spans="1:8" ht="12.75" hidden="1">
      <c r="A387" s="36"/>
      <c r="B387" s="36"/>
      <c r="C387" s="36"/>
      <c r="D387" s="36"/>
      <c r="E387" s="36"/>
      <c r="F387" s="36"/>
      <c r="G387" s="36"/>
      <c r="H387" s="36"/>
    </row>
    <row r="388" spans="1:8" ht="12.75" hidden="1">
      <c r="A388" s="36"/>
      <c r="B388" s="36"/>
      <c r="C388" s="36"/>
      <c r="D388" s="36"/>
      <c r="E388" s="36"/>
      <c r="F388" s="36"/>
      <c r="G388" s="36"/>
      <c r="H388" s="36"/>
    </row>
    <row r="389" spans="1:8" ht="12.75" hidden="1">
      <c r="A389" s="36"/>
      <c r="B389" s="36"/>
      <c r="C389" s="36"/>
      <c r="D389" s="36"/>
      <c r="E389" s="36"/>
      <c r="F389" s="36"/>
      <c r="G389" s="36"/>
      <c r="H389" s="36"/>
    </row>
    <row r="390" spans="1:8" ht="12.75" hidden="1">
      <c r="A390" s="36"/>
      <c r="B390" s="36"/>
      <c r="C390" s="36"/>
      <c r="D390" s="36"/>
      <c r="E390" s="36"/>
      <c r="F390" s="36"/>
      <c r="G390" s="36"/>
      <c r="H390" s="36"/>
    </row>
    <row r="391" spans="1:8" ht="12.75" hidden="1">
      <c r="A391" s="36"/>
      <c r="B391" s="36"/>
      <c r="C391" s="36"/>
      <c r="D391" s="36"/>
      <c r="E391" s="36"/>
      <c r="F391" s="36"/>
      <c r="G391" s="36"/>
      <c r="H391" s="36"/>
    </row>
    <row r="392" spans="1:8" ht="12.75" hidden="1">
      <c r="A392" s="36"/>
      <c r="B392" s="36"/>
      <c r="C392" s="36"/>
      <c r="D392" s="36"/>
      <c r="E392" s="36"/>
      <c r="F392" s="36"/>
      <c r="G392" s="36"/>
      <c r="H392" s="36"/>
    </row>
    <row r="393" spans="1:8" ht="12.75" hidden="1">
      <c r="A393" s="36"/>
      <c r="B393" s="36"/>
      <c r="C393" s="36"/>
      <c r="D393" s="36"/>
      <c r="E393" s="36"/>
      <c r="F393" s="36"/>
      <c r="G393" s="36"/>
      <c r="H393" s="36"/>
    </row>
    <row r="394" spans="1:8" ht="12.75" hidden="1">
      <c r="A394" s="36"/>
      <c r="B394" s="36"/>
      <c r="C394" s="36"/>
      <c r="D394" s="36"/>
      <c r="E394" s="36"/>
      <c r="F394" s="36"/>
      <c r="G394" s="36"/>
      <c r="H394" s="36"/>
    </row>
    <row r="395" spans="1:8" ht="12.75" hidden="1">
      <c r="A395" s="36"/>
      <c r="B395" s="36"/>
      <c r="C395" s="36"/>
      <c r="D395" s="36"/>
      <c r="E395" s="36"/>
      <c r="F395" s="36"/>
      <c r="G395" s="36"/>
      <c r="H395" s="36"/>
    </row>
    <row r="396" spans="1:8" ht="12.75" hidden="1">
      <c r="A396" s="36"/>
      <c r="B396" s="36"/>
      <c r="C396" s="36"/>
      <c r="D396" s="36"/>
      <c r="E396" s="36"/>
      <c r="F396" s="36"/>
      <c r="G396" s="36"/>
      <c r="H396" s="36"/>
    </row>
    <row r="397" spans="1:8" ht="12.75" hidden="1">
      <c r="A397" s="36"/>
      <c r="B397" s="36"/>
      <c r="C397" s="36"/>
      <c r="D397" s="36"/>
      <c r="E397" s="36"/>
      <c r="F397" s="36"/>
      <c r="G397" s="36"/>
      <c r="H397" s="36"/>
    </row>
    <row r="398" spans="1:8" ht="12.75" hidden="1">
      <c r="A398" s="36"/>
      <c r="B398" s="36"/>
      <c r="C398" s="36"/>
      <c r="D398" s="36"/>
      <c r="E398" s="36"/>
      <c r="F398" s="36"/>
      <c r="G398" s="36"/>
      <c r="H398" s="36"/>
    </row>
    <row r="399" spans="1:8" ht="12.75" hidden="1">
      <c r="A399" s="36"/>
      <c r="B399" s="36"/>
      <c r="C399" s="36"/>
      <c r="D399" s="36"/>
      <c r="E399" s="36"/>
      <c r="F399" s="36"/>
      <c r="G399" s="36"/>
      <c r="H399" s="36"/>
    </row>
    <row r="400" spans="1:8" ht="12.75" hidden="1">
      <c r="A400" s="36"/>
      <c r="B400" s="36"/>
      <c r="C400" s="36"/>
      <c r="D400" s="36"/>
      <c r="E400" s="36"/>
      <c r="F400" s="36"/>
      <c r="G400" s="36"/>
      <c r="H400" s="36"/>
    </row>
    <row r="401" spans="1:8" ht="12.75" hidden="1">
      <c r="A401" s="36"/>
      <c r="B401" s="36"/>
      <c r="C401" s="36"/>
      <c r="D401" s="36"/>
      <c r="E401" s="36"/>
      <c r="F401" s="36"/>
      <c r="G401" s="36"/>
      <c r="H401" s="36"/>
    </row>
    <row r="402" spans="1:8" ht="12.75" hidden="1">
      <c r="A402" s="36"/>
      <c r="B402" s="36"/>
      <c r="C402" s="36"/>
      <c r="D402" s="36"/>
      <c r="E402" s="36"/>
      <c r="F402" s="36"/>
      <c r="G402" s="36"/>
      <c r="H402" s="36"/>
    </row>
    <row r="403" spans="1:8" ht="12.75" hidden="1">
      <c r="A403" s="36"/>
      <c r="B403" s="36"/>
      <c r="C403" s="36"/>
      <c r="D403" s="36"/>
      <c r="E403" s="36"/>
      <c r="F403" s="36"/>
      <c r="G403" s="36"/>
      <c r="H403" s="36"/>
    </row>
    <row r="404" spans="1:8" ht="12.75" hidden="1">
      <c r="A404" s="36"/>
      <c r="B404" s="36"/>
      <c r="C404" s="36"/>
      <c r="D404" s="36"/>
      <c r="E404" s="36"/>
      <c r="F404" s="36"/>
      <c r="G404" s="36"/>
      <c r="H404" s="36"/>
    </row>
    <row r="405" spans="1:8" ht="12.75" hidden="1">
      <c r="A405" s="36"/>
      <c r="B405" s="36"/>
      <c r="C405" s="36"/>
      <c r="D405" s="36"/>
      <c r="E405" s="36"/>
      <c r="F405" s="36"/>
      <c r="G405" s="36"/>
      <c r="H405" s="36"/>
    </row>
    <row r="406" spans="1:8" ht="12.75" hidden="1">
      <c r="A406" s="36"/>
      <c r="B406" s="36"/>
      <c r="C406" s="36"/>
      <c r="D406" s="36"/>
      <c r="E406" s="36"/>
      <c r="F406" s="36"/>
      <c r="G406" s="36"/>
      <c r="H406" s="36"/>
    </row>
    <row r="407" spans="1:8" ht="12.75" hidden="1">
      <c r="A407" s="36"/>
      <c r="B407" s="36"/>
      <c r="C407" s="36"/>
      <c r="D407" s="36"/>
      <c r="E407" s="36"/>
      <c r="F407" s="36"/>
      <c r="G407" s="36"/>
      <c r="H407" s="36"/>
    </row>
    <row r="408" spans="1:8" ht="12.75" hidden="1">
      <c r="A408" s="36"/>
      <c r="B408" s="36"/>
      <c r="C408" s="36"/>
      <c r="D408" s="36"/>
      <c r="E408" s="36"/>
      <c r="F408" s="36"/>
      <c r="G408" s="36"/>
      <c r="H408" s="36"/>
    </row>
    <row r="409" spans="1:8" ht="12.75" hidden="1">
      <c r="A409" s="36"/>
      <c r="B409" s="36"/>
      <c r="C409" s="36"/>
      <c r="D409" s="36"/>
      <c r="E409" s="36"/>
      <c r="F409" s="36"/>
      <c r="G409" s="36"/>
      <c r="H409" s="36"/>
    </row>
    <row r="410" spans="1:8" ht="12.75" hidden="1">
      <c r="A410" s="36"/>
      <c r="B410" s="36"/>
      <c r="C410" s="36"/>
      <c r="D410" s="36"/>
      <c r="E410" s="36"/>
      <c r="F410" s="36"/>
      <c r="G410" s="36"/>
      <c r="H410" s="36"/>
    </row>
    <row r="411" spans="1:8" ht="12.75" hidden="1">
      <c r="A411" s="36"/>
      <c r="B411" s="36"/>
      <c r="C411" s="36"/>
      <c r="D411" s="36"/>
      <c r="E411" s="36"/>
      <c r="F411" s="36"/>
      <c r="G411" s="36"/>
      <c r="H411" s="36"/>
    </row>
    <row r="412" spans="1:8" ht="12.75" hidden="1">
      <c r="A412" s="36"/>
      <c r="B412" s="36"/>
      <c r="C412" s="36"/>
      <c r="D412" s="36"/>
      <c r="E412" s="36"/>
      <c r="F412" s="36"/>
      <c r="G412" s="36"/>
      <c r="H412" s="36"/>
    </row>
    <row r="413" spans="1:8" ht="12.75" hidden="1">
      <c r="A413" s="36"/>
      <c r="B413" s="36"/>
      <c r="C413" s="36"/>
      <c r="D413" s="36"/>
      <c r="E413" s="36"/>
      <c r="F413" s="36"/>
      <c r="G413" s="36"/>
      <c r="H413" s="36"/>
    </row>
    <row r="414" spans="1:8" ht="12.75" hidden="1">
      <c r="A414" s="36"/>
      <c r="B414" s="36"/>
      <c r="C414" s="36"/>
      <c r="D414" s="36"/>
      <c r="E414" s="36"/>
      <c r="F414" s="36"/>
      <c r="G414" s="36"/>
      <c r="H414" s="36"/>
    </row>
    <row r="415" spans="1:8" ht="12.75" hidden="1">
      <c r="A415" s="36"/>
      <c r="B415" s="36"/>
      <c r="C415" s="36"/>
      <c r="D415" s="36"/>
      <c r="E415" s="36"/>
      <c r="F415" s="36"/>
      <c r="G415" s="36"/>
      <c r="H415" s="36"/>
    </row>
    <row r="416" spans="1:8" ht="12.75" hidden="1">
      <c r="A416" s="36"/>
      <c r="B416" s="36"/>
      <c r="C416" s="36"/>
      <c r="D416" s="36"/>
      <c r="E416" s="36"/>
      <c r="F416" s="36"/>
      <c r="G416" s="36"/>
      <c r="H416" s="36"/>
    </row>
    <row r="417" spans="1:8" ht="12.75" hidden="1">
      <c r="A417" s="36"/>
      <c r="B417" s="36"/>
      <c r="C417" s="36"/>
      <c r="D417" s="36"/>
      <c r="E417" s="36"/>
      <c r="F417" s="36"/>
      <c r="G417" s="36"/>
      <c r="H417" s="36"/>
    </row>
    <row r="418" spans="1:8" ht="12.75" hidden="1">
      <c r="A418" s="36"/>
      <c r="B418" s="36"/>
      <c r="C418" s="36"/>
      <c r="D418" s="36"/>
      <c r="E418" s="36"/>
      <c r="F418" s="36"/>
      <c r="G418" s="36"/>
      <c r="H418" s="36"/>
    </row>
    <row r="419" spans="1:8" ht="12.75" hidden="1">
      <c r="A419" s="36"/>
      <c r="B419" s="36"/>
      <c r="C419" s="36"/>
      <c r="D419" s="36"/>
      <c r="E419" s="36"/>
      <c r="F419" s="36"/>
      <c r="G419" s="36"/>
      <c r="H419" s="36"/>
    </row>
    <row r="420" spans="1:8" ht="12.75" hidden="1">
      <c r="A420" s="36"/>
      <c r="B420" s="36"/>
      <c r="C420" s="36"/>
      <c r="D420" s="36"/>
      <c r="E420" s="36"/>
      <c r="F420" s="36"/>
      <c r="G420" s="36"/>
      <c r="H420" s="36"/>
    </row>
    <row r="421" spans="1:8" ht="12.75" hidden="1">
      <c r="A421" s="36"/>
      <c r="B421" s="36"/>
      <c r="C421" s="36"/>
      <c r="D421" s="36"/>
      <c r="E421" s="36"/>
      <c r="F421" s="36"/>
      <c r="G421" s="36"/>
      <c r="H421" s="36"/>
    </row>
    <row r="422" spans="1:8" ht="12.75" hidden="1">
      <c r="A422" s="36"/>
      <c r="B422" s="36"/>
      <c r="C422" s="36"/>
      <c r="D422" s="36"/>
      <c r="E422" s="36"/>
      <c r="F422" s="36"/>
      <c r="G422" s="36"/>
      <c r="H422" s="36"/>
    </row>
    <row r="423" spans="1:8" ht="12.75" hidden="1">
      <c r="A423" s="36"/>
      <c r="B423" s="36"/>
      <c r="C423" s="36"/>
      <c r="D423" s="36"/>
      <c r="E423" s="36"/>
      <c r="F423" s="36"/>
      <c r="G423" s="36"/>
      <c r="H423" s="36"/>
    </row>
    <row r="424" spans="1:8" ht="12.75" hidden="1">
      <c r="A424" s="36"/>
      <c r="B424" s="36"/>
      <c r="C424" s="36"/>
      <c r="D424" s="36"/>
      <c r="E424" s="36"/>
      <c r="F424" s="36"/>
      <c r="G424" s="36"/>
      <c r="H424" s="36"/>
    </row>
    <row r="425" spans="1:8" ht="12.75" hidden="1">
      <c r="A425" s="36"/>
      <c r="B425" s="36"/>
      <c r="C425" s="36"/>
      <c r="D425" s="36"/>
      <c r="E425" s="36"/>
      <c r="F425" s="36"/>
      <c r="G425" s="36"/>
      <c r="H425" s="36"/>
    </row>
    <row r="426" spans="1:8" ht="12.75" hidden="1">
      <c r="A426" s="36"/>
      <c r="B426" s="36"/>
      <c r="C426" s="36"/>
      <c r="D426" s="36"/>
      <c r="E426" s="36"/>
      <c r="F426" s="36"/>
      <c r="G426" s="36"/>
      <c r="H426" s="36"/>
    </row>
    <row r="427" spans="1:8" ht="12.75" hidden="1">
      <c r="A427" s="36"/>
      <c r="B427" s="36"/>
      <c r="C427" s="36"/>
      <c r="D427" s="36"/>
      <c r="E427" s="36"/>
      <c r="F427" s="36"/>
      <c r="G427" s="36"/>
      <c r="H427" s="36"/>
    </row>
    <row r="428" spans="1:8" ht="12.75" hidden="1">
      <c r="A428" s="36"/>
      <c r="B428" s="36"/>
      <c r="C428" s="36"/>
      <c r="D428" s="36"/>
      <c r="E428" s="36"/>
      <c r="F428" s="36"/>
      <c r="G428" s="36"/>
      <c r="H428" s="36"/>
    </row>
    <row r="429" spans="1:8" ht="12.75" hidden="1">
      <c r="A429" s="36"/>
      <c r="B429" s="36"/>
      <c r="C429" s="36"/>
      <c r="D429" s="36"/>
      <c r="E429" s="36"/>
      <c r="F429" s="36"/>
      <c r="G429" s="36"/>
      <c r="H429" s="36"/>
    </row>
    <row r="430" spans="1:8" ht="12.75" hidden="1">
      <c r="A430" s="36"/>
      <c r="B430" s="36"/>
      <c r="C430" s="36"/>
      <c r="D430" s="36"/>
      <c r="E430" s="36"/>
      <c r="F430" s="36"/>
      <c r="G430" s="36"/>
      <c r="H430" s="36"/>
    </row>
    <row r="431" spans="1:8" ht="12.75" hidden="1">
      <c r="A431" s="36"/>
      <c r="B431" s="36"/>
      <c r="C431" s="36"/>
      <c r="D431" s="36"/>
      <c r="E431" s="36"/>
      <c r="F431" s="36"/>
      <c r="G431" s="36"/>
      <c r="H431" s="36"/>
    </row>
    <row r="432" spans="1:8" ht="12.75" hidden="1">
      <c r="A432" s="36"/>
      <c r="B432" s="36"/>
      <c r="C432" s="36"/>
      <c r="D432" s="36"/>
      <c r="E432" s="36"/>
      <c r="F432" s="36"/>
      <c r="G432" s="36"/>
      <c r="H432" s="36"/>
    </row>
    <row r="433" spans="1:8" ht="12.75" hidden="1">
      <c r="A433" s="36"/>
      <c r="B433" s="36"/>
      <c r="C433" s="36"/>
      <c r="D433" s="36"/>
      <c r="E433" s="36"/>
      <c r="F433" s="36"/>
      <c r="G433" s="36"/>
      <c r="H433" s="36"/>
    </row>
    <row r="434" spans="1:8" ht="12.75" hidden="1">
      <c r="A434" s="36"/>
      <c r="B434" s="36"/>
      <c r="C434" s="36"/>
      <c r="D434" s="36"/>
      <c r="E434" s="36"/>
      <c r="F434" s="36"/>
      <c r="G434" s="36"/>
      <c r="H434" s="36"/>
    </row>
    <row r="435" spans="1:8" ht="12.75" hidden="1">
      <c r="A435" s="36"/>
      <c r="B435" s="36"/>
      <c r="C435" s="36"/>
      <c r="D435" s="36"/>
      <c r="E435" s="36"/>
      <c r="F435" s="36"/>
      <c r="G435" s="36"/>
      <c r="H435" s="36"/>
    </row>
    <row r="436" spans="1:8" ht="12.75" hidden="1">
      <c r="A436" s="36"/>
      <c r="B436" s="36"/>
      <c r="C436" s="36"/>
      <c r="D436" s="36"/>
      <c r="E436" s="36"/>
      <c r="F436" s="36"/>
      <c r="G436" s="36"/>
      <c r="H436" s="36"/>
    </row>
    <row r="437" spans="1:8" ht="12.75" hidden="1">
      <c r="A437" s="36"/>
      <c r="B437" s="36"/>
      <c r="C437" s="36"/>
      <c r="D437" s="36"/>
      <c r="E437" s="36"/>
      <c r="F437" s="36"/>
      <c r="G437" s="36"/>
      <c r="H437" s="36"/>
    </row>
    <row r="438" spans="1:8" ht="12.75" hidden="1">
      <c r="A438" s="36"/>
      <c r="B438" s="36"/>
      <c r="C438" s="36"/>
      <c r="D438" s="36"/>
      <c r="E438" s="36"/>
      <c r="F438" s="36"/>
      <c r="G438" s="36"/>
      <c r="H438" s="36"/>
    </row>
    <row r="439" spans="1:8" ht="12.75" hidden="1">
      <c r="A439" s="36"/>
      <c r="B439" s="36"/>
      <c r="C439" s="36"/>
      <c r="D439" s="36"/>
      <c r="E439" s="36"/>
      <c r="F439" s="36"/>
      <c r="G439" s="36"/>
      <c r="H439" s="36"/>
    </row>
    <row r="440" spans="1:8" ht="12.75" hidden="1">
      <c r="A440" s="36"/>
      <c r="B440" s="36"/>
      <c r="C440" s="36"/>
      <c r="D440" s="36"/>
      <c r="E440" s="36"/>
      <c r="F440" s="36"/>
      <c r="G440" s="36"/>
      <c r="H440" s="36"/>
    </row>
    <row r="441" spans="1:8" ht="12.75" hidden="1">
      <c r="A441" s="36"/>
      <c r="B441" s="36"/>
      <c r="C441" s="36"/>
      <c r="D441" s="36"/>
      <c r="E441" s="36"/>
      <c r="F441" s="36"/>
      <c r="G441" s="36"/>
      <c r="H441" s="36"/>
    </row>
    <row r="442" spans="1:8" ht="12.75" hidden="1">
      <c r="A442" s="36"/>
      <c r="B442" s="36"/>
      <c r="C442" s="36"/>
      <c r="D442" s="36"/>
      <c r="E442" s="36"/>
      <c r="F442" s="36"/>
      <c r="G442" s="36"/>
      <c r="H442" s="36"/>
    </row>
    <row r="443" spans="1:8" ht="12.75" hidden="1">
      <c r="A443" s="36"/>
      <c r="B443" s="36"/>
      <c r="C443" s="36"/>
      <c r="D443" s="36"/>
      <c r="E443" s="36"/>
      <c r="F443" s="36"/>
      <c r="G443" s="36"/>
      <c r="H443" s="36"/>
    </row>
    <row r="444" spans="1:8" ht="12.75" hidden="1">
      <c r="A444" s="36"/>
      <c r="B444" s="36"/>
      <c r="C444" s="36"/>
      <c r="D444" s="36"/>
      <c r="E444" s="36"/>
      <c r="F444" s="36"/>
      <c r="G444" s="36"/>
      <c r="H444" s="36"/>
    </row>
    <row r="445" spans="1:8" ht="12.75" hidden="1">
      <c r="A445" s="36"/>
      <c r="B445" s="36"/>
      <c r="C445" s="36"/>
      <c r="D445" s="36"/>
      <c r="E445" s="36"/>
      <c r="F445" s="36"/>
      <c r="G445" s="36"/>
      <c r="H445" s="36"/>
    </row>
    <row r="446" spans="1:8" ht="12.75" hidden="1">
      <c r="A446" s="36"/>
      <c r="B446" s="36"/>
      <c r="C446" s="36"/>
      <c r="D446" s="36"/>
      <c r="E446" s="36"/>
      <c r="F446" s="36"/>
      <c r="G446" s="36"/>
      <c r="H446" s="36"/>
    </row>
    <row r="447" spans="1:8" ht="12.75" hidden="1">
      <c r="A447" s="36"/>
      <c r="B447" s="36"/>
      <c r="C447" s="36"/>
      <c r="D447" s="36"/>
      <c r="E447" s="36"/>
      <c r="F447" s="36"/>
      <c r="G447" s="36"/>
      <c r="H447" s="36"/>
    </row>
    <row r="448" spans="1:8" ht="12.75" hidden="1">
      <c r="A448" s="36"/>
      <c r="B448" s="36"/>
      <c r="C448" s="36"/>
      <c r="D448" s="36"/>
      <c r="E448" s="36"/>
      <c r="F448" s="36"/>
      <c r="G448" s="36"/>
      <c r="H448" s="36"/>
    </row>
    <row r="449" spans="1:8" ht="12.75" hidden="1">
      <c r="A449" s="36"/>
      <c r="B449" s="36"/>
      <c r="C449" s="36"/>
      <c r="D449" s="36"/>
      <c r="E449" s="36"/>
      <c r="F449" s="36"/>
      <c r="G449" s="36"/>
      <c r="H449" s="36"/>
    </row>
    <row r="450" spans="1:8" ht="12.75" hidden="1">
      <c r="A450" s="36"/>
      <c r="B450" s="36"/>
      <c r="C450" s="36"/>
      <c r="D450" s="36"/>
      <c r="E450" s="36"/>
      <c r="F450" s="36"/>
      <c r="G450" s="36"/>
      <c r="H450" s="36"/>
    </row>
    <row r="451" spans="1:8" ht="12.75" hidden="1">
      <c r="A451" s="36"/>
      <c r="B451" s="36"/>
      <c r="C451" s="36"/>
      <c r="D451" s="36"/>
      <c r="E451" s="36"/>
      <c r="F451" s="36"/>
      <c r="G451" s="36"/>
      <c r="H451" s="36"/>
    </row>
    <row r="452" spans="1:8" ht="12.75" hidden="1">
      <c r="A452" s="36"/>
      <c r="B452" s="36"/>
      <c r="C452" s="36"/>
      <c r="D452" s="36"/>
      <c r="E452" s="36"/>
      <c r="F452" s="36"/>
      <c r="G452" s="36"/>
      <c r="H452" s="36"/>
    </row>
    <row r="453" spans="1:8" ht="12.75" hidden="1">
      <c r="A453" s="36"/>
      <c r="B453" s="36"/>
      <c r="C453" s="36"/>
      <c r="D453" s="36"/>
      <c r="E453" s="36"/>
      <c r="F453" s="36"/>
      <c r="G453" s="36"/>
      <c r="H453" s="36"/>
    </row>
    <row r="454" spans="1:8" ht="12.75" hidden="1">
      <c r="A454" s="36"/>
      <c r="B454" s="36"/>
      <c r="C454" s="36"/>
      <c r="D454" s="36"/>
      <c r="E454" s="36"/>
      <c r="F454" s="36"/>
      <c r="G454" s="36"/>
      <c r="H454" s="36"/>
    </row>
    <row r="455" spans="1:8" ht="12.75" hidden="1">
      <c r="A455" s="36"/>
      <c r="B455" s="36"/>
      <c r="C455" s="36"/>
      <c r="D455" s="36"/>
      <c r="E455" s="36"/>
      <c r="F455" s="36"/>
      <c r="G455" s="36"/>
      <c r="H455" s="36"/>
    </row>
    <row r="456" spans="1:8" ht="12.75" hidden="1">
      <c r="A456" s="36"/>
      <c r="B456" s="36"/>
      <c r="C456" s="36"/>
      <c r="D456" s="36"/>
      <c r="E456" s="36"/>
      <c r="F456" s="36"/>
      <c r="G456" s="36"/>
      <c r="H456" s="36"/>
    </row>
    <row r="457" spans="1:8" ht="12.75" hidden="1">
      <c r="A457" s="36"/>
      <c r="B457" s="36"/>
      <c r="C457" s="36"/>
      <c r="D457" s="36"/>
      <c r="E457" s="36"/>
      <c r="F457" s="36"/>
      <c r="G457" s="36"/>
      <c r="H457" s="36"/>
    </row>
    <row r="458" spans="1:8" ht="12.75" hidden="1">
      <c r="A458" s="36"/>
      <c r="B458" s="36"/>
      <c r="C458" s="36"/>
      <c r="D458" s="36"/>
      <c r="E458" s="36"/>
      <c r="F458" s="36"/>
      <c r="G458" s="36"/>
      <c r="H458" s="36"/>
    </row>
    <row r="459" spans="1:8" ht="12.75" hidden="1">
      <c r="A459" s="36"/>
      <c r="B459" s="36"/>
      <c r="C459" s="36"/>
      <c r="D459" s="36"/>
      <c r="E459" s="36"/>
      <c r="F459" s="36"/>
      <c r="G459" s="36"/>
      <c r="H459" s="36"/>
    </row>
    <row r="460" spans="1:8" ht="12.75" hidden="1">
      <c r="A460" s="36"/>
      <c r="B460" s="36"/>
      <c r="C460" s="36"/>
      <c r="D460" s="36"/>
      <c r="E460" s="36"/>
      <c r="F460" s="36"/>
      <c r="G460" s="36"/>
      <c r="H460" s="36"/>
    </row>
    <row r="461" spans="1:8" ht="12.75" hidden="1">
      <c r="A461" s="36"/>
      <c r="B461" s="36"/>
      <c r="C461" s="36"/>
      <c r="D461" s="36"/>
      <c r="E461" s="36"/>
      <c r="F461" s="36"/>
      <c r="G461" s="36"/>
      <c r="H461" s="36"/>
    </row>
    <row r="462" spans="1:8" ht="12.75" hidden="1">
      <c r="A462" s="36"/>
      <c r="B462" s="36"/>
      <c r="C462" s="36"/>
      <c r="D462" s="36"/>
      <c r="E462" s="36"/>
      <c r="F462" s="36"/>
      <c r="G462" s="36"/>
      <c r="H462" s="36"/>
    </row>
    <row r="463" spans="1:8" ht="12.75" hidden="1">
      <c r="A463" s="36"/>
      <c r="B463" s="36"/>
      <c r="C463" s="36"/>
      <c r="D463" s="36"/>
      <c r="E463" s="36"/>
      <c r="F463" s="36"/>
      <c r="G463" s="36"/>
      <c r="H463" s="36"/>
    </row>
    <row r="464" spans="1:8" ht="12.75" hidden="1">
      <c r="A464" s="36"/>
      <c r="B464" s="36"/>
      <c r="C464" s="36"/>
      <c r="D464" s="36"/>
      <c r="E464" s="36"/>
      <c r="F464" s="36"/>
      <c r="G464" s="36"/>
      <c r="H464" s="36"/>
    </row>
    <row r="465" spans="1:8" ht="12.75" hidden="1">
      <c r="A465" s="36"/>
      <c r="B465" s="36"/>
      <c r="C465" s="36"/>
      <c r="D465" s="36"/>
      <c r="E465" s="36"/>
      <c r="F465" s="36"/>
      <c r="G465" s="36"/>
      <c r="H465" s="36"/>
    </row>
    <row r="466" spans="1:8" ht="12.75" hidden="1">
      <c r="A466" s="36"/>
      <c r="B466" s="36"/>
      <c r="C466" s="36"/>
      <c r="D466" s="36"/>
      <c r="E466" s="36"/>
      <c r="F466" s="36"/>
      <c r="G466" s="36"/>
      <c r="H466" s="36"/>
    </row>
    <row r="467" spans="1:8" ht="12.75" hidden="1">
      <c r="A467" s="36"/>
      <c r="B467" s="36"/>
      <c r="C467" s="36"/>
      <c r="D467" s="36"/>
      <c r="E467" s="36"/>
      <c r="F467" s="36"/>
      <c r="G467" s="36"/>
      <c r="H467" s="36"/>
    </row>
    <row r="468" spans="1:8" ht="12.75" hidden="1">
      <c r="A468" s="36"/>
      <c r="B468" s="36"/>
      <c r="C468" s="36"/>
      <c r="D468" s="36"/>
      <c r="E468" s="36"/>
      <c r="F468" s="36"/>
      <c r="G468" s="36"/>
      <c r="H468" s="36"/>
    </row>
    <row r="469" spans="1:8" ht="12.75" hidden="1">
      <c r="A469" s="36"/>
      <c r="B469" s="36"/>
      <c r="C469" s="36"/>
      <c r="D469" s="36"/>
      <c r="E469" s="36"/>
      <c r="F469" s="36"/>
      <c r="G469" s="36"/>
      <c r="H469" s="36"/>
    </row>
    <row r="470" spans="1:8" ht="12.75" hidden="1">
      <c r="A470" s="36"/>
      <c r="B470" s="36"/>
      <c r="C470" s="36"/>
      <c r="D470" s="36"/>
      <c r="E470" s="36"/>
      <c r="F470" s="36"/>
      <c r="G470" s="36"/>
      <c r="H470" s="36"/>
    </row>
    <row r="471" spans="1:8" ht="12.75" hidden="1">
      <c r="A471" s="36"/>
      <c r="B471" s="36"/>
      <c r="C471" s="36"/>
      <c r="D471" s="36"/>
      <c r="E471" s="36"/>
      <c r="F471" s="36"/>
      <c r="G471" s="36"/>
      <c r="H471" s="36"/>
    </row>
    <row r="472" spans="1:8" ht="12.75" hidden="1">
      <c r="A472" s="36"/>
      <c r="B472" s="36"/>
      <c r="C472" s="36"/>
      <c r="D472" s="36"/>
      <c r="E472" s="36"/>
      <c r="F472" s="36"/>
      <c r="G472" s="36"/>
      <c r="H472" s="36"/>
    </row>
    <row r="473" spans="1:8" ht="12.75" hidden="1">
      <c r="A473" s="36"/>
      <c r="B473" s="36"/>
      <c r="C473" s="36"/>
      <c r="D473" s="36"/>
      <c r="E473" s="36"/>
      <c r="F473" s="36"/>
      <c r="G473" s="36"/>
      <c r="H473" s="36"/>
    </row>
    <row r="474" spans="1:8" ht="12.75" hidden="1">
      <c r="A474" s="36"/>
      <c r="B474" s="36"/>
      <c r="C474" s="36"/>
      <c r="D474" s="36"/>
      <c r="E474" s="36"/>
      <c r="F474" s="36"/>
      <c r="G474" s="36"/>
      <c r="H474" s="36"/>
    </row>
    <row r="475" spans="1:8" ht="12.75" hidden="1">
      <c r="A475" s="36"/>
      <c r="B475" s="36"/>
      <c r="C475" s="36"/>
      <c r="D475" s="36"/>
      <c r="E475" s="36"/>
      <c r="F475" s="36"/>
      <c r="G475" s="36"/>
      <c r="H475" s="36"/>
    </row>
    <row r="476" spans="1:8" ht="12.75" hidden="1">
      <c r="A476" s="36"/>
      <c r="B476" s="36"/>
      <c r="C476" s="36"/>
      <c r="D476" s="36"/>
      <c r="E476" s="36"/>
      <c r="F476" s="36"/>
      <c r="G476" s="36"/>
      <c r="H476" s="36"/>
    </row>
    <row r="477" spans="1:8" ht="12.75" hidden="1">
      <c r="A477" s="36"/>
      <c r="B477" s="36"/>
      <c r="C477" s="36"/>
      <c r="D477" s="36"/>
      <c r="E477" s="36"/>
      <c r="F477" s="36"/>
      <c r="G477" s="36"/>
      <c r="H477" s="36"/>
    </row>
    <row r="478" spans="1:8" ht="12.75" hidden="1">
      <c r="A478" s="36"/>
      <c r="B478" s="36"/>
      <c r="C478" s="36"/>
      <c r="D478" s="36"/>
      <c r="E478" s="36"/>
      <c r="F478" s="36"/>
      <c r="G478" s="36"/>
      <c r="H478" s="36"/>
    </row>
    <row r="479" spans="1:8" ht="12.75" hidden="1">
      <c r="A479" s="36"/>
      <c r="B479" s="36"/>
      <c r="C479" s="36"/>
      <c r="D479" s="36"/>
      <c r="E479" s="36"/>
      <c r="F479" s="36"/>
      <c r="G479" s="36"/>
      <c r="H479" s="36"/>
    </row>
    <row r="480" spans="1:8" ht="12.75" hidden="1">
      <c r="A480" s="36"/>
      <c r="B480" s="36"/>
      <c r="C480" s="36"/>
      <c r="D480" s="36"/>
      <c r="E480" s="36"/>
      <c r="F480" s="36"/>
      <c r="G480" s="36"/>
      <c r="H480" s="36"/>
    </row>
    <row r="481" spans="1:8" ht="12.75" hidden="1">
      <c r="A481" s="36"/>
      <c r="B481" s="36"/>
      <c r="C481" s="36"/>
      <c r="D481" s="36"/>
      <c r="E481" s="36"/>
      <c r="F481" s="36"/>
      <c r="G481" s="36"/>
      <c r="H481" s="36"/>
    </row>
    <row r="482" spans="1:8" ht="12.75" hidden="1">
      <c r="A482" s="36"/>
      <c r="B482" s="36"/>
      <c r="C482" s="36"/>
      <c r="D482" s="36"/>
      <c r="E482" s="36"/>
      <c r="F482" s="36"/>
      <c r="G482" s="36"/>
      <c r="H482" s="36"/>
    </row>
    <row r="483" spans="1:8" ht="12.75" hidden="1">
      <c r="A483" s="36"/>
      <c r="B483" s="36"/>
      <c r="C483" s="36"/>
      <c r="D483" s="36"/>
      <c r="E483" s="36"/>
      <c r="F483" s="36"/>
      <c r="G483" s="36"/>
      <c r="H483" s="36"/>
    </row>
    <row r="484" spans="1:8" ht="12.75" hidden="1">
      <c r="A484" s="36"/>
      <c r="B484" s="36"/>
      <c r="C484" s="36"/>
      <c r="D484" s="36"/>
      <c r="E484" s="36"/>
      <c r="F484" s="36"/>
      <c r="G484" s="36"/>
      <c r="H484" s="36"/>
    </row>
    <row r="485" spans="1:8" ht="12.75" hidden="1">
      <c r="A485" s="36"/>
      <c r="B485" s="36"/>
      <c r="C485" s="36"/>
      <c r="D485" s="36"/>
      <c r="E485" s="36"/>
      <c r="F485" s="36"/>
      <c r="G485" s="36"/>
      <c r="H485" s="36"/>
    </row>
    <row r="486" spans="1:8" ht="12.75" hidden="1">
      <c r="A486" s="36"/>
      <c r="B486" s="36"/>
      <c r="C486" s="36"/>
      <c r="D486" s="36"/>
      <c r="E486" s="36"/>
      <c r="F486" s="36"/>
      <c r="G486" s="36"/>
      <c r="H486" s="36"/>
    </row>
    <row r="487" spans="1:8" ht="12.75" hidden="1">
      <c r="A487" s="36"/>
      <c r="B487" s="36"/>
      <c r="C487" s="36"/>
      <c r="D487" s="36"/>
      <c r="E487" s="36"/>
      <c r="F487" s="36"/>
      <c r="G487" s="36"/>
      <c r="H487" s="36"/>
    </row>
    <row r="488" spans="1:8" ht="12.75" hidden="1">
      <c r="A488" s="36"/>
      <c r="B488" s="36"/>
      <c r="C488" s="36"/>
      <c r="D488" s="36"/>
      <c r="E488" s="36"/>
      <c r="F488" s="36"/>
      <c r="G488" s="36"/>
      <c r="H488" s="36"/>
    </row>
    <row r="489" spans="1:8" ht="12.75" hidden="1">
      <c r="A489" s="36"/>
      <c r="B489" s="36"/>
      <c r="C489" s="36"/>
      <c r="D489" s="36"/>
      <c r="E489" s="36"/>
      <c r="F489" s="36"/>
      <c r="G489" s="36"/>
      <c r="H489" s="36"/>
    </row>
    <row r="490" spans="1:8" ht="12.75" hidden="1">
      <c r="A490" s="36"/>
      <c r="B490" s="36"/>
      <c r="C490" s="36"/>
      <c r="D490" s="36"/>
      <c r="E490" s="36"/>
      <c r="F490" s="36"/>
      <c r="G490" s="36"/>
      <c r="H490" s="36"/>
    </row>
    <row r="491" spans="1:8" ht="12.75" hidden="1">
      <c r="A491" s="36"/>
      <c r="B491" s="36"/>
      <c r="C491" s="36"/>
      <c r="D491" s="36"/>
      <c r="E491" s="36"/>
      <c r="F491" s="36"/>
      <c r="G491" s="36"/>
      <c r="H491" s="36"/>
    </row>
    <row r="492" spans="1:8" ht="12.75" hidden="1">
      <c r="A492" s="36"/>
      <c r="B492" s="36"/>
      <c r="C492" s="36"/>
      <c r="D492" s="36"/>
      <c r="E492" s="36"/>
      <c r="F492" s="36"/>
      <c r="G492" s="36"/>
      <c r="H492" s="36"/>
    </row>
    <row r="493" spans="1:8" ht="12.75" hidden="1">
      <c r="A493" s="36"/>
      <c r="B493" s="36"/>
      <c r="C493" s="36"/>
      <c r="D493" s="36"/>
      <c r="E493" s="36"/>
      <c r="F493" s="36"/>
      <c r="G493" s="36"/>
      <c r="H493" s="36"/>
    </row>
    <row r="494" spans="1:8" ht="12.75" hidden="1">
      <c r="A494" s="36"/>
      <c r="B494" s="36"/>
      <c r="C494" s="36"/>
      <c r="D494" s="36"/>
      <c r="E494" s="36"/>
      <c r="F494" s="36"/>
      <c r="G494" s="36"/>
      <c r="H494" s="36"/>
    </row>
    <row r="495" spans="1:8" ht="12.75" hidden="1">
      <c r="A495" s="36"/>
      <c r="B495" s="36"/>
      <c r="C495" s="36"/>
      <c r="D495" s="36"/>
      <c r="E495" s="36"/>
      <c r="F495" s="36"/>
      <c r="G495" s="36"/>
      <c r="H495" s="36"/>
    </row>
    <row r="496" spans="1:8" ht="12.75" hidden="1">
      <c r="A496" s="36"/>
      <c r="B496" s="36"/>
      <c r="C496" s="36"/>
      <c r="D496" s="36"/>
      <c r="E496" s="36"/>
      <c r="F496" s="36"/>
      <c r="G496" s="36"/>
      <c r="H496" s="36"/>
    </row>
    <row r="497" spans="1:8" ht="12.75" hidden="1">
      <c r="A497" s="36"/>
      <c r="B497" s="36"/>
      <c r="C497" s="36"/>
      <c r="D497" s="36"/>
      <c r="E497" s="36"/>
      <c r="F497" s="36"/>
      <c r="G497" s="36"/>
      <c r="H497" s="36"/>
    </row>
    <row r="498" spans="1:8" ht="12.75" hidden="1">
      <c r="A498" s="36"/>
      <c r="B498" s="36"/>
      <c r="C498" s="36"/>
      <c r="D498" s="36"/>
      <c r="E498" s="36"/>
      <c r="F498" s="36"/>
      <c r="G498" s="36"/>
      <c r="H498" s="36"/>
    </row>
    <row r="499" spans="1:8" ht="12.75" hidden="1">
      <c r="A499" s="36"/>
      <c r="B499" s="36"/>
      <c r="C499" s="36"/>
      <c r="D499" s="36"/>
      <c r="E499" s="36"/>
      <c r="F499" s="36"/>
      <c r="G499" s="36"/>
      <c r="H499" s="36"/>
    </row>
    <row r="500" spans="1:8" ht="12.75" hidden="1">
      <c r="A500" s="36"/>
      <c r="B500" s="36"/>
      <c r="C500" s="36"/>
      <c r="D500" s="36"/>
      <c r="E500" s="36"/>
      <c r="F500" s="36"/>
      <c r="G500" s="36"/>
      <c r="H500" s="36"/>
    </row>
    <row r="501" spans="1:8" ht="12.75" hidden="1">
      <c r="A501" s="36"/>
      <c r="B501" s="36"/>
      <c r="C501" s="36"/>
      <c r="D501" s="36"/>
      <c r="E501" s="36"/>
      <c r="F501" s="36"/>
      <c r="G501" s="36"/>
      <c r="H501" s="36"/>
    </row>
    <row r="502" spans="1:8" ht="12.75" hidden="1">
      <c r="A502" s="36"/>
      <c r="B502" s="36"/>
      <c r="C502" s="36"/>
      <c r="D502" s="36"/>
      <c r="E502" s="36"/>
      <c r="F502" s="36"/>
      <c r="G502" s="36"/>
      <c r="H502" s="36"/>
    </row>
    <row r="503" spans="1:8" ht="12.75" hidden="1">
      <c r="A503" s="36"/>
      <c r="B503" s="36"/>
      <c r="C503" s="36"/>
      <c r="D503" s="36"/>
      <c r="E503" s="36"/>
      <c r="F503" s="36"/>
      <c r="G503" s="36"/>
      <c r="H503" s="36"/>
    </row>
    <row r="504" spans="1:8" ht="12.75" hidden="1">
      <c r="A504" s="36"/>
      <c r="B504" s="36"/>
      <c r="C504" s="36"/>
      <c r="D504" s="36"/>
      <c r="E504" s="36"/>
      <c r="F504" s="36"/>
      <c r="G504" s="36"/>
      <c r="H504" s="36"/>
    </row>
    <row r="505" spans="1:8" ht="12.75" hidden="1">
      <c r="A505" s="36"/>
      <c r="B505" s="36"/>
      <c r="C505" s="36"/>
      <c r="D505" s="36"/>
      <c r="E505" s="36"/>
      <c r="F505" s="36"/>
      <c r="G505" s="36"/>
      <c r="H505" s="36"/>
    </row>
    <row r="506" spans="1:8" ht="12.75" hidden="1">
      <c r="A506" s="36"/>
      <c r="B506" s="36"/>
      <c r="C506" s="36"/>
      <c r="D506" s="36"/>
      <c r="E506" s="36"/>
      <c r="F506" s="36"/>
      <c r="G506" s="36"/>
      <c r="H506" s="36"/>
    </row>
    <row r="507" spans="1:8" ht="12.75" hidden="1">
      <c r="A507" s="36"/>
      <c r="B507" s="36"/>
      <c r="C507" s="36"/>
      <c r="D507" s="36"/>
      <c r="E507" s="36"/>
      <c r="F507" s="36"/>
      <c r="G507" s="36"/>
      <c r="H507" s="36"/>
    </row>
    <row r="508" spans="1:8" ht="12.75" hidden="1">
      <c r="A508" s="36"/>
      <c r="B508" s="36"/>
      <c r="C508" s="36"/>
      <c r="D508" s="36"/>
      <c r="E508" s="36"/>
      <c r="F508" s="36"/>
      <c r="G508" s="36"/>
      <c r="H508" s="36"/>
    </row>
    <row r="509" spans="1:8" ht="12.75" hidden="1">
      <c r="A509" s="36"/>
      <c r="B509" s="36"/>
      <c r="C509" s="36"/>
      <c r="D509" s="36"/>
      <c r="E509" s="36"/>
      <c r="F509" s="36"/>
      <c r="G509" s="36"/>
      <c r="H509" s="36"/>
    </row>
    <row r="510" spans="1:8" ht="12.75" hidden="1">
      <c r="A510" s="36"/>
      <c r="B510" s="36"/>
      <c r="C510" s="36"/>
      <c r="D510" s="36"/>
      <c r="E510" s="36"/>
      <c r="F510" s="36"/>
      <c r="G510" s="36"/>
      <c r="H510" s="36"/>
    </row>
    <row r="511" spans="1:8" ht="12.75" hidden="1">
      <c r="A511" s="36"/>
      <c r="B511" s="36"/>
      <c r="C511" s="36"/>
      <c r="D511" s="36"/>
      <c r="E511" s="36"/>
      <c r="F511" s="36"/>
      <c r="G511" s="36"/>
      <c r="H511" s="36"/>
    </row>
    <row r="512" spans="1:8" ht="12.75" hidden="1">
      <c r="A512" s="36"/>
      <c r="B512" s="36"/>
      <c r="C512" s="36"/>
      <c r="D512" s="36"/>
      <c r="E512" s="36"/>
      <c r="F512" s="36"/>
      <c r="G512" s="36"/>
      <c r="H512" s="36"/>
    </row>
    <row r="513" spans="1:8" ht="12.75" hidden="1">
      <c r="A513" s="36"/>
      <c r="B513" s="36"/>
      <c r="C513" s="36"/>
      <c r="D513" s="36"/>
      <c r="E513" s="36"/>
      <c r="F513" s="36"/>
      <c r="G513" s="36"/>
      <c r="H513" s="36"/>
    </row>
    <row r="514" spans="1:8" ht="12.75" hidden="1">
      <c r="A514" s="36"/>
      <c r="B514" s="36"/>
      <c r="C514" s="36"/>
      <c r="D514" s="36"/>
      <c r="E514" s="36"/>
      <c r="F514" s="36"/>
      <c r="G514" s="36"/>
      <c r="H514" s="36"/>
    </row>
    <row r="515" spans="1:8" ht="12.75" hidden="1">
      <c r="A515" s="36"/>
      <c r="B515" s="36"/>
      <c r="C515" s="36"/>
      <c r="D515" s="36"/>
      <c r="E515" s="36"/>
      <c r="F515" s="36"/>
      <c r="G515" s="36"/>
      <c r="H515" s="36"/>
    </row>
    <row r="516" spans="1:8" ht="12.75" hidden="1">
      <c r="A516" s="36"/>
      <c r="B516" s="36"/>
      <c r="C516" s="36"/>
      <c r="D516" s="36"/>
      <c r="E516" s="36"/>
      <c r="F516" s="36"/>
      <c r="G516" s="36"/>
      <c r="H516" s="36"/>
    </row>
    <row r="517" spans="1:8" ht="12.75" hidden="1">
      <c r="A517" s="36"/>
      <c r="B517" s="36"/>
      <c r="C517" s="36"/>
      <c r="D517" s="36"/>
      <c r="E517" s="36"/>
      <c r="F517" s="36"/>
      <c r="G517" s="36"/>
      <c r="H517" s="36"/>
    </row>
    <row r="518" spans="1:8" ht="12.75" hidden="1">
      <c r="A518" s="36"/>
      <c r="B518" s="36"/>
      <c r="C518" s="36"/>
      <c r="D518" s="36"/>
      <c r="E518" s="36"/>
      <c r="F518" s="36"/>
      <c r="G518" s="36"/>
      <c r="H518" s="36"/>
    </row>
    <row r="519" spans="1:8" ht="12.75" hidden="1">
      <c r="A519" s="36"/>
      <c r="B519" s="36"/>
      <c r="C519" s="36"/>
      <c r="D519" s="36"/>
      <c r="E519" s="36"/>
      <c r="F519" s="36"/>
      <c r="G519" s="36"/>
      <c r="H519" s="36"/>
    </row>
    <row r="520" spans="1:8" ht="12.75" hidden="1">
      <c r="A520" s="36"/>
      <c r="B520" s="36"/>
      <c r="C520" s="36"/>
      <c r="D520" s="36"/>
      <c r="E520" s="36"/>
      <c r="F520" s="36"/>
      <c r="G520" s="36"/>
      <c r="H520" s="36"/>
    </row>
    <row r="521" spans="1:8" ht="12.75" hidden="1">
      <c r="A521" s="36"/>
      <c r="B521" s="36"/>
      <c r="C521" s="36"/>
      <c r="D521" s="36"/>
      <c r="E521" s="36"/>
      <c r="F521" s="36"/>
      <c r="G521" s="36"/>
      <c r="H521" s="36"/>
    </row>
    <row r="522" spans="1:8" ht="12.75" hidden="1">
      <c r="A522" s="36"/>
      <c r="B522" s="36"/>
      <c r="C522" s="36"/>
      <c r="D522" s="36"/>
      <c r="E522" s="36"/>
      <c r="F522" s="36"/>
      <c r="G522" s="36"/>
      <c r="H522" s="36"/>
    </row>
    <row r="523" spans="1:8" ht="12.75" hidden="1">
      <c r="A523" s="36"/>
      <c r="B523" s="36"/>
      <c r="C523" s="36"/>
      <c r="D523" s="36"/>
      <c r="E523" s="36"/>
      <c r="F523" s="36"/>
      <c r="G523" s="36"/>
      <c r="H523" s="36"/>
    </row>
    <row r="524" spans="1:8" ht="12.75" hidden="1">
      <c r="A524" s="36"/>
      <c r="B524" s="36"/>
      <c r="C524" s="36"/>
      <c r="D524" s="36"/>
      <c r="E524" s="36"/>
      <c r="F524" s="36"/>
      <c r="G524" s="36"/>
      <c r="H524" s="36"/>
    </row>
    <row r="525" spans="1:8" ht="12.75" hidden="1">
      <c r="A525" s="36"/>
      <c r="B525" s="36"/>
      <c r="C525" s="36"/>
      <c r="D525" s="36"/>
      <c r="E525" s="36"/>
      <c r="F525" s="36"/>
      <c r="G525" s="36"/>
      <c r="H525" s="36"/>
    </row>
    <row r="526" spans="1:8" ht="12.75" hidden="1">
      <c r="A526" s="36"/>
      <c r="B526" s="36"/>
      <c r="C526" s="36"/>
      <c r="D526" s="36"/>
      <c r="E526" s="36"/>
      <c r="F526" s="36"/>
      <c r="G526" s="36"/>
      <c r="H526" s="36"/>
    </row>
    <row r="527" spans="1:8" ht="12.75" hidden="1">
      <c r="A527" s="36"/>
      <c r="B527" s="36"/>
      <c r="C527" s="36"/>
      <c r="D527" s="36"/>
      <c r="E527" s="36"/>
      <c r="F527" s="36"/>
      <c r="G527" s="36"/>
      <c r="H527" s="36"/>
    </row>
    <row r="528" spans="1:8" ht="12.75" hidden="1">
      <c r="A528" s="36"/>
      <c r="B528" s="36"/>
      <c r="C528" s="36"/>
      <c r="D528" s="36"/>
      <c r="E528" s="36"/>
      <c r="F528" s="36"/>
      <c r="G528" s="36"/>
      <c r="H528" s="36"/>
    </row>
    <row r="529" spans="1:8" ht="12.75" hidden="1">
      <c r="A529" s="36"/>
      <c r="B529" s="36"/>
      <c r="C529" s="36"/>
      <c r="D529" s="36"/>
      <c r="E529" s="36"/>
      <c r="F529" s="36"/>
      <c r="G529" s="36"/>
      <c r="H529" s="36"/>
    </row>
    <row r="530" spans="1:8" ht="12.75" hidden="1">
      <c r="A530" s="36"/>
      <c r="B530" s="36"/>
      <c r="C530" s="36"/>
      <c r="D530" s="36"/>
      <c r="E530" s="36"/>
      <c r="F530" s="36"/>
      <c r="G530" s="36"/>
      <c r="H530" s="36"/>
    </row>
    <row r="531" spans="1:8" ht="12.75" hidden="1">
      <c r="A531" s="36"/>
      <c r="B531" s="36"/>
      <c r="C531" s="36"/>
      <c r="D531" s="36"/>
      <c r="E531" s="36"/>
      <c r="F531" s="36"/>
      <c r="G531" s="36"/>
      <c r="H531" s="36"/>
    </row>
    <row r="532" spans="1:8" ht="12.75" hidden="1">
      <c r="A532" s="36"/>
      <c r="B532" s="36"/>
      <c r="C532" s="36"/>
      <c r="D532" s="36"/>
      <c r="E532" s="36"/>
      <c r="F532" s="36"/>
      <c r="G532" s="36"/>
      <c r="H532" s="36"/>
    </row>
    <row r="533" spans="1:8" ht="12.75" hidden="1">
      <c r="A533" s="36"/>
      <c r="B533" s="36"/>
      <c r="C533" s="36"/>
      <c r="D533" s="36"/>
      <c r="E533" s="36"/>
      <c r="F533" s="36"/>
      <c r="G533" s="36"/>
      <c r="H533" s="36"/>
    </row>
    <row r="534" spans="1:8" ht="12.75" hidden="1">
      <c r="A534" s="36"/>
      <c r="B534" s="36"/>
      <c r="C534" s="36"/>
      <c r="D534" s="36"/>
      <c r="E534" s="36"/>
      <c r="F534" s="36"/>
      <c r="G534" s="36"/>
      <c r="H534" s="36"/>
    </row>
    <row r="535" spans="1:8" ht="12.75" hidden="1">
      <c r="A535" s="36"/>
      <c r="B535" s="36"/>
      <c r="C535" s="36"/>
      <c r="D535" s="36"/>
      <c r="E535" s="36"/>
      <c r="F535" s="36"/>
      <c r="G535" s="36"/>
      <c r="H535" s="36"/>
    </row>
    <row r="536" spans="1:8" ht="12.75" hidden="1">
      <c r="A536" s="36"/>
      <c r="B536" s="36"/>
      <c r="C536" s="36"/>
      <c r="D536" s="36"/>
      <c r="E536" s="36"/>
      <c r="F536" s="36"/>
      <c r="G536" s="36"/>
      <c r="H536" s="36"/>
    </row>
    <row r="537" spans="1:8" ht="12.75" hidden="1">
      <c r="A537" s="36"/>
      <c r="B537" s="36"/>
      <c r="C537" s="36"/>
      <c r="D537" s="36"/>
      <c r="E537" s="36"/>
      <c r="F537" s="36"/>
      <c r="G537" s="36"/>
      <c r="H537" s="36"/>
    </row>
    <row r="538" spans="1:8" ht="12.75" hidden="1">
      <c r="A538" s="36"/>
      <c r="B538" s="36"/>
      <c r="C538" s="36"/>
      <c r="D538" s="36"/>
      <c r="E538" s="36"/>
      <c r="F538" s="36"/>
      <c r="G538" s="36"/>
      <c r="H538" s="36"/>
    </row>
    <row r="539" spans="1:8" ht="12.75" hidden="1">
      <c r="A539" s="36"/>
      <c r="B539" s="36"/>
      <c r="C539" s="36"/>
      <c r="D539" s="36"/>
      <c r="E539" s="36"/>
      <c r="F539" s="36"/>
      <c r="G539" s="36"/>
      <c r="H539" s="36"/>
    </row>
    <row r="540" spans="1:8" ht="12.75" hidden="1">
      <c r="A540" s="36"/>
      <c r="B540" s="36"/>
      <c r="C540" s="36"/>
      <c r="D540" s="36"/>
      <c r="E540" s="36"/>
      <c r="F540" s="36"/>
      <c r="G540" s="36"/>
      <c r="H540" s="36"/>
    </row>
    <row r="541" spans="1:8" ht="12.75" hidden="1">
      <c r="A541" s="36"/>
      <c r="B541" s="36"/>
      <c r="C541" s="36"/>
      <c r="D541" s="36"/>
      <c r="E541" s="36"/>
      <c r="F541" s="36"/>
      <c r="G541" s="36"/>
      <c r="H541" s="36"/>
    </row>
    <row r="542" spans="1:8" ht="12.75" hidden="1">
      <c r="A542" s="36"/>
      <c r="B542" s="36"/>
      <c r="C542" s="36"/>
      <c r="D542" s="36"/>
      <c r="E542" s="36"/>
      <c r="F542" s="36"/>
      <c r="G542" s="36"/>
      <c r="H542" s="36"/>
    </row>
    <row r="543" spans="1:8" ht="12.75" hidden="1">
      <c r="A543" s="36"/>
      <c r="B543" s="36"/>
      <c r="C543" s="36"/>
      <c r="D543" s="36"/>
      <c r="E543" s="36"/>
      <c r="F543" s="36"/>
      <c r="G543" s="36"/>
      <c r="H543" s="36"/>
    </row>
    <row r="544" spans="1:8" ht="12.75" hidden="1">
      <c r="A544" s="36"/>
      <c r="B544" s="36"/>
      <c r="C544" s="36"/>
      <c r="D544" s="36"/>
      <c r="E544" s="36"/>
      <c r="F544" s="36"/>
      <c r="G544" s="36"/>
      <c r="H544" s="36"/>
    </row>
    <row r="545" spans="1:8" ht="12.75" hidden="1">
      <c r="A545" s="36"/>
      <c r="B545" s="36"/>
      <c r="C545" s="36"/>
      <c r="D545" s="36"/>
      <c r="E545" s="36"/>
      <c r="F545" s="36"/>
      <c r="G545" s="36"/>
      <c r="H545" s="36"/>
    </row>
    <row r="546" spans="1:8" ht="12.75" hidden="1">
      <c r="A546" s="36"/>
      <c r="B546" s="36"/>
      <c r="C546" s="36"/>
      <c r="D546" s="36"/>
      <c r="E546" s="36"/>
      <c r="F546" s="36"/>
      <c r="G546" s="36"/>
      <c r="H546" s="36"/>
    </row>
    <row r="547" spans="1:8" ht="12.75" hidden="1">
      <c r="A547" s="36"/>
      <c r="B547" s="36"/>
      <c r="C547" s="36"/>
      <c r="D547" s="36"/>
      <c r="E547" s="36"/>
      <c r="F547" s="36"/>
      <c r="G547" s="36"/>
      <c r="H547" s="36"/>
    </row>
    <row r="548" spans="1:8" ht="12.75" hidden="1">
      <c r="A548" s="36"/>
      <c r="B548" s="36"/>
      <c r="C548" s="36"/>
      <c r="D548" s="36"/>
      <c r="E548" s="36"/>
      <c r="F548" s="36"/>
      <c r="G548" s="36"/>
      <c r="H548" s="36"/>
    </row>
    <row r="549" spans="1:8" ht="12.75" hidden="1">
      <c r="A549" s="36"/>
      <c r="B549" s="36"/>
      <c r="C549" s="36"/>
      <c r="D549" s="36"/>
      <c r="E549" s="36"/>
      <c r="F549" s="36"/>
      <c r="G549" s="36"/>
      <c r="H549" s="36"/>
    </row>
    <row r="550" spans="1:8" ht="12.75" hidden="1">
      <c r="A550" s="36"/>
      <c r="B550" s="36"/>
      <c r="C550" s="36"/>
      <c r="D550" s="36"/>
      <c r="E550" s="36"/>
      <c r="F550" s="36"/>
      <c r="G550" s="36"/>
      <c r="H550" s="36"/>
    </row>
    <row r="551" spans="1:8" ht="12.75" hidden="1">
      <c r="A551" s="36"/>
      <c r="B551" s="36"/>
      <c r="C551" s="36"/>
      <c r="D551" s="36"/>
      <c r="E551" s="36"/>
      <c r="F551" s="36"/>
      <c r="G551" s="36"/>
      <c r="H551" s="36"/>
    </row>
    <row r="552" spans="1:8" ht="12.75" hidden="1">
      <c r="A552" s="36"/>
      <c r="B552" s="36"/>
      <c r="C552" s="36"/>
      <c r="D552" s="36"/>
      <c r="E552" s="36"/>
      <c r="F552" s="36"/>
      <c r="G552" s="36"/>
      <c r="H552" s="36"/>
    </row>
    <row r="553" spans="1:8" ht="12.75" hidden="1">
      <c r="A553" s="36"/>
      <c r="B553" s="36"/>
      <c r="C553" s="36"/>
      <c r="D553" s="36"/>
      <c r="E553" s="36"/>
      <c r="F553" s="36"/>
      <c r="G553" s="36"/>
      <c r="H553" s="36"/>
    </row>
    <row r="554" spans="1:8" ht="12.75" hidden="1">
      <c r="A554" s="36"/>
      <c r="B554" s="36"/>
      <c r="C554" s="36"/>
      <c r="D554" s="36"/>
      <c r="E554" s="36"/>
      <c r="F554" s="36"/>
      <c r="G554" s="36"/>
      <c r="H554" s="36"/>
    </row>
    <row r="555" spans="1:8" ht="12.75" hidden="1">
      <c r="A555" s="36"/>
      <c r="B555" s="36"/>
      <c r="C555" s="36"/>
      <c r="D555" s="36"/>
      <c r="E555" s="36"/>
      <c r="F555" s="36"/>
      <c r="G555" s="36"/>
      <c r="H555" s="36"/>
    </row>
    <row r="556" spans="1:8" ht="12.75" hidden="1">
      <c r="A556" s="36"/>
      <c r="B556" s="36"/>
      <c r="C556" s="36"/>
      <c r="D556" s="36"/>
      <c r="E556" s="36"/>
      <c r="F556" s="36"/>
      <c r="G556" s="36"/>
      <c r="H556" s="36"/>
    </row>
    <row r="557" spans="1:8" ht="12.75" hidden="1">
      <c r="A557" s="36"/>
      <c r="B557" s="36"/>
      <c r="C557" s="36"/>
      <c r="D557" s="36"/>
      <c r="E557" s="36"/>
      <c r="F557" s="36"/>
      <c r="G557" s="36"/>
      <c r="H557" s="36"/>
    </row>
    <row r="558" spans="1:8" ht="12.75" hidden="1">
      <c r="A558" s="36"/>
      <c r="B558" s="36"/>
      <c r="C558" s="36"/>
      <c r="D558" s="36"/>
      <c r="E558" s="36"/>
      <c r="F558" s="36"/>
      <c r="G558" s="36"/>
      <c r="H558" s="36"/>
    </row>
    <row r="559" spans="1:8" ht="12.75" hidden="1">
      <c r="A559" s="36"/>
      <c r="B559" s="36"/>
      <c r="C559" s="36"/>
      <c r="D559" s="36"/>
      <c r="E559" s="36"/>
      <c r="F559" s="36"/>
      <c r="G559" s="36"/>
      <c r="H559" s="36"/>
    </row>
    <row r="560" spans="1:8" ht="12.75" hidden="1">
      <c r="A560" s="36"/>
      <c r="B560" s="36"/>
      <c r="C560" s="36"/>
      <c r="D560" s="36"/>
      <c r="E560" s="36"/>
      <c r="F560" s="36"/>
      <c r="G560" s="36"/>
      <c r="H560" s="36"/>
    </row>
    <row r="561" spans="1:8" ht="12.75" hidden="1">
      <c r="A561" s="36"/>
      <c r="B561" s="36"/>
      <c r="C561" s="36"/>
      <c r="D561" s="36"/>
      <c r="E561" s="36"/>
      <c r="F561" s="36"/>
      <c r="G561" s="36"/>
      <c r="H561" s="36"/>
    </row>
    <row r="562" spans="1:8" ht="12.75" hidden="1">
      <c r="A562" s="36"/>
      <c r="B562" s="36"/>
      <c r="C562" s="36"/>
      <c r="D562" s="36"/>
      <c r="E562" s="36"/>
      <c r="F562" s="36"/>
      <c r="G562" s="36"/>
      <c r="H562" s="36"/>
    </row>
    <row r="563" spans="1:8" ht="12.75" hidden="1">
      <c r="A563" s="36"/>
      <c r="B563" s="36"/>
      <c r="C563" s="36"/>
      <c r="D563" s="36"/>
      <c r="E563" s="36"/>
      <c r="F563" s="36"/>
      <c r="G563" s="36"/>
      <c r="H563" s="36"/>
    </row>
    <row r="564" spans="1:8" ht="12.75" hidden="1">
      <c r="A564" s="36"/>
      <c r="B564" s="36"/>
      <c r="C564" s="36"/>
      <c r="D564" s="36"/>
      <c r="E564" s="36"/>
      <c r="F564" s="36"/>
      <c r="G564" s="36"/>
      <c r="H564" s="36"/>
    </row>
    <row r="565" spans="1:8" ht="12.75" hidden="1">
      <c r="A565" s="36"/>
      <c r="B565" s="36"/>
      <c r="C565" s="36"/>
      <c r="D565" s="36"/>
      <c r="E565" s="36"/>
      <c r="F565" s="36"/>
      <c r="G565" s="36"/>
      <c r="H565" s="36"/>
    </row>
    <row r="566" spans="1:8" ht="12.75" hidden="1">
      <c r="A566" s="36"/>
      <c r="B566" s="36"/>
      <c r="C566" s="36"/>
      <c r="D566" s="36"/>
      <c r="E566" s="36"/>
      <c r="F566" s="36"/>
      <c r="G566" s="36"/>
      <c r="H566" s="36"/>
    </row>
    <row r="567" spans="1:8" ht="12.75" hidden="1">
      <c r="A567" s="36"/>
      <c r="B567" s="36"/>
      <c r="C567" s="36"/>
      <c r="D567" s="36"/>
      <c r="E567" s="36"/>
      <c r="F567" s="36"/>
      <c r="G567" s="36"/>
      <c r="H567" s="36"/>
    </row>
    <row r="568" spans="1:8" ht="12.75" hidden="1">
      <c r="A568" s="36"/>
      <c r="B568" s="36"/>
      <c r="C568" s="36"/>
      <c r="D568" s="36"/>
      <c r="E568" s="36"/>
      <c r="F568" s="36"/>
      <c r="G568" s="36"/>
      <c r="H568" s="36"/>
    </row>
    <row r="569" spans="1:8" ht="12.75" hidden="1">
      <c r="A569" s="36"/>
      <c r="B569" s="36"/>
      <c r="C569" s="36"/>
      <c r="D569" s="36"/>
      <c r="E569" s="36"/>
      <c r="F569" s="36"/>
      <c r="G569" s="36"/>
      <c r="H569" s="36"/>
    </row>
    <row r="570" spans="1:8" ht="12.75" hidden="1">
      <c r="A570" s="36"/>
      <c r="B570" s="36"/>
      <c r="C570" s="36"/>
      <c r="D570" s="36"/>
      <c r="E570" s="36"/>
      <c r="F570" s="36"/>
      <c r="G570" s="36"/>
      <c r="H570" s="36"/>
    </row>
    <row r="571" spans="1:8" ht="12.75" hidden="1">
      <c r="A571" s="36"/>
      <c r="B571" s="36"/>
      <c r="C571" s="36"/>
      <c r="D571" s="36"/>
      <c r="E571" s="36"/>
      <c r="F571" s="36"/>
      <c r="G571" s="36"/>
      <c r="H571" s="36"/>
    </row>
    <row r="572" spans="1:8" ht="12.75" hidden="1">
      <c r="A572" s="36"/>
      <c r="B572" s="36"/>
      <c r="C572" s="36"/>
      <c r="D572" s="36"/>
      <c r="E572" s="36"/>
      <c r="F572" s="36"/>
      <c r="G572" s="36"/>
      <c r="H572" s="36"/>
    </row>
    <row r="573" spans="1:8" ht="12.75" hidden="1">
      <c r="A573" s="36"/>
      <c r="B573" s="36"/>
      <c r="C573" s="36"/>
      <c r="D573" s="36"/>
      <c r="E573" s="36"/>
      <c r="F573" s="36"/>
      <c r="G573" s="36"/>
      <c r="H573" s="36"/>
    </row>
    <row r="574" spans="1:8" ht="12.75" hidden="1">
      <c r="A574" s="36"/>
      <c r="B574" s="36"/>
      <c r="C574" s="36"/>
      <c r="D574" s="36"/>
      <c r="E574" s="36"/>
      <c r="F574" s="36"/>
      <c r="G574" s="36"/>
      <c r="H574" s="36"/>
    </row>
    <row r="575" spans="1:8" ht="12.75" hidden="1">
      <c r="A575" s="36"/>
      <c r="B575" s="36"/>
      <c r="C575" s="36"/>
      <c r="D575" s="36"/>
      <c r="E575" s="36"/>
      <c r="F575" s="36"/>
      <c r="G575" s="36"/>
      <c r="H575" s="36"/>
    </row>
    <row r="576" spans="1:8" ht="12.75" hidden="1">
      <c r="A576" s="36"/>
      <c r="B576" s="36"/>
      <c r="C576" s="36"/>
      <c r="D576" s="36"/>
      <c r="E576" s="36"/>
      <c r="F576" s="36"/>
      <c r="G576" s="36"/>
      <c r="H576" s="36"/>
    </row>
    <row r="577" spans="1:8" ht="12.75" hidden="1">
      <c r="A577" s="36"/>
      <c r="B577" s="36"/>
      <c r="C577" s="36"/>
      <c r="D577" s="36"/>
      <c r="E577" s="36"/>
      <c r="F577" s="36"/>
      <c r="G577" s="36"/>
      <c r="H577" s="36"/>
    </row>
    <row r="578" spans="1:8" ht="12.75" hidden="1">
      <c r="A578" s="36"/>
      <c r="B578" s="36"/>
      <c r="C578" s="36"/>
      <c r="D578" s="36"/>
      <c r="E578" s="36"/>
      <c r="F578" s="36"/>
      <c r="G578" s="36"/>
      <c r="H578" s="36"/>
    </row>
    <row r="579" spans="1:8" ht="12.75" hidden="1">
      <c r="A579" s="36"/>
      <c r="B579" s="36"/>
      <c r="C579" s="36"/>
      <c r="D579" s="36"/>
      <c r="E579" s="36"/>
      <c r="F579" s="36"/>
      <c r="G579" s="36"/>
      <c r="H579" s="36"/>
    </row>
    <row r="580" spans="1:8" ht="12.75" hidden="1">
      <c r="A580" s="36"/>
      <c r="B580" s="36"/>
      <c r="C580" s="36"/>
      <c r="D580" s="36"/>
      <c r="E580" s="36"/>
      <c r="F580" s="36"/>
      <c r="G580" s="36"/>
      <c r="H580" s="36"/>
    </row>
    <row r="581" spans="1:8" ht="12.75" hidden="1">
      <c r="A581" s="36"/>
      <c r="B581" s="36"/>
      <c r="C581" s="36"/>
      <c r="D581" s="36"/>
      <c r="E581" s="36"/>
      <c r="F581" s="36"/>
      <c r="G581" s="36"/>
      <c r="H581" s="36"/>
    </row>
    <row r="582" spans="1:8" ht="12.75" hidden="1">
      <c r="A582" s="36"/>
      <c r="B582" s="36"/>
      <c r="C582" s="36"/>
      <c r="D582" s="36"/>
      <c r="E582" s="36"/>
      <c r="F582" s="36"/>
      <c r="G582" s="36"/>
      <c r="H582" s="36"/>
    </row>
    <row r="583" spans="1:8" ht="12.75" hidden="1">
      <c r="A583" s="36"/>
      <c r="B583" s="36"/>
      <c r="C583" s="36"/>
      <c r="D583" s="36"/>
      <c r="E583" s="36"/>
      <c r="F583" s="36"/>
      <c r="G583" s="36"/>
      <c r="H583" s="36"/>
    </row>
    <row r="584" spans="1:8" ht="12.75" hidden="1">
      <c r="A584" s="36"/>
      <c r="B584" s="36"/>
      <c r="C584" s="36"/>
      <c r="D584" s="36"/>
      <c r="E584" s="36"/>
      <c r="F584" s="36"/>
      <c r="G584" s="36"/>
      <c r="H584" s="36"/>
    </row>
    <row r="585" spans="1:8" ht="12.75" hidden="1">
      <c r="A585" s="36"/>
      <c r="B585" s="36"/>
      <c r="C585" s="36"/>
      <c r="D585" s="36"/>
      <c r="E585" s="36"/>
      <c r="F585" s="36"/>
      <c r="G585" s="36"/>
      <c r="H585" s="36"/>
    </row>
    <row r="586" spans="1:8" ht="12.75" hidden="1">
      <c r="A586" s="36"/>
      <c r="B586" s="36"/>
      <c r="C586" s="36"/>
      <c r="D586" s="36"/>
      <c r="E586" s="36"/>
      <c r="F586" s="36"/>
      <c r="G586" s="36"/>
      <c r="H586" s="36"/>
    </row>
    <row r="587" spans="1:8" ht="12.75" hidden="1">
      <c r="A587" s="36"/>
      <c r="B587" s="36"/>
      <c r="C587" s="36"/>
      <c r="D587" s="36"/>
      <c r="E587" s="36"/>
      <c r="F587" s="36"/>
      <c r="G587" s="36"/>
      <c r="H587" s="36"/>
    </row>
    <row r="588" spans="1:8" ht="12.75" hidden="1">
      <c r="A588" s="36"/>
      <c r="B588" s="36"/>
      <c r="C588" s="36"/>
      <c r="D588" s="36"/>
      <c r="E588" s="36"/>
      <c r="F588" s="36"/>
      <c r="G588" s="36"/>
      <c r="H588" s="36"/>
    </row>
    <row r="589" spans="1:8" ht="12.75" hidden="1">
      <c r="A589" s="36"/>
      <c r="B589" s="36"/>
      <c r="C589" s="36"/>
      <c r="D589" s="36"/>
      <c r="E589" s="36"/>
      <c r="F589" s="36"/>
      <c r="G589" s="36"/>
      <c r="H589" s="36"/>
    </row>
    <row r="590" spans="1:8" ht="12.75" hidden="1">
      <c r="A590" s="36"/>
      <c r="B590" s="36"/>
      <c r="C590" s="36"/>
      <c r="D590" s="36"/>
      <c r="E590" s="36"/>
      <c r="F590" s="36"/>
      <c r="G590" s="36"/>
      <c r="H590" s="36"/>
    </row>
    <row r="591" spans="1:8" ht="12.75" hidden="1">
      <c r="A591" s="36"/>
      <c r="B591" s="36"/>
      <c r="C591" s="36"/>
      <c r="D591" s="36"/>
      <c r="E591" s="36"/>
      <c r="F591" s="36"/>
      <c r="G591" s="36"/>
      <c r="H591" s="36"/>
    </row>
    <row r="592" spans="1:8" ht="12.75" hidden="1">
      <c r="A592" s="36"/>
      <c r="B592" s="36"/>
      <c r="C592" s="36"/>
      <c r="D592" s="36"/>
      <c r="E592" s="36"/>
      <c r="F592" s="36"/>
      <c r="G592" s="36"/>
      <c r="H592" s="36"/>
    </row>
    <row r="593" spans="1:8" ht="12.75" hidden="1">
      <c r="A593" s="36"/>
      <c r="B593" s="36"/>
      <c r="C593" s="36"/>
      <c r="D593" s="36"/>
      <c r="E593" s="36"/>
      <c r="F593" s="36"/>
      <c r="G593" s="36"/>
      <c r="H593" s="36"/>
    </row>
    <row r="594" spans="1:8" ht="12.75" hidden="1">
      <c r="A594" s="36"/>
      <c r="B594" s="36"/>
      <c r="C594" s="36"/>
      <c r="D594" s="36"/>
      <c r="E594" s="36"/>
      <c r="F594" s="36"/>
      <c r="G594" s="36"/>
      <c r="H594" s="36"/>
    </row>
    <row r="595" spans="1:8" ht="12.75" hidden="1">
      <c r="A595" s="36"/>
      <c r="B595" s="36"/>
      <c r="C595" s="36"/>
      <c r="D595" s="36"/>
      <c r="E595" s="36"/>
      <c r="F595" s="36"/>
      <c r="G595" s="36"/>
      <c r="H595" s="36"/>
    </row>
    <row r="596" spans="1:8" ht="12.75" hidden="1">
      <c r="A596" s="36"/>
      <c r="B596" s="36"/>
      <c r="C596" s="36"/>
      <c r="D596" s="36"/>
      <c r="E596" s="36"/>
      <c r="F596" s="36"/>
      <c r="G596" s="36"/>
      <c r="H596" s="36"/>
    </row>
    <row r="597" spans="1:8" ht="12.75" hidden="1">
      <c r="A597" s="36"/>
      <c r="B597" s="36"/>
      <c r="C597" s="36"/>
      <c r="D597" s="36"/>
      <c r="E597" s="36"/>
      <c r="F597" s="36"/>
      <c r="G597" s="36"/>
      <c r="H597" s="36"/>
    </row>
    <row r="598" spans="1:8" ht="12.75" hidden="1">
      <c r="A598" s="36"/>
      <c r="B598" s="36"/>
      <c r="C598" s="36"/>
      <c r="D598" s="36"/>
      <c r="E598" s="36"/>
      <c r="F598" s="36"/>
      <c r="G598" s="36"/>
      <c r="H598" s="36"/>
    </row>
    <row r="599" spans="1:8" ht="12.75" hidden="1">
      <c r="A599" s="36"/>
      <c r="B599" s="36"/>
      <c r="C599" s="36"/>
      <c r="D599" s="36"/>
      <c r="E599" s="36"/>
      <c r="F599" s="36"/>
      <c r="G599" s="36"/>
      <c r="H599" s="36"/>
    </row>
    <row r="600" spans="1:8" ht="12.75" hidden="1">
      <c r="A600" s="36"/>
      <c r="B600" s="36"/>
      <c r="C600" s="36"/>
      <c r="D600" s="36"/>
      <c r="E600" s="36"/>
      <c r="F600" s="36"/>
      <c r="G600" s="36"/>
      <c r="H600" s="36"/>
    </row>
    <row r="601" spans="1:8" ht="12.75" hidden="1">
      <c r="A601" s="36"/>
      <c r="B601" s="36"/>
      <c r="C601" s="36"/>
      <c r="D601" s="36"/>
      <c r="E601" s="36"/>
      <c r="F601" s="36"/>
      <c r="G601" s="36"/>
      <c r="H601" s="36"/>
    </row>
    <row r="602" spans="1:8" ht="12.75" hidden="1">
      <c r="A602" s="36"/>
      <c r="B602" s="36"/>
      <c r="C602" s="36"/>
      <c r="D602" s="36"/>
      <c r="E602" s="36"/>
      <c r="F602" s="36"/>
      <c r="G602" s="36"/>
      <c r="H602" s="36"/>
    </row>
    <row r="603" spans="1:8" ht="12.75" hidden="1">
      <c r="A603" s="36"/>
      <c r="B603" s="36"/>
      <c r="C603" s="36"/>
      <c r="D603" s="36"/>
      <c r="E603" s="36"/>
      <c r="F603" s="36"/>
      <c r="G603" s="36"/>
      <c r="H603" s="36"/>
    </row>
    <row r="604" spans="1:8" ht="12.75" hidden="1">
      <c r="A604" s="36"/>
      <c r="B604" s="36"/>
      <c r="C604" s="36"/>
      <c r="D604" s="36"/>
      <c r="E604" s="36"/>
      <c r="F604" s="36"/>
      <c r="G604" s="36"/>
      <c r="H604" s="36"/>
    </row>
    <row r="605" spans="1:8" ht="12.75" hidden="1">
      <c r="A605" s="36"/>
      <c r="B605" s="36"/>
      <c r="C605" s="36"/>
      <c r="D605" s="36"/>
      <c r="E605" s="36"/>
      <c r="F605" s="36"/>
      <c r="G605" s="36"/>
      <c r="H605" s="36"/>
    </row>
    <row r="606" spans="1:8" ht="12.75" hidden="1">
      <c r="A606" s="36"/>
      <c r="B606" s="36"/>
      <c r="C606" s="36"/>
      <c r="D606" s="36"/>
      <c r="E606" s="36"/>
      <c r="F606" s="36"/>
      <c r="G606" s="36"/>
      <c r="H606" s="36"/>
    </row>
    <row r="607" spans="1:8" ht="12.75" hidden="1">
      <c r="A607" s="36"/>
      <c r="B607" s="36"/>
      <c r="C607" s="36"/>
      <c r="D607" s="36"/>
      <c r="E607" s="36"/>
      <c r="F607" s="36"/>
      <c r="G607" s="36"/>
      <c r="H607" s="36"/>
    </row>
    <row r="608" spans="1:8" ht="12.75" hidden="1">
      <c r="A608" s="36"/>
      <c r="B608" s="36"/>
      <c r="C608" s="36"/>
      <c r="D608" s="36"/>
      <c r="E608" s="36"/>
      <c r="F608" s="36"/>
      <c r="G608" s="36"/>
      <c r="H608" s="36"/>
    </row>
    <row r="609" spans="1:8" ht="12.75" hidden="1">
      <c r="A609" s="36"/>
      <c r="B609" s="36"/>
      <c r="C609" s="36"/>
      <c r="D609" s="36"/>
      <c r="E609" s="36"/>
      <c r="F609" s="36"/>
      <c r="G609" s="36"/>
      <c r="H609" s="36"/>
    </row>
    <row r="610" spans="1:8" ht="12.75" hidden="1">
      <c r="A610" s="36"/>
      <c r="B610" s="36"/>
      <c r="C610" s="36"/>
      <c r="D610" s="36"/>
      <c r="E610" s="36"/>
      <c r="F610" s="36"/>
      <c r="G610" s="36"/>
      <c r="H610" s="36"/>
    </row>
    <row r="611" spans="1:8" ht="12.75" hidden="1">
      <c r="A611" s="36"/>
      <c r="B611" s="36"/>
      <c r="C611" s="36"/>
      <c r="D611" s="36"/>
      <c r="E611" s="36"/>
      <c r="F611" s="36"/>
      <c r="G611" s="36"/>
      <c r="H611" s="36"/>
    </row>
    <row r="612" spans="1:8" ht="12.75" hidden="1">
      <c r="A612" s="36"/>
      <c r="B612" s="36"/>
      <c r="C612" s="36"/>
      <c r="D612" s="36"/>
      <c r="E612" s="36"/>
      <c r="F612" s="36"/>
      <c r="G612" s="36"/>
      <c r="H612" s="36"/>
    </row>
    <row r="613" spans="1:8" ht="12.75" hidden="1">
      <c r="A613" s="36"/>
      <c r="B613" s="36"/>
      <c r="C613" s="36"/>
      <c r="D613" s="36"/>
      <c r="E613" s="36"/>
      <c r="F613" s="36"/>
      <c r="G613" s="36"/>
      <c r="H613" s="36"/>
    </row>
    <row r="614" spans="1:8" ht="12.75" hidden="1">
      <c r="A614" s="36"/>
      <c r="B614" s="36"/>
      <c r="C614" s="36"/>
      <c r="D614" s="36"/>
      <c r="E614" s="36"/>
      <c r="F614" s="36"/>
      <c r="G614" s="36"/>
      <c r="H614" s="36"/>
    </row>
    <row r="615" spans="1:8" ht="12.75" hidden="1">
      <c r="A615" s="36"/>
      <c r="B615" s="36"/>
      <c r="C615" s="36"/>
      <c r="D615" s="36"/>
      <c r="E615" s="36"/>
      <c r="F615" s="36"/>
      <c r="G615" s="36"/>
      <c r="H615" s="36"/>
    </row>
    <row r="616" spans="1:8" ht="12.75" hidden="1">
      <c r="A616" s="36"/>
      <c r="B616" s="36"/>
      <c r="C616" s="36"/>
      <c r="D616" s="36"/>
      <c r="E616" s="36"/>
      <c r="F616" s="36"/>
      <c r="G616" s="36"/>
      <c r="H616" s="36"/>
    </row>
    <row r="617" spans="1:8" ht="12.75" hidden="1">
      <c r="A617" s="36"/>
      <c r="B617" s="36"/>
      <c r="C617" s="36"/>
      <c r="D617" s="36"/>
      <c r="E617" s="36"/>
      <c r="F617" s="36"/>
      <c r="G617" s="36"/>
      <c r="H617" s="36"/>
    </row>
    <row r="618" spans="1:8" ht="12.75" hidden="1">
      <c r="A618" s="36"/>
      <c r="B618" s="36"/>
      <c r="C618" s="36"/>
      <c r="D618" s="36"/>
      <c r="E618" s="36"/>
      <c r="F618" s="36"/>
      <c r="G618" s="36"/>
      <c r="H618" s="36"/>
    </row>
    <row r="619" spans="1:8" ht="12.75" hidden="1">
      <c r="A619" s="36"/>
      <c r="B619" s="36"/>
      <c r="C619" s="36"/>
      <c r="D619" s="36"/>
      <c r="E619" s="36"/>
      <c r="F619" s="36"/>
      <c r="G619" s="36"/>
      <c r="H619" s="36"/>
    </row>
    <row r="620" spans="1:8" ht="12.75" hidden="1">
      <c r="A620" s="36"/>
      <c r="B620" s="36"/>
      <c r="C620" s="36"/>
      <c r="D620" s="36"/>
      <c r="E620" s="36"/>
      <c r="F620" s="36"/>
      <c r="G620" s="36"/>
      <c r="H620" s="36"/>
    </row>
    <row r="621" spans="1:8" ht="12.75" hidden="1">
      <c r="A621" s="36"/>
      <c r="B621" s="36"/>
      <c r="C621" s="36"/>
      <c r="D621" s="36"/>
      <c r="E621" s="36"/>
      <c r="F621" s="36"/>
      <c r="G621" s="36"/>
      <c r="H621" s="36"/>
    </row>
    <row r="622" spans="1:8" ht="12.75" hidden="1">
      <c r="A622" s="36"/>
      <c r="B622" s="36"/>
      <c r="C622" s="36"/>
      <c r="D622" s="36"/>
      <c r="E622" s="36"/>
      <c r="F622" s="36"/>
      <c r="G622" s="36"/>
      <c r="H622" s="36"/>
    </row>
    <row r="623" spans="1:8" ht="12.75" hidden="1">
      <c r="A623" s="36"/>
      <c r="B623" s="36"/>
      <c r="C623" s="36"/>
      <c r="D623" s="36"/>
      <c r="E623" s="36"/>
      <c r="F623" s="36"/>
      <c r="G623" s="36"/>
      <c r="H623" s="36"/>
    </row>
    <row r="624" spans="1:8" ht="12.75" hidden="1">
      <c r="A624" s="36"/>
      <c r="B624" s="36"/>
      <c r="C624" s="36"/>
      <c r="D624" s="36"/>
      <c r="E624" s="36"/>
      <c r="F624" s="36"/>
      <c r="G624" s="36"/>
      <c r="H624" s="36"/>
    </row>
    <row r="625" spans="1:8" ht="12.75" hidden="1">
      <c r="A625" s="36"/>
      <c r="B625" s="36"/>
      <c r="C625" s="36"/>
      <c r="D625" s="36"/>
      <c r="E625" s="36"/>
      <c r="F625" s="36"/>
      <c r="G625" s="36"/>
      <c r="H625" s="36"/>
    </row>
    <row r="626" spans="1:8" ht="12.75" hidden="1">
      <c r="A626" s="36"/>
      <c r="B626" s="36"/>
      <c r="C626" s="36"/>
      <c r="D626" s="36"/>
      <c r="E626" s="36"/>
      <c r="F626" s="36"/>
      <c r="G626" s="36"/>
      <c r="H626" s="36"/>
    </row>
    <row r="627" spans="1:8" ht="12.75" hidden="1">
      <c r="A627" s="36"/>
      <c r="B627" s="36"/>
      <c r="C627" s="36"/>
      <c r="D627" s="36"/>
      <c r="E627" s="36"/>
      <c r="F627" s="36"/>
      <c r="G627" s="36"/>
      <c r="H627" s="36"/>
    </row>
    <row r="628" spans="1:8" ht="12.75" hidden="1">
      <c r="A628" s="36"/>
      <c r="B628" s="36"/>
      <c r="C628" s="36"/>
      <c r="D628" s="36"/>
      <c r="E628" s="36"/>
      <c r="F628" s="36"/>
      <c r="G628" s="36"/>
      <c r="H628" s="36"/>
    </row>
    <row r="629" spans="1:8" ht="12.75" hidden="1">
      <c r="A629" s="36"/>
      <c r="B629" s="36"/>
      <c r="C629" s="36"/>
      <c r="D629" s="36"/>
      <c r="E629" s="36"/>
      <c r="F629" s="36"/>
      <c r="G629" s="36"/>
      <c r="H629" s="36"/>
    </row>
    <row r="630" spans="1:8" ht="12.75" hidden="1">
      <c r="A630" s="36"/>
      <c r="B630" s="36"/>
      <c r="C630" s="36"/>
      <c r="D630" s="36"/>
      <c r="E630" s="36"/>
      <c r="F630" s="36"/>
      <c r="G630" s="36"/>
      <c r="H630" s="36"/>
    </row>
    <row r="631" spans="1:8" ht="12.75" hidden="1">
      <c r="A631" s="36"/>
      <c r="B631" s="36"/>
      <c r="C631" s="36"/>
      <c r="D631" s="36"/>
      <c r="E631" s="36"/>
      <c r="F631" s="36"/>
      <c r="G631" s="36"/>
      <c r="H631" s="36"/>
    </row>
    <row r="632" spans="1:8" ht="12.75" hidden="1">
      <c r="A632" s="36"/>
      <c r="B632" s="36"/>
      <c r="C632" s="36"/>
      <c r="D632" s="36"/>
      <c r="E632" s="36"/>
      <c r="F632" s="36"/>
      <c r="G632" s="36"/>
      <c r="H632" s="36"/>
    </row>
    <row r="633" spans="1:8" ht="12.75" hidden="1">
      <c r="A633" s="36"/>
      <c r="B633" s="36"/>
      <c r="C633" s="36"/>
      <c r="D633" s="36"/>
      <c r="E633" s="36"/>
      <c r="F633" s="36"/>
      <c r="G633" s="36"/>
      <c r="H633" s="36"/>
    </row>
    <row r="634" spans="1:8" ht="12.75" hidden="1">
      <c r="A634" s="36"/>
      <c r="B634" s="36"/>
      <c r="C634" s="36"/>
      <c r="D634" s="36"/>
      <c r="E634" s="36"/>
      <c r="F634" s="36"/>
      <c r="G634" s="36"/>
      <c r="H634" s="36"/>
    </row>
    <row r="635" spans="1:8" ht="12.75" hidden="1">
      <c r="A635" s="36"/>
      <c r="B635" s="36"/>
      <c r="C635" s="36"/>
      <c r="D635" s="36"/>
      <c r="E635" s="36"/>
      <c r="F635" s="36"/>
      <c r="G635" s="36"/>
      <c r="H635" s="36"/>
    </row>
    <row r="636" spans="1:8" ht="12.75" hidden="1">
      <c r="A636" s="36"/>
      <c r="B636" s="36"/>
      <c r="C636" s="36"/>
      <c r="D636" s="36"/>
      <c r="E636" s="36"/>
      <c r="F636" s="36"/>
      <c r="G636" s="36"/>
      <c r="H636" s="36"/>
    </row>
    <row r="637" spans="1:8" ht="12.75" hidden="1">
      <c r="A637" s="36"/>
      <c r="B637" s="36"/>
      <c r="C637" s="36"/>
      <c r="D637" s="36"/>
      <c r="E637" s="36"/>
      <c r="F637" s="36"/>
      <c r="G637" s="36"/>
      <c r="H637" s="36"/>
    </row>
    <row r="638" spans="1:8" ht="12.75" hidden="1">
      <c r="A638" s="36"/>
      <c r="B638" s="36"/>
      <c r="C638" s="36"/>
      <c r="D638" s="36"/>
      <c r="E638" s="36"/>
      <c r="F638" s="36"/>
      <c r="G638" s="36"/>
      <c r="H638" s="36"/>
    </row>
    <row r="639" spans="1:8" ht="12.75" hidden="1">
      <c r="A639" s="36"/>
      <c r="B639" s="36"/>
      <c r="C639" s="36"/>
      <c r="D639" s="36"/>
      <c r="E639" s="36"/>
      <c r="F639" s="36"/>
      <c r="G639" s="36"/>
      <c r="H639" s="36"/>
    </row>
    <row r="640" spans="1:8" ht="12.75" hidden="1">
      <c r="A640" s="36"/>
      <c r="B640" s="36"/>
      <c r="C640" s="36"/>
      <c r="D640" s="36"/>
      <c r="E640" s="36"/>
      <c r="F640" s="36"/>
      <c r="G640" s="36"/>
      <c r="H640" s="36"/>
    </row>
    <row r="641" spans="1:8" ht="12.75" hidden="1">
      <c r="A641" s="36"/>
      <c r="B641" s="36"/>
      <c r="C641" s="36"/>
      <c r="D641" s="36"/>
      <c r="E641" s="36"/>
      <c r="F641" s="36"/>
      <c r="G641" s="36"/>
      <c r="H641" s="36"/>
    </row>
    <row r="642" spans="1:8" ht="12.75" hidden="1">
      <c r="A642" s="36"/>
      <c r="B642" s="36"/>
      <c r="C642" s="36"/>
      <c r="D642" s="36"/>
      <c r="E642" s="36"/>
      <c r="F642" s="36"/>
      <c r="G642" s="36"/>
      <c r="H642" s="36"/>
    </row>
    <row r="643" spans="1:8" ht="12.75" hidden="1">
      <c r="A643" s="36"/>
      <c r="B643" s="36"/>
      <c r="C643" s="36"/>
      <c r="D643" s="36"/>
      <c r="E643" s="36"/>
      <c r="F643" s="36"/>
      <c r="G643" s="36"/>
      <c r="H643" s="36"/>
    </row>
    <row r="644" spans="1:8" ht="12.75" hidden="1">
      <c r="A644" s="36"/>
      <c r="B644" s="36"/>
      <c r="C644" s="36"/>
      <c r="D644" s="36"/>
      <c r="E644" s="36"/>
      <c r="F644" s="36"/>
      <c r="G644" s="36"/>
      <c r="H644" s="36"/>
    </row>
    <row r="645" spans="1:8" ht="12.75" hidden="1">
      <c r="A645" s="36"/>
      <c r="B645" s="36"/>
      <c r="C645" s="36"/>
      <c r="D645" s="36"/>
      <c r="E645" s="36"/>
      <c r="F645" s="36"/>
      <c r="G645" s="36"/>
      <c r="H645" s="36"/>
    </row>
    <row r="646" spans="1:8" ht="12.75" hidden="1">
      <c r="A646" s="36"/>
      <c r="B646" s="36"/>
      <c r="C646" s="36"/>
      <c r="D646" s="36"/>
      <c r="E646" s="36"/>
      <c r="F646" s="36"/>
      <c r="G646" s="36"/>
      <c r="H646" s="36"/>
    </row>
    <row r="647" spans="1:8" ht="12.75" hidden="1">
      <c r="A647" s="36"/>
      <c r="B647" s="36"/>
      <c r="C647" s="36"/>
      <c r="D647" s="36"/>
      <c r="E647" s="36"/>
      <c r="F647" s="36"/>
      <c r="G647" s="36"/>
      <c r="H647" s="36"/>
    </row>
    <row r="648" spans="1:8" ht="12.75" hidden="1">
      <c r="A648" s="36"/>
      <c r="B648" s="36"/>
      <c r="C648" s="36"/>
      <c r="D648" s="36"/>
      <c r="E648" s="36"/>
      <c r="F648" s="36"/>
      <c r="G648" s="36"/>
      <c r="H648" s="36"/>
    </row>
    <row r="649" spans="1:8" ht="12.75" hidden="1">
      <c r="A649" s="36"/>
      <c r="B649" s="36"/>
      <c r="C649" s="36"/>
      <c r="D649" s="36"/>
      <c r="E649" s="36"/>
      <c r="F649" s="36"/>
      <c r="G649" s="36"/>
      <c r="H649" s="36"/>
    </row>
    <row r="650" spans="1:8" ht="12.75" hidden="1">
      <c r="A650" s="36"/>
      <c r="B650" s="36"/>
      <c r="C650" s="36"/>
      <c r="D650" s="36"/>
      <c r="E650" s="36"/>
      <c r="F650" s="36"/>
      <c r="G650" s="36"/>
      <c r="H650" s="36"/>
    </row>
    <row r="651" spans="1:8" ht="12.75" hidden="1">
      <c r="A651" s="36"/>
      <c r="B651" s="36"/>
      <c r="C651" s="36"/>
      <c r="D651" s="36"/>
      <c r="E651" s="36"/>
      <c r="F651" s="36"/>
      <c r="G651" s="36"/>
      <c r="H651" s="36"/>
    </row>
    <row r="652" spans="1:8" ht="12.75" hidden="1">
      <c r="A652" s="36"/>
      <c r="B652" s="36"/>
      <c r="C652" s="36"/>
      <c r="D652" s="36"/>
      <c r="E652" s="36"/>
      <c r="F652" s="36"/>
      <c r="G652" s="36"/>
      <c r="H652" s="36"/>
    </row>
    <row r="653" spans="1:8" ht="12.75" hidden="1">
      <c r="A653" s="36"/>
      <c r="B653" s="36"/>
      <c r="C653" s="36"/>
      <c r="D653" s="36"/>
      <c r="E653" s="36"/>
      <c r="F653" s="36"/>
      <c r="G653" s="36"/>
      <c r="H653" s="36"/>
    </row>
    <row r="654" spans="1:8" ht="12.75" hidden="1">
      <c r="A654" s="36"/>
      <c r="B654" s="36"/>
      <c r="C654" s="36"/>
      <c r="D654" s="36"/>
      <c r="E654" s="36"/>
      <c r="F654" s="36"/>
      <c r="G654" s="36"/>
      <c r="H654" s="36"/>
    </row>
    <row r="655" spans="1:8" ht="12.75" hidden="1">
      <c r="A655" s="36"/>
      <c r="B655" s="36"/>
      <c r="C655" s="36"/>
      <c r="D655" s="36"/>
      <c r="E655" s="36"/>
      <c r="F655" s="36"/>
      <c r="G655" s="36"/>
      <c r="H655" s="36"/>
    </row>
    <row r="656" spans="1:8" ht="12.75" hidden="1">
      <c r="A656" s="36"/>
      <c r="B656" s="36"/>
      <c r="C656" s="36"/>
      <c r="D656" s="36"/>
      <c r="E656" s="36"/>
      <c r="F656" s="36"/>
      <c r="G656" s="36"/>
      <c r="H656" s="36"/>
    </row>
    <row r="657" spans="1:8" ht="12.75" hidden="1">
      <c r="A657" s="36"/>
      <c r="B657" s="36"/>
      <c r="C657" s="36"/>
      <c r="D657" s="36"/>
      <c r="E657" s="36"/>
      <c r="F657" s="36"/>
      <c r="G657" s="36"/>
      <c r="H657" s="36"/>
    </row>
    <row r="658" spans="1:8" ht="12.75" hidden="1">
      <c r="A658" s="36"/>
      <c r="B658" s="36"/>
      <c r="C658" s="36"/>
      <c r="D658" s="36"/>
      <c r="E658" s="36"/>
      <c r="F658" s="36"/>
      <c r="G658" s="36"/>
      <c r="H658" s="36"/>
    </row>
    <row r="659" spans="1:8" ht="12.75" hidden="1">
      <c r="A659" s="36"/>
      <c r="B659" s="36"/>
      <c r="C659" s="36"/>
      <c r="D659" s="36"/>
      <c r="E659" s="36"/>
      <c r="F659" s="36"/>
      <c r="G659" s="36"/>
      <c r="H659" s="36"/>
    </row>
    <row r="660" spans="1:8" ht="12.75" hidden="1">
      <c r="A660" s="36"/>
      <c r="B660" s="36"/>
      <c r="C660" s="36"/>
      <c r="D660" s="36"/>
      <c r="E660" s="36"/>
      <c r="F660" s="36"/>
      <c r="G660" s="36"/>
      <c r="H660" s="36"/>
    </row>
    <row r="661" spans="1:8" ht="12.75" hidden="1">
      <c r="A661" s="36"/>
      <c r="B661" s="36"/>
      <c r="C661" s="36"/>
      <c r="D661" s="36"/>
      <c r="E661" s="36"/>
      <c r="F661" s="36"/>
      <c r="G661" s="36"/>
      <c r="H661" s="36"/>
    </row>
    <row r="662" spans="1:8" ht="12.75" hidden="1">
      <c r="A662" s="36"/>
      <c r="B662" s="36"/>
      <c r="C662" s="36"/>
      <c r="D662" s="36"/>
      <c r="E662" s="36"/>
      <c r="F662" s="36"/>
      <c r="G662" s="36"/>
      <c r="H662" s="36"/>
    </row>
    <row r="663" spans="1:8" ht="12.75" hidden="1">
      <c r="A663" s="36"/>
      <c r="B663" s="36"/>
      <c r="C663" s="36"/>
      <c r="D663" s="36"/>
      <c r="E663" s="36"/>
      <c r="F663" s="36"/>
      <c r="G663" s="36"/>
      <c r="H663" s="36"/>
    </row>
    <row r="664" spans="1:8" ht="12.75" hidden="1">
      <c r="A664" s="36"/>
      <c r="B664" s="36"/>
      <c r="C664" s="36"/>
      <c r="D664" s="36"/>
      <c r="E664" s="36"/>
      <c r="F664" s="36"/>
      <c r="G664" s="36"/>
      <c r="H664" s="36"/>
    </row>
    <row r="665" spans="1:8" ht="12.75" hidden="1">
      <c r="A665" s="36"/>
      <c r="B665" s="36"/>
      <c r="C665" s="36"/>
      <c r="D665" s="36"/>
      <c r="E665" s="36"/>
      <c r="F665" s="36"/>
      <c r="G665" s="36"/>
      <c r="H665" s="36"/>
    </row>
    <row r="666" spans="1:8" ht="12.75" hidden="1">
      <c r="A666" s="36"/>
      <c r="B666" s="36"/>
      <c r="C666" s="36"/>
      <c r="D666" s="36"/>
      <c r="E666" s="36"/>
      <c r="F666" s="36"/>
      <c r="G666" s="36"/>
      <c r="H666" s="36"/>
    </row>
    <row r="667" spans="1:8" ht="12.75" hidden="1">
      <c r="A667" s="36"/>
      <c r="B667" s="36"/>
      <c r="C667" s="36"/>
      <c r="D667" s="36"/>
      <c r="E667" s="36"/>
      <c r="F667" s="36"/>
      <c r="G667" s="36"/>
      <c r="H667" s="36"/>
    </row>
    <row r="668" spans="1:8" ht="12.75" hidden="1">
      <c r="A668" s="36"/>
      <c r="B668" s="36"/>
      <c r="C668" s="36"/>
      <c r="D668" s="36"/>
      <c r="E668" s="36"/>
      <c r="F668" s="36"/>
      <c r="G668" s="36"/>
      <c r="H668" s="36"/>
    </row>
    <row r="669" spans="1:8" ht="12.75" hidden="1">
      <c r="A669" s="36"/>
      <c r="B669" s="36"/>
      <c r="C669" s="36"/>
      <c r="D669" s="36"/>
      <c r="E669" s="36"/>
      <c r="F669" s="36"/>
      <c r="G669" s="36"/>
      <c r="H669" s="36"/>
    </row>
    <row r="670" spans="1:8" ht="12.75" hidden="1">
      <c r="A670" s="36"/>
      <c r="B670" s="36"/>
      <c r="C670" s="36"/>
      <c r="D670" s="36"/>
      <c r="E670" s="36"/>
      <c r="F670" s="36"/>
      <c r="G670" s="36"/>
      <c r="H670" s="36"/>
    </row>
    <row r="671" spans="1:8" ht="12.75" hidden="1">
      <c r="A671" s="36"/>
      <c r="B671" s="36"/>
      <c r="C671" s="36"/>
      <c r="D671" s="36"/>
      <c r="E671" s="36"/>
      <c r="F671" s="36"/>
      <c r="G671" s="36"/>
      <c r="H671" s="36"/>
    </row>
    <row r="672" spans="1:8" ht="12.75" hidden="1">
      <c r="A672" s="36"/>
      <c r="B672" s="36"/>
      <c r="C672" s="36"/>
      <c r="D672" s="36"/>
      <c r="E672" s="36"/>
      <c r="F672" s="36"/>
      <c r="G672" s="36"/>
      <c r="H672" s="36"/>
    </row>
    <row r="673" spans="1:8" ht="12.75" hidden="1">
      <c r="A673" s="36"/>
      <c r="B673" s="36"/>
      <c r="C673" s="36"/>
      <c r="D673" s="36"/>
      <c r="E673" s="36"/>
      <c r="F673" s="36"/>
      <c r="G673" s="36"/>
      <c r="H673" s="36"/>
    </row>
    <row r="674" spans="1:8" ht="12.75" hidden="1">
      <c r="A674" s="36"/>
      <c r="B674" s="36"/>
      <c r="C674" s="36"/>
      <c r="D674" s="36"/>
      <c r="E674" s="36"/>
      <c r="F674" s="36"/>
      <c r="G674" s="36"/>
      <c r="H674" s="36"/>
    </row>
    <row r="675" spans="1:8" ht="12.75" hidden="1">
      <c r="A675" s="36"/>
      <c r="B675" s="36"/>
      <c r="C675" s="36"/>
      <c r="D675" s="36"/>
      <c r="E675" s="36"/>
      <c r="F675" s="36"/>
      <c r="G675" s="36"/>
      <c r="H675" s="36"/>
    </row>
    <row r="676" spans="1:8" ht="12.75" hidden="1">
      <c r="A676" s="36"/>
      <c r="B676" s="36"/>
      <c r="C676" s="36"/>
      <c r="D676" s="36"/>
      <c r="E676" s="36"/>
      <c r="F676" s="36"/>
      <c r="G676" s="36"/>
      <c r="H676" s="36"/>
    </row>
    <row r="677" spans="1:8" ht="12.75" hidden="1">
      <c r="A677" s="36"/>
      <c r="B677" s="36"/>
      <c r="C677" s="36"/>
      <c r="D677" s="36"/>
      <c r="E677" s="36"/>
      <c r="F677" s="36"/>
      <c r="G677" s="36"/>
      <c r="H677" s="36"/>
    </row>
    <row r="678" spans="1:8" ht="12.75" hidden="1">
      <c r="A678" s="36"/>
      <c r="B678" s="36"/>
      <c r="C678" s="36"/>
      <c r="D678" s="36"/>
      <c r="E678" s="36"/>
      <c r="F678" s="36"/>
      <c r="G678" s="36"/>
      <c r="H678" s="36"/>
    </row>
    <row r="679" spans="1:8" ht="12.75" hidden="1">
      <c r="A679" s="36"/>
      <c r="B679" s="36"/>
      <c r="C679" s="36"/>
      <c r="D679" s="36"/>
      <c r="E679" s="36"/>
      <c r="F679" s="36"/>
      <c r="G679" s="36"/>
      <c r="H679" s="36"/>
    </row>
    <row r="680" spans="1:8" ht="12.75" hidden="1">
      <c r="A680" s="36"/>
      <c r="B680" s="36"/>
      <c r="C680" s="36"/>
      <c r="D680" s="36"/>
      <c r="E680" s="36"/>
      <c r="F680" s="36"/>
      <c r="G680" s="36"/>
      <c r="H680" s="36"/>
    </row>
    <row r="681" spans="1:8" ht="12.75" hidden="1">
      <c r="A681" s="36"/>
      <c r="B681" s="36"/>
      <c r="C681" s="36"/>
      <c r="D681" s="36"/>
      <c r="E681" s="36"/>
      <c r="F681" s="36"/>
      <c r="G681" s="36"/>
      <c r="H681" s="36"/>
    </row>
    <row r="682" spans="1:8" ht="12.75" hidden="1">
      <c r="A682" s="36"/>
      <c r="B682" s="36"/>
      <c r="C682" s="36"/>
      <c r="D682" s="36"/>
      <c r="E682" s="36"/>
      <c r="F682" s="36"/>
      <c r="G682" s="36"/>
      <c r="H682" s="36"/>
    </row>
    <row r="683" spans="1:8" ht="12.75" hidden="1">
      <c r="A683" s="36"/>
      <c r="B683" s="36"/>
      <c r="C683" s="36"/>
      <c r="D683" s="36"/>
      <c r="E683" s="36"/>
      <c r="F683" s="36"/>
      <c r="G683" s="36"/>
      <c r="H683" s="36"/>
    </row>
    <row r="684" spans="1:8" ht="12.75" hidden="1">
      <c r="A684" s="36"/>
      <c r="B684" s="36"/>
      <c r="C684" s="36"/>
      <c r="D684" s="36"/>
      <c r="E684" s="36"/>
      <c r="F684" s="36"/>
      <c r="G684" s="36"/>
      <c r="H684" s="36"/>
    </row>
    <row r="685" spans="1:8" ht="12.75" hidden="1">
      <c r="A685" s="36"/>
      <c r="B685" s="36"/>
      <c r="C685" s="36"/>
      <c r="D685" s="36"/>
      <c r="E685" s="36"/>
      <c r="F685" s="36"/>
      <c r="G685" s="36"/>
      <c r="H685" s="36"/>
    </row>
    <row r="686" spans="1:8" ht="12.75" hidden="1">
      <c r="A686" s="36"/>
      <c r="B686" s="36"/>
      <c r="C686" s="36"/>
      <c r="D686" s="36"/>
      <c r="E686" s="36"/>
      <c r="F686" s="36"/>
      <c r="G686" s="36"/>
      <c r="H686" s="36"/>
    </row>
    <row r="687" spans="1:8" ht="12.75" hidden="1">
      <c r="A687" s="36"/>
      <c r="B687" s="36"/>
      <c r="C687" s="36"/>
      <c r="D687" s="36"/>
      <c r="E687" s="36"/>
      <c r="F687" s="36"/>
      <c r="G687" s="36"/>
      <c r="H687" s="36"/>
    </row>
    <row r="688" spans="1:8" ht="12.75" hidden="1">
      <c r="A688" s="36"/>
      <c r="B688" s="36"/>
      <c r="C688" s="36"/>
      <c r="D688" s="36"/>
      <c r="E688" s="36"/>
      <c r="F688" s="36"/>
      <c r="G688" s="36"/>
      <c r="H688" s="36"/>
    </row>
    <row r="689" spans="1:8" ht="12.75" hidden="1">
      <c r="A689" s="36"/>
      <c r="B689" s="36"/>
      <c r="C689" s="36"/>
      <c r="D689" s="36"/>
      <c r="E689" s="36"/>
      <c r="F689" s="36"/>
      <c r="G689" s="36"/>
      <c r="H689" s="36"/>
    </row>
    <row r="690" spans="1:8" ht="12.75" hidden="1">
      <c r="A690" s="36"/>
      <c r="B690" s="36"/>
      <c r="C690" s="36"/>
      <c r="D690" s="36"/>
      <c r="E690" s="36"/>
      <c r="F690" s="36"/>
      <c r="G690" s="36"/>
      <c r="H690" s="36"/>
    </row>
    <row r="691" spans="1:8" ht="12.75" hidden="1">
      <c r="A691" s="36"/>
      <c r="B691" s="36"/>
      <c r="C691" s="36"/>
      <c r="D691" s="36"/>
      <c r="E691" s="36"/>
      <c r="F691" s="36"/>
      <c r="G691" s="36"/>
      <c r="H691" s="36"/>
    </row>
    <row r="692" spans="1:8" ht="12.75" hidden="1">
      <c r="A692" s="36"/>
      <c r="B692" s="36"/>
      <c r="C692" s="36"/>
      <c r="D692" s="36"/>
      <c r="E692" s="36"/>
      <c r="F692" s="36"/>
      <c r="G692" s="36"/>
      <c r="H692" s="36"/>
    </row>
    <row r="693" spans="1:8" ht="12.75" hidden="1">
      <c r="A693" s="36"/>
      <c r="B693" s="36"/>
      <c r="C693" s="36"/>
      <c r="D693" s="36"/>
      <c r="E693" s="36"/>
      <c r="F693" s="36"/>
      <c r="G693" s="36"/>
      <c r="H693" s="36"/>
    </row>
    <row r="694" spans="1:8" ht="12.75" hidden="1">
      <c r="A694" s="36"/>
      <c r="B694" s="36"/>
      <c r="C694" s="36"/>
      <c r="D694" s="36"/>
      <c r="E694" s="36"/>
      <c r="F694" s="36"/>
      <c r="G694" s="36"/>
      <c r="H694" s="36"/>
    </row>
    <row r="695" spans="1:8" ht="12.75" hidden="1">
      <c r="A695" s="36"/>
      <c r="B695" s="36"/>
      <c r="C695" s="36"/>
      <c r="D695" s="36"/>
      <c r="E695" s="36"/>
      <c r="F695" s="36"/>
      <c r="G695" s="36"/>
      <c r="H695" s="36"/>
    </row>
    <row r="696" spans="1:8" ht="12.75" hidden="1">
      <c r="A696" s="36"/>
      <c r="B696" s="36"/>
      <c r="C696" s="36"/>
      <c r="D696" s="36"/>
      <c r="E696" s="36"/>
      <c r="F696" s="36"/>
      <c r="G696" s="36"/>
      <c r="H696" s="36"/>
    </row>
    <row r="697" spans="1:8" ht="12.75" hidden="1">
      <c r="A697" s="36"/>
      <c r="B697" s="36"/>
      <c r="C697" s="36"/>
      <c r="D697" s="36"/>
      <c r="E697" s="36"/>
      <c r="F697" s="36"/>
      <c r="G697" s="36"/>
      <c r="H697" s="36"/>
    </row>
    <row r="698" spans="1:8" ht="12.75" hidden="1">
      <c r="A698" s="36"/>
      <c r="B698" s="36"/>
      <c r="C698" s="36"/>
      <c r="D698" s="36"/>
      <c r="E698" s="36"/>
      <c r="F698" s="36"/>
      <c r="G698" s="36"/>
      <c r="H698" s="36"/>
    </row>
    <row r="699" spans="1:8" ht="12.75" hidden="1">
      <c r="A699" s="36"/>
      <c r="B699" s="36"/>
      <c r="C699" s="36"/>
      <c r="D699" s="36"/>
      <c r="E699" s="36"/>
      <c r="F699" s="36"/>
      <c r="G699" s="36"/>
      <c r="H699" s="36"/>
    </row>
    <row r="700" spans="1:8" ht="12.75" hidden="1">
      <c r="A700" s="36"/>
      <c r="B700" s="36"/>
      <c r="C700" s="36"/>
      <c r="D700" s="36"/>
      <c r="E700" s="36"/>
      <c r="F700" s="36"/>
      <c r="G700" s="36"/>
      <c r="H700" s="36"/>
    </row>
    <row r="701" spans="1:8" ht="12.75" hidden="1">
      <c r="A701" s="36"/>
      <c r="B701" s="36"/>
      <c r="C701" s="36"/>
      <c r="D701" s="36"/>
      <c r="E701" s="36"/>
      <c r="F701" s="36"/>
      <c r="G701" s="36"/>
      <c r="H701" s="36"/>
    </row>
    <row r="702" spans="1:8" ht="12.75" hidden="1">
      <c r="A702" s="36"/>
      <c r="B702" s="36"/>
      <c r="C702" s="36"/>
      <c r="D702" s="36"/>
      <c r="E702" s="36"/>
      <c r="F702" s="36"/>
      <c r="G702" s="36"/>
      <c r="H702" s="36"/>
    </row>
    <row r="703" spans="1:8" ht="12.75" hidden="1">
      <c r="A703" s="36"/>
      <c r="B703" s="36"/>
      <c r="C703" s="36"/>
      <c r="D703" s="36"/>
      <c r="E703" s="36"/>
      <c r="F703" s="36"/>
      <c r="G703" s="36"/>
      <c r="H703" s="36"/>
    </row>
    <row r="704" spans="1:8" ht="12.75" hidden="1">
      <c r="A704" s="36"/>
      <c r="B704" s="36"/>
      <c r="C704" s="36"/>
      <c r="D704" s="36"/>
      <c r="E704" s="36"/>
      <c r="F704" s="36"/>
      <c r="G704" s="36"/>
      <c r="H704" s="36"/>
    </row>
    <row r="705" spans="1:8" ht="12.75" hidden="1">
      <c r="A705" s="36"/>
      <c r="B705" s="36"/>
      <c r="C705" s="36"/>
      <c r="D705" s="36"/>
      <c r="E705" s="36"/>
      <c r="F705" s="36"/>
      <c r="G705" s="36"/>
      <c r="H705" s="36"/>
    </row>
    <row r="706" spans="1:8" ht="12.75" hidden="1">
      <c r="A706" s="36"/>
      <c r="B706" s="36"/>
      <c r="C706" s="36"/>
      <c r="D706" s="36"/>
      <c r="E706" s="36"/>
      <c r="F706" s="36"/>
      <c r="G706" s="36"/>
      <c r="H706" s="36"/>
    </row>
    <row r="707" spans="1:8" ht="12.75" hidden="1">
      <c r="A707" s="36"/>
      <c r="B707" s="36"/>
      <c r="C707" s="36"/>
      <c r="D707" s="36"/>
      <c r="E707" s="36"/>
      <c r="F707" s="36"/>
      <c r="G707" s="36"/>
      <c r="H707" s="36"/>
    </row>
    <row r="708" spans="1:8" ht="12.75" hidden="1">
      <c r="A708" s="36"/>
      <c r="B708" s="36"/>
      <c r="C708" s="36"/>
      <c r="D708" s="36"/>
      <c r="E708" s="36"/>
      <c r="F708" s="36"/>
      <c r="G708" s="36"/>
      <c r="H708" s="36"/>
    </row>
    <row r="709" spans="1:8" ht="12.75" hidden="1">
      <c r="A709" s="36"/>
      <c r="B709" s="36"/>
      <c r="C709" s="36"/>
      <c r="D709" s="36"/>
      <c r="E709" s="36"/>
      <c r="F709" s="36"/>
      <c r="G709" s="36"/>
      <c r="H709" s="36"/>
    </row>
    <row r="710" spans="1:8" ht="12.75" hidden="1">
      <c r="A710" s="36"/>
      <c r="B710" s="36"/>
      <c r="C710" s="36"/>
      <c r="D710" s="36"/>
      <c r="E710" s="36"/>
      <c r="F710" s="36"/>
      <c r="G710" s="36"/>
      <c r="H710" s="36"/>
    </row>
    <row r="711" spans="1:8" ht="12.75" hidden="1">
      <c r="A711" s="36"/>
      <c r="B711" s="36"/>
      <c r="C711" s="36"/>
      <c r="D711" s="36"/>
      <c r="E711" s="36"/>
      <c r="F711" s="36"/>
      <c r="G711" s="36"/>
      <c r="H711" s="36"/>
    </row>
    <row r="712" spans="1:8" ht="12.75" hidden="1">
      <c r="A712" s="36"/>
      <c r="B712" s="36"/>
      <c r="C712" s="36"/>
      <c r="D712" s="36"/>
      <c r="E712" s="36"/>
      <c r="F712" s="36"/>
      <c r="G712" s="36"/>
      <c r="H712" s="36"/>
    </row>
    <row r="713" spans="1:8" ht="12.75" hidden="1">
      <c r="A713" s="36"/>
      <c r="B713" s="36"/>
      <c r="C713" s="36"/>
      <c r="D713" s="36"/>
      <c r="E713" s="36"/>
      <c r="F713" s="36"/>
      <c r="G713" s="36"/>
      <c r="H713" s="36"/>
    </row>
    <row r="714" spans="1:8" ht="12.75" hidden="1">
      <c r="A714" s="36"/>
      <c r="B714" s="36"/>
      <c r="C714" s="36"/>
      <c r="D714" s="36"/>
      <c r="E714" s="36"/>
      <c r="F714" s="36"/>
      <c r="G714" s="36"/>
      <c r="H714" s="36"/>
    </row>
    <row r="715" spans="1:8" ht="12.75" hidden="1">
      <c r="A715" s="36"/>
      <c r="B715" s="36"/>
      <c r="C715" s="36"/>
      <c r="D715" s="36"/>
      <c r="E715" s="36"/>
      <c r="F715" s="36"/>
      <c r="G715" s="36"/>
      <c r="H715" s="36"/>
    </row>
    <row r="716" spans="1:8" ht="12.75" hidden="1">
      <c r="A716" s="36"/>
      <c r="B716" s="36"/>
      <c r="C716" s="36"/>
      <c r="D716" s="36"/>
      <c r="E716" s="36"/>
      <c r="F716" s="36"/>
      <c r="G716" s="36"/>
      <c r="H716" s="36"/>
    </row>
    <row r="717" spans="1:8" ht="12.75" hidden="1">
      <c r="A717" s="36"/>
      <c r="B717" s="36"/>
      <c r="C717" s="36"/>
      <c r="D717" s="36"/>
      <c r="E717" s="36"/>
      <c r="F717" s="36"/>
      <c r="G717" s="36"/>
      <c r="H717" s="36"/>
    </row>
    <row r="718" spans="1:8" ht="12.75" hidden="1">
      <c r="A718" s="36"/>
      <c r="B718" s="36"/>
      <c r="C718" s="36"/>
      <c r="D718" s="36"/>
      <c r="E718" s="36"/>
      <c r="F718" s="36"/>
      <c r="G718" s="36"/>
      <c r="H718" s="36"/>
    </row>
    <row r="719" spans="1:8" ht="12.75" hidden="1">
      <c r="A719" s="36"/>
      <c r="B719" s="36"/>
      <c r="C719" s="36"/>
      <c r="D719" s="36"/>
      <c r="E719" s="36"/>
      <c r="F719" s="36"/>
      <c r="G719" s="36"/>
      <c r="H719" s="36"/>
    </row>
    <row r="720" spans="1:8" ht="12.75" hidden="1">
      <c r="A720" s="36"/>
      <c r="B720" s="36"/>
      <c r="C720" s="36"/>
      <c r="D720" s="36"/>
      <c r="E720" s="36"/>
      <c r="F720" s="36"/>
      <c r="G720" s="36"/>
      <c r="H720" s="36"/>
    </row>
    <row r="721" spans="1:8" ht="12.75" hidden="1">
      <c r="A721" s="36"/>
      <c r="B721" s="36"/>
      <c r="C721" s="36"/>
      <c r="D721" s="36"/>
      <c r="E721" s="36"/>
      <c r="F721" s="36"/>
      <c r="G721" s="36"/>
      <c r="H721" s="36"/>
    </row>
    <row r="722" spans="1:8" ht="12.75" hidden="1">
      <c r="A722" s="36"/>
      <c r="B722" s="36"/>
      <c r="C722" s="36"/>
      <c r="D722" s="36"/>
      <c r="E722" s="36"/>
      <c r="F722" s="36"/>
      <c r="G722" s="36"/>
      <c r="H722" s="36"/>
    </row>
    <row r="723" spans="1:8" ht="12.75" hidden="1">
      <c r="A723" s="36"/>
      <c r="B723" s="36"/>
      <c r="C723" s="36"/>
      <c r="D723" s="36"/>
      <c r="E723" s="36"/>
      <c r="F723" s="36"/>
      <c r="G723" s="36"/>
      <c r="H723" s="36"/>
    </row>
    <row r="724" spans="1:8" ht="12.75" hidden="1">
      <c r="A724" s="36"/>
      <c r="B724" s="36"/>
      <c r="C724" s="36"/>
      <c r="D724" s="36"/>
      <c r="E724" s="36"/>
      <c r="F724" s="36"/>
      <c r="G724" s="36"/>
      <c r="H724" s="36"/>
    </row>
    <row r="725" spans="1:8" ht="12.75" hidden="1">
      <c r="A725" s="36"/>
      <c r="B725" s="36"/>
      <c r="C725" s="36"/>
      <c r="D725" s="36"/>
      <c r="E725" s="36"/>
      <c r="F725" s="36"/>
      <c r="G725" s="36"/>
      <c r="H725" s="36"/>
    </row>
    <row r="726" spans="1:8" ht="12.75" hidden="1">
      <c r="A726" s="36"/>
      <c r="B726" s="36"/>
      <c r="C726" s="36"/>
      <c r="D726" s="36"/>
      <c r="E726" s="36"/>
      <c r="F726" s="36"/>
      <c r="G726" s="36"/>
      <c r="H726" s="36"/>
    </row>
    <row r="727" spans="1:8" ht="12.75" hidden="1">
      <c r="A727" s="36"/>
      <c r="B727" s="36"/>
      <c r="C727" s="36"/>
      <c r="D727" s="36"/>
      <c r="E727" s="36"/>
      <c r="F727" s="36"/>
      <c r="G727" s="36"/>
      <c r="H727" s="36"/>
    </row>
    <row r="728" spans="1:8" ht="12.75" hidden="1">
      <c r="A728" s="36"/>
      <c r="B728" s="36"/>
      <c r="C728" s="36"/>
      <c r="D728" s="36"/>
      <c r="E728" s="36"/>
      <c r="F728" s="36"/>
      <c r="G728" s="36"/>
      <c r="H728" s="36"/>
    </row>
    <row r="729" spans="1:8" ht="12.75" hidden="1">
      <c r="A729" s="36"/>
      <c r="B729" s="36"/>
      <c r="C729" s="36"/>
      <c r="D729" s="36"/>
      <c r="E729" s="36"/>
      <c r="F729" s="36"/>
      <c r="G729" s="36"/>
      <c r="H729" s="36"/>
    </row>
    <row r="730" spans="1:8" ht="12.75" hidden="1">
      <c r="A730" s="36"/>
      <c r="B730" s="36"/>
      <c r="C730" s="36"/>
      <c r="D730" s="36"/>
      <c r="E730" s="36"/>
      <c r="F730" s="36"/>
      <c r="G730" s="36"/>
      <c r="H730" s="36"/>
    </row>
    <row r="731" spans="1:8" ht="12.75" hidden="1">
      <c r="A731" s="36"/>
      <c r="B731" s="36"/>
      <c r="C731" s="36"/>
      <c r="D731" s="36"/>
      <c r="E731" s="36"/>
      <c r="F731" s="36"/>
      <c r="G731" s="36"/>
      <c r="H731" s="36"/>
    </row>
    <row r="732" spans="1:8" ht="12.75" hidden="1">
      <c r="A732" s="36"/>
      <c r="B732" s="36"/>
      <c r="C732" s="36"/>
      <c r="D732" s="36"/>
      <c r="E732" s="36"/>
      <c r="F732" s="36"/>
      <c r="G732" s="36"/>
      <c r="H732" s="36"/>
    </row>
    <row r="733" spans="1:8" ht="12.75" hidden="1">
      <c r="A733" s="36"/>
      <c r="B733" s="36"/>
      <c r="C733" s="36"/>
      <c r="D733" s="36"/>
      <c r="E733" s="36"/>
      <c r="F733" s="36"/>
      <c r="G733" s="36"/>
      <c r="H733" s="36"/>
    </row>
    <row r="734" spans="1:8" ht="12.75" hidden="1">
      <c r="A734" s="36"/>
      <c r="B734" s="36"/>
      <c r="C734" s="36"/>
      <c r="D734" s="36"/>
      <c r="E734" s="36"/>
      <c r="F734" s="36"/>
      <c r="G734" s="36"/>
      <c r="H734" s="36"/>
    </row>
    <row r="735" spans="1:8" ht="12.75" hidden="1">
      <c r="A735" s="36"/>
      <c r="B735" s="36"/>
      <c r="C735" s="36"/>
      <c r="D735" s="36"/>
      <c r="E735" s="36"/>
      <c r="F735" s="36"/>
      <c r="G735" s="36"/>
      <c r="H735" s="36"/>
    </row>
    <row r="736" spans="1:8" ht="12.75" hidden="1">
      <c r="A736" s="36"/>
      <c r="B736" s="36"/>
      <c r="C736" s="36"/>
      <c r="D736" s="36"/>
      <c r="E736" s="36"/>
      <c r="F736" s="36"/>
      <c r="G736" s="36"/>
      <c r="H736" s="36"/>
    </row>
    <row r="737" spans="1:8" ht="12.75" hidden="1">
      <c r="A737" s="36"/>
      <c r="B737" s="36"/>
      <c r="C737" s="36"/>
      <c r="D737" s="36"/>
      <c r="E737" s="36"/>
      <c r="F737" s="36"/>
      <c r="G737" s="36"/>
      <c r="H737" s="36"/>
    </row>
    <row r="738" spans="1:8" ht="12.75" hidden="1">
      <c r="A738" s="36"/>
      <c r="B738" s="36"/>
      <c r="C738" s="36"/>
      <c r="D738" s="36"/>
      <c r="E738" s="36"/>
      <c r="F738" s="36"/>
      <c r="G738" s="36"/>
      <c r="H738" s="36"/>
    </row>
    <row r="739" spans="1:8" ht="12.75" hidden="1">
      <c r="A739" s="36"/>
      <c r="B739" s="36"/>
      <c r="C739" s="36"/>
      <c r="D739" s="36"/>
      <c r="E739" s="36"/>
      <c r="F739" s="36"/>
      <c r="G739" s="36"/>
      <c r="H739" s="36"/>
    </row>
    <row r="740" spans="1:8" ht="12.75" hidden="1">
      <c r="A740" s="36"/>
      <c r="B740" s="36"/>
      <c r="C740" s="36"/>
      <c r="D740" s="36"/>
      <c r="E740" s="36"/>
      <c r="F740" s="36"/>
      <c r="G740" s="36"/>
      <c r="H740" s="36"/>
    </row>
    <row r="741" spans="1:8" ht="12.75" hidden="1">
      <c r="A741" s="36"/>
      <c r="B741" s="36"/>
      <c r="C741" s="36"/>
      <c r="D741" s="36"/>
      <c r="E741" s="36"/>
      <c r="F741" s="36"/>
      <c r="G741" s="36"/>
      <c r="H741" s="36"/>
    </row>
    <row r="742" spans="1:8" ht="12.75" hidden="1">
      <c r="A742" s="36"/>
      <c r="B742" s="36"/>
      <c r="C742" s="36"/>
      <c r="D742" s="36"/>
      <c r="E742" s="36"/>
      <c r="F742" s="36"/>
      <c r="G742" s="36"/>
      <c r="H742" s="36"/>
    </row>
    <row r="743" spans="1:8" ht="12.75" hidden="1">
      <c r="A743" s="36"/>
      <c r="B743" s="36"/>
      <c r="C743" s="36"/>
      <c r="D743" s="36"/>
      <c r="E743" s="36"/>
      <c r="F743" s="36"/>
      <c r="G743" s="36"/>
      <c r="H743" s="36"/>
    </row>
    <row r="744" spans="1:8" ht="12.75" hidden="1">
      <c r="A744" s="36"/>
      <c r="B744" s="36"/>
      <c r="C744" s="36"/>
      <c r="D744" s="36"/>
      <c r="E744" s="36"/>
      <c r="F744" s="36"/>
      <c r="G744" s="36"/>
      <c r="H744" s="36"/>
    </row>
    <row r="745" spans="1:8" ht="12.75" hidden="1">
      <c r="A745" s="36"/>
      <c r="B745" s="36"/>
      <c r="C745" s="36"/>
      <c r="D745" s="36"/>
      <c r="E745" s="36"/>
      <c r="F745" s="36"/>
      <c r="G745" s="36"/>
      <c r="H745" s="36"/>
    </row>
    <row r="746" spans="1:8" ht="12.75" hidden="1">
      <c r="A746" s="36"/>
      <c r="B746" s="36"/>
      <c r="C746" s="36"/>
      <c r="D746" s="36"/>
      <c r="E746" s="36"/>
      <c r="F746" s="36"/>
      <c r="G746" s="36"/>
      <c r="H746" s="36"/>
    </row>
    <row r="747" spans="1:8" ht="12.75" hidden="1">
      <c r="A747" s="36"/>
      <c r="B747" s="36"/>
      <c r="C747" s="36"/>
      <c r="D747" s="36"/>
      <c r="E747" s="36"/>
      <c r="F747" s="36"/>
      <c r="G747" s="36"/>
      <c r="H747" s="36"/>
    </row>
    <row r="748" spans="1:8" ht="12.75" hidden="1">
      <c r="A748" s="36"/>
      <c r="B748" s="36"/>
      <c r="C748" s="36"/>
      <c r="D748" s="36"/>
      <c r="E748" s="36"/>
      <c r="F748" s="36"/>
      <c r="G748" s="36"/>
      <c r="H748" s="36"/>
    </row>
    <row r="749" spans="1:8" ht="12.75" hidden="1">
      <c r="A749" s="36"/>
      <c r="B749" s="36"/>
      <c r="C749" s="36"/>
      <c r="D749" s="36"/>
      <c r="E749" s="36"/>
      <c r="F749" s="36"/>
      <c r="G749" s="36"/>
      <c r="H749" s="36"/>
    </row>
    <row r="750" spans="1:8" ht="12.75" hidden="1">
      <c r="A750" s="36"/>
      <c r="B750" s="36"/>
      <c r="C750" s="36"/>
      <c r="D750" s="36"/>
      <c r="E750" s="36"/>
      <c r="F750" s="36"/>
      <c r="G750" s="36"/>
      <c r="H750" s="36"/>
    </row>
    <row r="751" spans="1:8" ht="12.75" hidden="1">
      <c r="A751" s="36"/>
      <c r="B751" s="36"/>
      <c r="C751" s="36"/>
      <c r="D751" s="36"/>
      <c r="E751" s="36"/>
      <c r="F751" s="36"/>
      <c r="G751" s="36"/>
      <c r="H751" s="36"/>
    </row>
    <row r="752" spans="1:8" ht="12.75" hidden="1">
      <c r="A752" s="36"/>
      <c r="B752" s="36"/>
      <c r="C752" s="36"/>
      <c r="D752" s="36"/>
      <c r="E752" s="36"/>
      <c r="F752" s="36"/>
      <c r="G752" s="36"/>
      <c r="H752" s="36"/>
    </row>
    <row r="753" spans="1:8" ht="12.75" hidden="1">
      <c r="A753" s="36"/>
      <c r="B753" s="36"/>
      <c r="C753" s="36"/>
      <c r="D753" s="36"/>
      <c r="E753" s="36"/>
      <c r="F753" s="36"/>
      <c r="G753" s="36"/>
      <c r="H753" s="36"/>
    </row>
    <row r="754" spans="1:8" ht="12.75" hidden="1">
      <c r="A754" s="36"/>
      <c r="B754" s="36"/>
      <c r="C754" s="36"/>
      <c r="D754" s="36"/>
      <c r="E754" s="36"/>
      <c r="F754" s="36"/>
      <c r="G754" s="36"/>
      <c r="H754" s="36"/>
    </row>
    <row r="755" spans="1:8" ht="12.75" hidden="1">
      <c r="A755" s="36"/>
      <c r="B755" s="36"/>
      <c r="C755" s="36"/>
      <c r="D755" s="36"/>
      <c r="E755" s="36"/>
      <c r="F755" s="36"/>
      <c r="G755" s="36"/>
      <c r="H755" s="36"/>
    </row>
    <row r="756" spans="1:8" ht="12.75" hidden="1">
      <c r="A756" s="36"/>
      <c r="B756" s="36"/>
      <c r="C756" s="36"/>
      <c r="D756" s="36"/>
      <c r="E756" s="36"/>
      <c r="F756" s="36"/>
      <c r="G756" s="36"/>
      <c r="H756" s="36"/>
    </row>
    <row r="757" spans="1:8" ht="12.75" hidden="1">
      <c r="A757" s="36"/>
      <c r="B757" s="36"/>
      <c r="C757" s="36"/>
      <c r="D757" s="36"/>
      <c r="E757" s="36"/>
      <c r="F757" s="36"/>
      <c r="G757" s="36"/>
      <c r="H757" s="36"/>
    </row>
    <row r="758" spans="1:8" ht="12.75" hidden="1">
      <c r="A758" s="36"/>
      <c r="B758" s="36"/>
      <c r="C758" s="36"/>
      <c r="D758" s="36"/>
      <c r="E758" s="36"/>
      <c r="F758" s="36"/>
      <c r="G758" s="36"/>
      <c r="H758" s="36"/>
    </row>
    <row r="759" spans="1:8" ht="12.75" hidden="1">
      <c r="A759" s="36"/>
      <c r="B759" s="36"/>
      <c r="C759" s="36"/>
      <c r="D759" s="36"/>
      <c r="E759" s="36"/>
      <c r="F759" s="36"/>
      <c r="G759" s="36"/>
      <c r="H759" s="36"/>
    </row>
    <row r="760" spans="1:8" ht="12.75" hidden="1">
      <c r="A760" s="36"/>
      <c r="B760" s="36"/>
      <c r="C760" s="36"/>
      <c r="D760" s="36"/>
      <c r="E760" s="36"/>
      <c r="F760" s="36"/>
      <c r="G760" s="36"/>
      <c r="H760" s="36"/>
    </row>
    <row r="761" spans="1:8" ht="12.75" hidden="1">
      <c r="A761" s="36"/>
      <c r="B761" s="36"/>
      <c r="C761" s="36"/>
      <c r="D761" s="36"/>
      <c r="E761" s="36"/>
      <c r="F761" s="36"/>
      <c r="G761" s="36"/>
      <c r="H761" s="36"/>
    </row>
    <row r="762" spans="1:8" ht="12.75" hidden="1">
      <c r="A762" s="36"/>
      <c r="B762" s="36"/>
      <c r="C762" s="36"/>
      <c r="D762" s="36"/>
      <c r="E762" s="36"/>
      <c r="F762" s="36"/>
      <c r="G762" s="36"/>
      <c r="H762" s="36"/>
    </row>
    <row r="763" spans="1:8" ht="12.75" hidden="1">
      <c r="A763" s="36"/>
      <c r="B763" s="36"/>
      <c r="C763" s="36"/>
      <c r="D763" s="36"/>
      <c r="E763" s="36"/>
      <c r="F763" s="36"/>
      <c r="G763" s="36"/>
      <c r="H763" s="36"/>
    </row>
    <row r="764" spans="1:8" ht="12.75" hidden="1">
      <c r="A764" s="36"/>
      <c r="B764" s="36"/>
      <c r="C764" s="36"/>
      <c r="D764" s="36"/>
      <c r="E764" s="36"/>
      <c r="F764" s="36"/>
      <c r="G764" s="36"/>
      <c r="H764" s="36"/>
    </row>
    <row r="765" spans="1:8" ht="12.75" hidden="1">
      <c r="A765" s="36"/>
      <c r="B765" s="36"/>
      <c r="C765" s="36"/>
      <c r="D765" s="36"/>
      <c r="E765" s="36"/>
      <c r="F765" s="36"/>
      <c r="G765" s="36"/>
      <c r="H765" s="36"/>
    </row>
    <row r="766" spans="1:8" ht="12.75" hidden="1">
      <c r="A766" s="36"/>
      <c r="B766" s="36"/>
      <c r="C766" s="36"/>
      <c r="D766" s="36"/>
      <c r="E766" s="36"/>
      <c r="F766" s="36"/>
      <c r="G766" s="36"/>
      <c r="H766" s="36"/>
    </row>
    <row r="767" spans="1:8" ht="12.75" hidden="1">
      <c r="A767" s="36"/>
      <c r="B767" s="36"/>
      <c r="C767" s="36"/>
      <c r="D767" s="36"/>
      <c r="E767" s="36"/>
      <c r="F767" s="36"/>
      <c r="G767" s="36"/>
      <c r="H767" s="36"/>
    </row>
    <row r="768" spans="1:8" ht="12.75" hidden="1">
      <c r="A768" s="36"/>
      <c r="B768" s="36"/>
      <c r="C768" s="36"/>
      <c r="D768" s="36"/>
      <c r="E768" s="36"/>
      <c r="F768" s="36"/>
      <c r="G768" s="36"/>
      <c r="H768" s="36"/>
    </row>
    <row r="769" spans="1:8" ht="12.75" hidden="1">
      <c r="A769" s="36"/>
      <c r="B769" s="36"/>
      <c r="C769" s="36"/>
      <c r="D769" s="36"/>
      <c r="E769" s="36"/>
      <c r="F769" s="36"/>
      <c r="G769" s="36"/>
      <c r="H769" s="36"/>
    </row>
    <row r="770" spans="1:8" ht="12.75" hidden="1">
      <c r="A770" s="36"/>
      <c r="B770" s="36"/>
      <c r="C770" s="36"/>
      <c r="D770" s="36"/>
      <c r="E770" s="36"/>
      <c r="F770" s="36"/>
      <c r="G770" s="36"/>
      <c r="H770" s="36"/>
    </row>
    <row r="771" spans="1:8" ht="12.75" hidden="1">
      <c r="A771" s="36"/>
      <c r="B771" s="36"/>
      <c r="C771" s="36"/>
      <c r="D771" s="36"/>
      <c r="E771" s="36"/>
      <c r="F771" s="36"/>
      <c r="G771" s="36"/>
      <c r="H771" s="36"/>
    </row>
    <row r="772" spans="1:8" ht="12.75" hidden="1">
      <c r="A772" s="36"/>
      <c r="B772" s="36"/>
      <c r="C772" s="36"/>
      <c r="D772" s="36"/>
      <c r="E772" s="36"/>
      <c r="F772" s="36"/>
      <c r="G772" s="36"/>
      <c r="H772" s="36"/>
    </row>
    <row r="773" spans="1:8" ht="12.75" hidden="1">
      <c r="A773" s="36"/>
      <c r="B773" s="36"/>
      <c r="C773" s="36"/>
      <c r="D773" s="36"/>
      <c r="E773" s="36"/>
      <c r="F773" s="36"/>
      <c r="G773" s="36"/>
      <c r="H773" s="36"/>
    </row>
    <row r="774" spans="1:8" ht="12.75" hidden="1">
      <c r="A774" s="36"/>
      <c r="B774" s="36"/>
      <c r="C774" s="36"/>
      <c r="D774" s="36"/>
      <c r="E774" s="36"/>
      <c r="F774" s="36"/>
      <c r="G774" s="36"/>
      <c r="H774" s="36"/>
    </row>
    <row r="775" spans="1:8" ht="12.75" hidden="1">
      <c r="A775" s="36"/>
      <c r="B775" s="36"/>
      <c r="C775" s="36"/>
      <c r="D775" s="36"/>
      <c r="E775" s="36"/>
      <c r="F775" s="36"/>
      <c r="G775" s="36"/>
      <c r="H775" s="36"/>
    </row>
    <row r="776" spans="1:8" ht="12.75" hidden="1">
      <c r="A776" s="36"/>
      <c r="B776" s="36"/>
      <c r="C776" s="36"/>
      <c r="D776" s="36"/>
      <c r="E776" s="36"/>
      <c r="F776" s="36"/>
      <c r="G776" s="36"/>
      <c r="H776" s="36"/>
    </row>
    <row r="777" spans="1:8" ht="12.75" hidden="1">
      <c r="A777" s="36"/>
      <c r="B777" s="36"/>
      <c r="C777" s="36"/>
      <c r="D777" s="36"/>
      <c r="E777" s="36"/>
      <c r="F777" s="36"/>
      <c r="G777" s="36"/>
      <c r="H777" s="36"/>
    </row>
    <row r="778" spans="1:8" ht="12.75" hidden="1">
      <c r="A778" s="36"/>
      <c r="B778" s="36"/>
      <c r="C778" s="36"/>
      <c r="D778" s="36"/>
      <c r="E778" s="36"/>
      <c r="F778" s="36"/>
      <c r="G778" s="36"/>
      <c r="H778" s="36"/>
    </row>
    <row r="779" spans="1:8" ht="12.75" hidden="1">
      <c r="A779" s="36"/>
      <c r="B779" s="36"/>
      <c r="C779" s="36"/>
      <c r="D779" s="36"/>
      <c r="E779" s="36"/>
      <c r="F779" s="36"/>
      <c r="G779" s="36"/>
      <c r="H779" s="36"/>
    </row>
    <row r="780" spans="1:8" ht="12.75" hidden="1">
      <c r="A780" s="36"/>
      <c r="B780" s="36"/>
      <c r="C780" s="36"/>
      <c r="D780" s="36"/>
      <c r="E780" s="36"/>
      <c r="F780" s="36"/>
      <c r="G780" s="36"/>
      <c r="H780" s="36"/>
    </row>
    <row r="781" spans="1:8" ht="12.75" hidden="1">
      <c r="A781" s="36"/>
      <c r="B781" s="36"/>
      <c r="C781" s="36"/>
      <c r="D781" s="36"/>
      <c r="E781" s="36"/>
      <c r="F781" s="36"/>
      <c r="G781" s="36"/>
      <c r="H781" s="36"/>
    </row>
    <row r="782" spans="1:8" ht="12.75" hidden="1">
      <c r="A782" s="36"/>
      <c r="B782" s="36"/>
      <c r="C782" s="36"/>
      <c r="D782" s="36"/>
      <c r="E782" s="36"/>
      <c r="F782" s="36"/>
      <c r="G782" s="36"/>
      <c r="H782" s="36"/>
    </row>
    <row r="783" spans="1:8" ht="12.75" hidden="1">
      <c r="A783" s="36"/>
      <c r="B783" s="36"/>
      <c r="C783" s="36"/>
      <c r="D783" s="36"/>
      <c r="E783" s="36"/>
      <c r="F783" s="36"/>
      <c r="G783" s="36"/>
      <c r="H783" s="36"/>
    </row>
    <row r="784" spans="1:8" ht="12.75" hidden="1">
      <c r="A784" s="36"/>
      <c r="B784" s="36"/>
      <c r="C784" s="36"/>
      <c r="D784" s="36"/>
      <c r="E784" s="36"/>
      <c r="F784" s="36"/>
      <c r="G784" s="36"/>
      <c r="H784" s="36"/>
    </row>
    <row r="785" spans="1:8" ht="12.75" hidden="1">
      <c r="A785" s="36"/>
      <c r="B785" s="36"/>
      <c r="C785" s="36"/>
      <c r="D785" s="36"/>
      <c r="E785" s="36"/>
      <c r="F785" s="36"/>
      <c r="G785" s="36"/>
      <c r="H785" s="36"/>
    </row>
    <row r="786" spans="1:8" ht="12.75" hidden="1">
      <c r="A786" s="36"/>
      <c r="B786" s="36"/>
      <c r="C786" s="36"/>
      <c r="D786" s="36"/>
      <c r="E786" s="36"/>
      <c r="F786" s="36"/>
      <c r="G786" s="36"/>
      <c r="H786" s="36"/>
    </row>
    <row r="787" spans="1:8" ht="12.75" hidden="1">
      <c r="A787" s="36"/>
      <c r="B787" s="36"/>
      <c r="C787" s="36"/>
      <c r="D787" s="36"/>
      <c r="E787" s="36"/>
      <c r="F787" s="36"/>
      <c r="G787" s="36"/>
      <c r="H787" s="36"/>
    </row>
    <row r="788" spans="1:8" ht="12.75" hidden="1">
      <c r="A788" s="36"/>
      <c r="B788" s="36"/>
      <c r="C788" s="36"/>
      <c r="D788" s="36"/>
      <c r="E788" s="36"/>
      <c r="F788" s="36"/>
      <c r="G788" s="36"/>
      <c r="H788" s="36"/>
    </row>
    <row r="789" spans="1:8" ht="12.75" hidden="1">
      <c r="A789" s="36"/>
      <c r="B789" s="36"/>
      <c r="C789" s="36"/>
      <c r="D789" s="36"/>
      <c r="E789" s="36"/>
      <c r="F789" s="36"/>
      <c r="G789" s="36"/>
      <c r="H789" s="36"/>
    </row>
    <row r="790" spans="1:8" ht="12.75" hidden="1">
      <c r="A790" s="36"/>
      <c r="B790" s="36"/>
      <c r="C790" s="36"/>
      <c r="D790" s="36"/>
      <c r="E790" s="36"/>
      <c r="F790" s="36"/>
      <c r="G790" s="36"/>
      <c r="H790" s="36"/>
    </row>
    <row r="791" spans="1:8" ht="12.75" hidden="1">
      <c r="A791" s="36"/>
      <c r="B791" s="36"/>
      <c r="C791" s="36"/>
      <c r="D791" s="36"/>
      <c r="E791" s="36"/>
      <c r="F791" s="36"/>
      <c r="G791" s="36"/>
      <c r="H791" s="36"/>
    </row>
    <row r="792" spans="1:8" ht="12.75" hidden="1">
      <c r="A792" s="36"/>
      <c r="B792" s="36"/>
      <c r="C792" s="36"/>
      <c r="D792" s="36"/>
      <c r="E792" s="36"/>
      <c r="F792" s="36"/>
      <c r="G792" s="36"/>
      <c r="H792" s="36"/>
    </row>
    <row r="793" spans="1:8" ht="12.75" hidden="1">
      <c r="A793" s="36"/>
      <c r="B793" s="36"/>
      <c r="C793" s="36"/>
      <c r="D793" s="36"/>
      <c r="E793" s="36"/>
      <c r="F793" s="36"/>
      <c r="G793" s="36"/>
      <c r="H793" s="36"/>
    </row>
    <row r="794" spans="1:8" ht="12.75" hidden="1">
      <c r="A794" s="36"/>
      <c r="B794" s="36"/>
      <c r="C794" s="36"/>
      <c r="D794" s="36"/>
      <c r="E794" s="36"/>
      <c r="F794" s="36"/>
      <c r="G794" s="36"/>
      <c r="H794" s="36"/>
    </row>
    <row r="795" spans="1:8" ht="12.75" hidden="1">
      <c r="A795" s="36"/>
      <c r="B795" s="36"/>
      <c r="C795" s="36"/>
      <c r="D795" s="36"/>
      <c r="E795" s="36"/>
      <c r="F795" s="36"/>
      <c r="G795" s="36"/>
      <c r="H795" s="36"/>
    </row>
    <row r="796" spans="1:8" ht="12.75" hidden="1">
      <c r="A796" s="36"/>
      <c r="B796" s="36"/>
      <c r="C796" s="36"/>
      <c r="D796" s="36"/>
      <c r="E796" s="36"/>
      <c r="F796" s="36"/>
      <c r="G796" s="36"/>
      <c r="H796" s="36"/>
    </row>
    <row r="797" spans="1:8" ht="12.75" hidden="1">
      <c r="A797" s="36"/>
      <c r="B797" s="36"/>
      <c r="C797" s="36"/>
      <c r="D797" s="36"/>
      <c r="E797" s="36"/>
      <c r="F797" s="36"/>
      <c r="G797" s="36"/>
      <c r="H797" s="36"/>
    </row>
    <row r="798" spans="1:8" ht="12.75" hidden="1">
      <c r="A798" s="36"/>
      <c r="B798" s="36"/>
      <c r="C798" s="36"/>
      <c r="D798" s="36"/>
      <c r="E798" s="36"/>
      <c r="F798" s="36"/>
      <c r="G798" s="36"/>
      <c r="H798" s="36"/>
    </row>
    <row r="799" spans="1:8" ht="12.75" hidden="1">
      <c r="A799" s="36"/>
      <c r="B799" s="36"/>
      <c r="C799" s="36"/>
      <c r="D799" s="36"/>
      <c r="E799" s="36"/>
      <c r="F799" s="36"/>
      <c r="G799" s="36"/>
      <c r="H799" s="36"/>
    </row>
    <row r="800" spans="1:8" ht="12.75" hidden="1">
      <c r="A800" s="36"/>
      <c r="B800" s="36"/>
      <c r="C800" s="36"/>
      <c r="D800" s="36"/>
      <c r="E800" s="36"/>
      <c r="F800" s="36"/>
      <c r="G800" s="36"/>
      <c r="H800" s="36"/>
    </row>
    <row r="801" spans="1:8" ht="12.75" hidden="1">
      <c r="A801" s="36"/>
      <c r="B801" s="36"/>
      <c r="C801" s="36"/>
      <c r="D801" s="36"/>
      <c r="E801" s="36"/>
      <c r="F801" s="36"/>
      <c r="G801" s="36"/>
      <c r="H801" s="36"/>
    </row>
    <row r="802" spans="1:8" ht="12.75" hidden="1">
      <c r="A802" s="36"/>
      <c r="B802" s="36"/>
      <c r="C802" s="36"/>
      <c r="D802" s="36"/>
      <c r="E802" s="36"/>
      <c r="F802" s="36"/>
      <c r="G802" s="36"/>
      <c r="H802" s="36"/>
    </row>
    <row r="803" spans="1:8" ht="12.75" hidden="1">
      <c r="A803" s="36"/>
      <c r="B803" s="36"/>
      <c r="C803" s="36"/>
      <c r="D803" s="36"/>
      <c r="E803" s="36"/>
      <c r="F803" s="36"/>
      <c r="G803" s="36"/>
      <c r="H803" s="36"/>
    </row>
    <row r="804" spans="1:8" ht="12.75" hidden="1">
      <c r="A804" s="36"/>
      <c r="B804" s="36"/>
      <c r="C804" s="36"/>
      <c r="D804" s="36"/>
      <c r="E804" s="36"/>
      <c r="F804" s="36"/>
      <c r="G804" s="36"/>
      <c r="H804" s="36"/>
    </row>
    <row r="805" spans="1:8" ht="12.75" hidden="1">
      <c r="A805" s="36"/>
      <c r="B805" s="36"/>
      <c r="C805" s="36"/>
      <c r="D805" s="36"/>
      <c r="E805" s="36"/>
      <c r="F805" s="36"/>
      <c r="G805" s="36"/>
      <c r="H805" s="36"/>
    </row>
    <row r="806" spans="1:8" ht="12.75" hidden="1">
      <c r="A806" s="36"/>
      <c r="B806" s="36"/>
      <c r="C806" s="36"/>
      <c r="D806" s="36"/>
      <c r="E806" s="36"/>
      <c r="F806" s="36"/>
      <c r="G806" s="36"/>
      <c r="H806" s="36"/>
    </row>
    <row r="807" spans="1:8" ht="12.75" hidden="1">
      <c r="A807" s="36"/>
      <c r="B807" s="36"/>
      <c r="C807" s="36"/>
      <c r="D807" s="36"/>
      <c r="E807" s="36"/>
      <c r="F807" s="36"/>
      <c r="G807" s="36"/>
      <c r="H807" s="36"/>
    </row>
    <row r="808" spans="1:8" ht="12.75" hidden="1">
      <c r="A808" s="36"/>
      <c r="B808" s="36"/>
      <c r="C808" s="36"/>
      <c r="D808" s="36"/>
      <c r="E808" s="36"/>
      <c r="F808" s="36"/>
      <c r="G808" s="36"/>
      <c r="H808" s="36"/>
    </row>
    <row r="809" spans="1:8" ht="12.75" hidden="1">
      <c r="A809" s="36"/>
      <c r="B809" s="36"/>
      <c r="C809" s="36"/>
      <c r="D809" s="36"/>
      <c r="E809" s="36"/>
      <c r="F809" s="36"/>
      <c r="G809" s="36"/>
      <c r="H809" s="36"/>
    </row>
    <row r="810" spans="1:8" ht="12.75" hidden="1">
      <c r="A810" s="36"/>
      <c r="B810" s="36"/>
      <c r="C810" s="36"/>
      <c r="D810" s="36"/>
      <c r="E810" s="36"/>
      <c r="F810" s="36"/>
      <c r="G810" s="36"/>
      <c r="H810" s="36"/>
    </row>
    <row r="811" spans="1:8" ht="12.75" hidden="1">
      <c r="A811" s="36"/>
      <c r="B811" s="36"/>
      <c r="C811" s="36"/>
      <c r="D811" s="36"/>
      <c r="E811" s="36"/>
      <c r="F811" s="36"/>
      <c r="G811" s="36"/>
      <c r="H811" s="36"/>
    </row>
    <row r="812" spans="1:8" ht="12.75" hidden="1">
      <c r="A812" s="36"/>
      <c r="B812" s="36"/>
      <c r="C812" s="36"/>
      <c r="D812" s="36"/>
      <c r="E812" s="36"/>
      <c r="F812" s="36"/>
      <c r="G812" s="36"/>
      <c r="H812" s="36"/>
    </row>
    <row r="813" spans="1:8" ht="12.75" hidden="1">
      <c r="A813" s="36"/>
      <c r="B813" s="36"/>
      <c r="C813" s="36"/>
      <c r="D813" s="36"/>
      <c r="E813" s="36"/>
      <c r="F813" s="36"/>
      <c r="G813" s="36"/>
      <c r="H813" s="36"/>
    </row>
    <row r="814" spans="1:8" ht="12.75" hidden="1">
      <c r="A814" s="36"/>
      <c r="B814" s="36"/>
      <c r="C814" s="36"/>
      <c r="D814" s="36"/>
      <c r="E814" s="36"/>
      <c r="F814" s="36"/>
      <c r="G814" s="36"/>
      <c r="H814" s="36"/>
    </row>
    <row r="815" spans="1:8" ht="12.75" hidden="1">
      <c r="A815" s="36"/>
      <c r="B815" s="36"/>
      <c r="C815" s="36"/>
      <c r="D815" s="36"/>
      <c r="E815" s="36"/>
      <c r="F815" s="36"/>
      <c r="G815" s="36"/>
      <c r="H815" s="36"/>
    </row>
    <row r="816" spans="1:8" ht="12.75" hidden="1">
      <c r="A816" s="36"/>
      <c r="B816" s="36"/>
      <c r="C816" s="36"/>
      <c r="D816" s="36"/>
      <c r="E816" s="36"/>
      <c r="F816" s="36"/>
      <c r="G816" s="36"/>
      <c r="H816" s="36"/>
    </row>
    <row r="817" spans="1:8" ht="12.75" hidden="1">
      <c r="A817" s="36"/>
      <c r="B817" s="36"/>
      <c r="C817" s="36"/>
      <c r="D817" s="36"/>
      <c r="E817" s="36"/>
      <c r="F817" s="36"/>
      <c r="G817" s="36"/>
      <c r="H817" s="36"/>
    </row>
    <row r="818" spans="1:8" ht="12.75" hidden="1">
      <c r="A818" s="36"/>
      <c r="B818" s="36"/>
      <c r="C818" s="36"/>
      <c r="D818" s="36"/>
      <c r="E818" s="36"/>
      <c r="F818" s="36"/>
      <c r="G818" s="36"/>
      <c r="H818" s="36"/>
    </row>
    <row r="819" spans="1:8" ht="12.75" hidden="1">
      <c r="A819" s="36"/>
      <c r="B819" s="36"/>
      <c r="C819" s="36"/>
      <c r="D819" s="36"/>
      <c r="E819" s="36"/>
      <c r="F819" s="36"/>
      <c r="G819" s="36"/>
      <c r="H819" s="36"/>
    </row>
    <row r="820" spans="1:8" ht="12.75" hidden="1">
      <c r="A820" s="36"/>
      <c r="B820" s="36"/>
      <c r="C820" s="36"/>
      <c r="D820" s="36"/>
      <c r="E820" s="36"/>
      <c r="F820" s="36"/>
      <c r="G820" s="36"/>
      <c r="H820" s="36"/>
    </row>
    <row r="821" spans="1:8" ht="12.75" hidden="1">
      <c r="A821" s="36"/>
      <c r="B821" s="36"/>
      <c r="C821" s="36"/>
      <c r="D821" s="36"/>
      <c r="E821" s="36"/>
      <c r="F821" s="36"/>
      <c r="G821" s="36"/>
      <c r="H821" s="36"/>
    </row>
    <row r="822" spans="1:8" ht="12.75" hidden="1">
      <c r="A822" s="36"/>
      <c r="B822" s="36"/>
      <c r="C822" s="36"/>
      <c r="D822" s="36"/>
      <c r="E822" s="36"/>
      <c r="F822" s="36"/>
      <c r="G822" s="36"/>
      <c r="H822" s="36"/>
    </row>
    <row r="823" spans="1:8" ht="12.75" hidden="1">
      <c r="A823" s="36"/>
      <c r="B823" s="36"/>
      <c r="C823" s="36"/>
      <c r="D823" s="36"/>
      <c r="E823" s="36"/>
      <c r="F823" s="36"/>
      <c r="G823" s="36"/>
      <c r="H823" s="36"/>
    </row>
    <row r="824" spans="1:8" ht="12.75" hidden="1">
      <c r="A824" s="36"/>
      <c r="B824" s="36"/>
      <c r="C824" s="36"/>
      <c r="D824" s="36"/>
      <c r="E824" s="36"/>
      <c r="F824" s="36"/>
      <c r="G824" s="36"/>
      <c r="H824" s="36"/>
    </row>
    <row r="825" spans="1:8" ht="12.75" hidden="1">
      <c r="A825" s="36"/>
      <c r="B825" s="36"/>
      <c r="C825" s="36"/>
      <c r="D825" s="36"/>
      <c r="E825" s="36"/>
      <c r="F825" s="36"/>
      <c r="G825" s="36"/>
      <c r="H825" s="36"/>
    </row>
    <row r="826" spans="1:8" ht="12.75" hidden="1">
      <c r="A826" s="36"/>
      <c r="B826" s="36"/>
      <c r="C826" s="36"/>
      <c r="D826" s="36"/>
      <c r="E826" s="36"/>
      <c r="F826" s="36"/>
      <c r="G826" s="36"/>
      <c r="H826" s="36"/>
    </row>
    <row r="827" spans="1:8" ht="12.75" hidden="1">
      <c r="A827" s="36"/>
      <c r="B827" s="36"/>
      <c r="C827" s="36"/>
      <c r="D827" s="36"/>
      <c r="E827" s="36"/>
      <c r="F827" s="36"/>
      <c r="G827" s="36"/>
      <c r="H827" s="36"/>
    </row>
    <row r="828" spans="1:8" ht="12.75" hidden="1">
      <c r="A828" s="36"/>
      <c r="B828" s="36"/>
      <c r="C828" s="36"/>
      <c r="D828" s="36"/>
      <c r="E828" s="36"/>
      <c r="F828" s="36"/>
      <c r="G828" s="36"/>
      <c r="H828" s="36"/>
    </row>
    <row r="829" spans="1:8" ht="12.75" hidden="1">
      <c r="A829" s="36"/>
      <c r="B829" s="36"/>
      <c r="C829" s="36"/>
      <c r="D829" s="36"/>
      <c r="E829" s="36"/>
      <c r="F829" s="36"/>
      <c r="G829" s="36"/>
      <c r="H829" s="36"/>
    </row>
    <row r="830" spans="1:8" ht="12.75" hidden="1">
      <c r="A830" s="36"/>
      <c r="B830" s="36"/>
      <c r="C830" s="36"/>
      <c r="D830" s="36"/>
      <c r="E830" s="36"/>
      <c r="F830" s="36"/>
      <c r="G830" s="36"/>
      <c r="H830" s="36"/>
    </row>
    <row r="831" spans="1:8" ht="12.75" hidden="1">
      <c r="A831" s="36"/>
      <c r="B831" s="36"/>
      <c r="C831" s="36"/>
      <c r="D831" s="36"/>
      <c r="E831" s="36"/>
      <c r="F831" s="36"/>
      <c r="G831" s="36"/>
      <c r="H831" s="36"/>
    </row>
    <row r="832" spans="1:8" ht="12.75" hidden="1">
      <c r="A832" s="36"/>
      <c r="B832" s="36"/>
      <c r="C832" s="36"/>
      <c r="D832" s="36"/>
      <c r="E832" s="36"/>
      <c r="F832" s="36"/>
      <c r="G832" s="36"/>
      <c r="H832" s="36"/>
    </row>
    <row r="833" spans="1:8" ht="12.75" hidden="1">
      <c r="A833" s="36"/>
      <c r="B833" s="36"/>
      <c r="C833" s="36"/>
      <c r="D833" s="36"/>
      <c r="E833" s="36"/>
      <c r="F833" s="36"/>
      <c r="G833" s="36"/>
      <c r="H833" s="36"/>
    </row>
    <row r="834" spans="1:8" ht="12.75" hidden="1">
      <c r="A834" s="36"/>
      <c r="B834" s="36"/>
      <c r="C834" s="36"/>
      <c r="D834" s="36"/>
      <c r="E834" s="36"/>
      <c r="F834" s="36"/>
      <c r="G834" s="36"/>
      <c r="H834" s="36"/>
    </row>
    <row r="835" spans="1:8" ht="12.75" hidden="1">
      <c r="A835" s="36"/>
      <c r="B835" s="36"/>
      <c r="C835" s="36"/>
      <c r="D835" s="36"/>
      <c r="E835" s="36"/>
      <c r="F835" s="36"/>
      <c r="G835" s="36"/>
      <c r="H835" s="36"/>
    </row>
    <row r="836" spans="1:8" ht="12.75" hidden="1">
      <c r="A836" s="36"/>
      <c r="B836" s="36"/>
      <c r="C836" s="36"/>
      <c r="D836" s="36"/>
      <c r="E836" s="36"/>
      <c r="F836" s="36"/>
      <c r="G836" s="36"/>
      <c r="H836" s="36"/>
    </row>
    <row r="837" spans="1:8" ht="12.75" hidden="1">
      <c r="A837" s="36"/>
      <c r="B837" s="36"/>
      <c r="C837" s="36"/>
      <c r="D837" s="36"/>
      <c r="E837" s="36"/>
      <c r="F837" s="36"/>
      <c r="G837" s="36"/>
      <c r="H837" s="36"/>
    </row>
    <row r="838" spans="1:8" ht="12.75" hidden="1">
      <c r="A838" s="36"/>
      <c r="B838" s="36"/>
      <c r="C838" s="36"/>
      <c r="D838" s="36"/>
      <c r="E838" s="36"/>
      <c r="F838" s="36"/>
      <c r="G838" s="36"/>
      <c r="H838" s="36"/>
    </row>
    <row r="839" spans="1:8" ht="12.75" hidden="1">
      <c r="A839" s="36"/>
      <c r="B839" s="36"/>
      <c r="C839" s="36"/>
      <c r="D839" s="36"/>
      <c r="E839" s="36"/>
      <c r="F839" s="36"/>
      <c r="G839" s="36"/>
      <c r="H839" s="36"/>
    </row>
    <row r="840" spans="1:8" ht="12.75" hidden="1">
      <c r="A840" s="36"/>
      <c r="B840" s="36"/>
      <c r="C840" s="36"/>
      <c r="D840" s="36"/>
      <c r="E840" s="36"/>
      <c r="F840" s="36"/>
      <c r="G840" s="36"/>
      <c r="H840" s="36"/>
    </row>
    <row r="841" spans="1:8" ht="12.75" hidden="1">
      <c r="A841" s="36"/>
      <c r="B841" s="36"/>
      <c r="C841" s="36"/>
      <c r="D841" s="36"/>
      <c r="E841" s="36"/>
      <c r="F841" s="36"/>
      <c r="G841" s="36"/>
      <c r="H841" s="36"/>
    </row>
    <row r="842" spans="1:8" ht="12.75" hidden="1">
      <c r="A842" s="36"/>
      <c r="B842" s="36"/>
      <c r="C842" s="36"/>
      <c r="D842" s="36"/>
      <c r="E842" s="36"/>
      <c r="F842" s="36"/>
      <c r="G842" s="36"/>
      <c r="H842" s="36"/>
    </row>
    <row r="843" spans="1:8" ht="12.75" hidden="1">
      <c r="A843" s="36"/>
      <c r="B843" s="36"/>
      <c r="C843" s="36"/>
      <c r="D843" s="36"/>
      <c r="E843" s="36"/>
      <c r="F843" s="36"/>
      <c r="G843" s="36"/>
      <c r="H843" s="36"/>
    </row>
    <row r="844" spans="1:8" ht="12.75" hidden="1">
      <c r="A844" s="36"/>
      <c r="B844" s="36"/>
      <c r="C844" s="36"/>
      <c r="D844" s="36"/>
      <c r="E844" s="36"/>
      <c r="F844" s="36"/>
      <c r="G844" s="36"/>
      <c r="H844" s="36"/>
    </row>
    <row r="845" spans="1:8" ht="12.75" hidden="1">
      <c r="A845" s="36"/>
      <c r="B845" s="36"/>
      <c r="C845" s="36"/>
      <c r="D845" s="36"/>
      <c r="E845" s="36"/>
      <c r="F845" s="36"/>
      <c r="G845" s="36"/>
      <c r="H845" s="36"/>
    </row>
    <row r="846" spans="1:8" ht="12.75" hidden="1">
      <c r="A846" s="36"/>
      <c r="B846" s="36"/>
      <c r="C846" s="36"/>
      <c r="D846" s="36"/>
      <c r="E846" s="36"/>
      <c r="F846" s="36"/>
      <c r="G846" s="36"/>
      <c r="H846" s="36"/>
    </row>
    <row r="847" spans="1:8" ht="12.75" hidden="1">
      <c r="A847" s="36"/>
      <c r="B847" s="36"/>
      <c r="C847" s="36"/>
      <c r="D847" s="36"/>
      <c r="E847" s="36"/>
      <c r="F847" s="36"/>
      <c r="G847" s="36"/>
      <c r="H847" s="36"/>
    </row>
    <row r="848" spans="1:8" ht="12.75" hidden="1">
      <c r="A848" s="36"/>
      <c r="B848" s="36"/>
      <c r="C848" s="36"/>
      <c r="D848" s="36"/>
      <c r="E848" s="36"/>
      <c r="F848" s="36"/>
      <c r="G848" s="36"/>
      <c r="H848" s="36"/>
    </row>
    <row r="849" spans="1:8" ht="12.75" hidden="1">
      <c r="A849" s="36"/>
      <c r="B849" s="36"/>
      <c r="C849" s="36"/>
      <c r="D849" s="36"/>
      <c r="E849" s="36"/>
      <c r="F849" s="36"/>
      <c r="G849" s="36"/>
      <c r="H849" s="36"/>
    </row>
    <row r="850" spans="1:8" ht="12.75" hidden="1">
      <c r="A850" s="36"/>
      <c r="B850" s="36"/>
      <c r="C850" s="36"/>
      <c r="D850" s="36"/>
      <c r="E850" s="36"/>
      <c r="F850" s="36"/>
      <c r="G850" s="36"/>
      <c r="H850" s="36"/>
    </row>
    <row r="851" spans="1:8" ht="12.75" hidden="1">
      <c r="A851" s="36"/>
      <c r="B851" s="36"/>
      <c r="C851" s="36"/>
      <c r="D851" s="36"/>
      <c r="E851" s="36"/>
      <c r="F851" s="36"/>
      <c r="G851" s="36"/>
      <c r="H851" s="36"/>
    </row>
    <row r="852" spans="1:8" ht="12.75" hidden="1">
      <c r="A852" s="36"/>
      <c r="B852" s="36"/>
      <c r="C852" s="36"/>
      <c r="D852" s="36"/>
      <c r="E852" s="36"/>
      <c r="F852" s="36"/>
      <c r="G852" s="36"/>
      <c r="H852" s="36"/>
    </row>
    <row r="853" spans="1:8" ht="12.75" hidden="1">
      <c r="A853" s="36"/>
      <c r="B853" s="36"/>
      <c r="C853" s="36"/>
      <c r="D853" s="36"/>
      <c r="E853" s="36"/>
      <c r="F853" s="36"/>
      <c r="G853" s="36"/>
      <c r="H853" s="36"/>
    </row>
    <row r="854" spans="1:8" ht="12.75" hidden="1">
      <c r="A854" s="36"/>
      <c r="B854" s="36"/>
      <c r="C854" s="36"/>
      <c r="D854" s="36"/>
      <c r="E854" s="36"/>
      <c r="F854" s="36"/>
      <c r="G854" s="36"/>
      <c r="H854" s="36"/>
    </row>
    <row r="855" spans="1:8" ht="12.75" hidden="1">
      <c r="A855" s="36"/>
      <c r="B855" s="36"/>
      <c r="C855" s="36"/>
      <c r="D855" s="36"/>
      <c r="E855" s="36"/>
      <c r="F855" s="36"/>
      <c r="G855" s="36"/>
      <c r="H855" s="36"/>
    </row>
    <row r="856" spans="1:8" ht="12.75" hidden="1">
      <c r="A856" s="36"/>
      <c r="B856" s="36"/>
      <c r="C856" s="36"/>
      <c r="D856" s="36"/>
      <c r="E856" s="36"/>
      <c r="F856" s="36"/>
      <c r="G856" s="36"/>
      <c r="H856" s="36"/>
    </row>
    <row r="857" spans="1:8" ht="12.75" hidden="1">
      <c r="A857" s="36"/>
      <c r="B857" s="36"/>
      <c r="C857" s="36"/>
      <c r="D857" s="36"/>
      <c r="E857" s="36"/>
      <c r="F857" s="36"/>
      <c r="G857" s="36"/>
      <c r="H857" s="36"/>
    </row>
    <row r="858" spans="1:8" ht="12.75" hidden="1">
      <c r="A858" s="36"/>
      <c r="B858" s="36"/>
      <c r="C858" s="36"/>
      <c r="D858" s="36"/>
      <c r="E858" s="36"/>
      <c r="F858" s="36"/>
      <c r="G858" s="36"/>
      <c r="H858" s="36"/>
    </row>
    <row r="859" spans="1:8" ht="12.75" hidden="1">
      <c r="A859" s="36"/>
      <c r="B859" s="36"/>
      <c r="C859" s="36"/>
      <c r="D859" s="36"/>
      <c r="E859" s="36"/>
      <c r="F859" s="36"/>
      <c r="G859" s="36"/>
      <c r="H859" s="36"/>
    </row>
    <row r="860" spans="1:8" ht="12.75" hidden="1">
      <c r="A860" s="36"/>
      <c r="B860" s="36"/>
      <c r="C860" s="36"/>
      <c r="D860" s="36"/>
      <c r="E860" s="36"/>
      <c r="F860" s="36"/>
      <c r="G860" s="36"/>
      <c r="H860" s="36"/>
    </row>
    <row r="861" spans="1:8" ht="12.75" hidden="1">
      <c r="A861" s="36"/>
      <c r="B861" s="36"/>
      <c r="C861" s="36"/>
      <c r="D861" s="36"/>
      <c r="E861" s="36"/>
      <c r="F861" s="36"/>
      <c r="G861" s="36"/>
      <c r="H861" s="36"/>
    </row>
    <row r="862" spans="1:8" ht="12.75" hidden="1">
      <c r="A862" s="36"/>
      <c r="B862" s="36"/>
      <c r="C862" s="36"/>
      <c r="D862" s="36"/>
      <c r="E862" s="36"/>
      <c r="F862" s="36"/>
      <c r="G862" s="36"/>
      <c r="H862" s="36"/>
    </row>
    <row r="863" spans="1:8" ht="12.75" hidden="1">
      <c r="A863" s="36"/>
      <c r="B863" s="36"/>
      <c r="C863" s="36"/>
      <c r="D863" s="36"/>
      <c r="E863" s="36"/>
      <c r="F863" s="36"/>
      <c r="G863" s="36"/>
      <c r="H863" s="36"/>
    </row>
    <row r="864" spans="1:8" ht="12.75" hidden="1">
      <c r="A864" s="36"/>
      <c r="B864" s="36"/>
      <c r="C864" s="36"/>
      <c r="D864" s="36"/>
      <c r="E864" s="36"/>
      <c r="F864" s="36"/>
      <c r="G864" s="36"/>
      <c r="H864" s="36"/>
    </row>
    <row r="865" spans="1:8" ht="12.75" hidden="1">
      <c r="A865" s="36"/>
      <c r="B865" s="36"/>
      <c r="C865" s="36"/>
      <c r="D865" s="36"/>
      <c r="E865" s="36"/>
      <c r="F865" s="36"/>
      <c r="G865" s="36"/>
      <c r="H865" s="36"/>
    </row>
    <row r="866" spans="1:8" ht="12.75" hidden="1">
      <c r="A866" s="36"/>
      <c r="B866" s="36"/>
      <c r="C866" s="36"/>
      <c r="D866" s="36"/>
      <c r="E866" s="36"/>
      <c r="F866" s="36"/>
      <c r="G866" s="36"/>
      <c r="H866" s="36"/>
    </row>
    <row r="867" spans="1:8" ht="12.75" hidden="1">
      <c r="A867" s="36"/>
      <c r="B867" s="36"/>
      <c r="C867" s="36"/>
      <c r="D867" s="36"/>
      <c r="E867" s="36"/>
      <c r="F867" s="36"/>
      <c r="G867" s="36"/>
      <c r="H867" s="36"/>
    </row>
    <row r="868" spans="1:8" ht="12.75" hidden="1">
      <c r="A868" s="36"/>
      <c r="B868" s="36"/>
      <c r="C868" s="36"/>
      <c r="D868" s="36"/>
      <c r="E868" s="36"/>
      <c r="F868" s="36"/>
      <c r="G868" s="36"/>
      <c r="H868" s="36"/>
    </row>
    <row r="869" spans="1:8" ht="12.75" hidden="1">
      <c r="A869" s="36"/>
      <c r="B869" s="36"/>
      <c r="C869" s="36"/>
      <c r="D869" s="36"/>
      <c r="E869" s="36"/>
      <c r="F869" s="36"/>
      <c r="G869" s="36"/>
      <c r="H869" s="36"/>
    </row>
    <row r="870" spans="1:8" ht="12.75" hidden="1">
      <c r="A870" s="36"/>
      <c r="B870" s="36"/>
      <c r="C870" s="36"/>
      <c r="D870" s="36"/>
      <c r="E870" s="36"/>
      <c r="F870" s="36"/>
      <c r="G870" s="36"/>
      <c r="H870" s="36"/>
    </row>
    <row r="871" spans="1:8" ht="12.75" hidden="1">
      <c r="A871" s="36"/>
      <c r="B871" s="36"/>
      <c r="C871" s="36"/>
      <c r="D871" s="36"/>
      <c r="E871" s="36"/>
      <c r="F871" s="36"/>
      <c r="G871" s="36"/>
      <c r="H871" s="36"/>
    </row>
    <row r="872" spans="1:8" ht="12.75" hidden="1">
      <c r="A872" s="36"/>
      <c r="B872" s="36"/>
      <c r="C872" s="36"/>
      <c r="D872" s="36"/>
      <c r="E872" s="36"/>
      <c r="F872" s="36"/>
      <c r="G872" s="36"/>
      <c r="H872" s="36"/>
    </row>
    <row r="873" spans="1:8" ht="12.75" hidden="1">
      <c r="A873" s="36"/>
      <c r="B873" s="36"/>
      <c r="C873" s="36"/>
      <c r="D873" s="36"/>
      <c r="E873" s="36"/>
      <c r="F873" s="36"/>
      <c r="G873" s="36"/>
      <c r="H873" s="36"/>
    </row>
    <row r="874" spans="1:8" ht="12.75" hidden="1">
      <c r="A874" s="36"/>
      <c r="B874" s="36"/>
      <c r="C874" s="36"/>
      <c r="D874" s="36"/>
      <c r="E874" s="36"/>
      <c r="F874" s="36"/>
      <c r="G874" s="36"/>
      <c r="H874" s="36"/>
    </row>
    <row r="875" spans="1:8" ht="12.75" hidden="1">
      <c r="A875" s="36"/>
      <c r="B875" s="36"/>
      <c r="C875" s="36"/>
      <c r="D875" s="36"/>
      <c r="E875" s="36"/>
      <c r="F875" s="36"/>
      <c r="G875" s="36"/>
      <c r="H875" s="36"/>
    </row>
    <row r="876" spans="1:8" ht="12.75" hidden="1">
      <c r="A876" s="36"/>
      <c r="B876" s="36"/>
      <c r="C876" s="36"/>
      <c r="D876" s="36"/>
      <c r="E876" s="36"/>
      <c r="F876" s="36"/>
      <c r="G876" s="36"/>
      <c r="H876" s="36"/>
    </row>
    <row r="877" spans="1:8" ht="12.75" hidden="1">
      <c r="A877" s="36"/>
      <c r="B877" s="36"/>
      <c r="C877" s="36"/>
      <c r="D877" s="36"/>
      <c r="E877" s="36"/>
      <c r="F877" s="36"/>
      <c r="G877" s="36"/>
      <c r="H877" s="36"/>
    </row>
    <row r="878" spans="1:8" ht="12.75" hidden="1">
      <c r="A878" s="36"/>
      <c r="B878" s="36"/>
      <c r="C878" s="36"/>
      <c r="D878" s="36"/>
      <c r="E878" s="36"/>
      <c r="F878" s="36"/>
      <c r="G878" s="36"/>
      <c r="H878" s="36"/>
    </row>
    <row r="879" spans="1:8" ht="12.75" hidden="1">
      <c r="A879" s="36"/>
      <c r="B879" s="36"/>
      <c r="C879" s="36"/>
      <c r="D879" s="36"/>
      <c r="E879" s="36"/>
      <c r="F879" s="36"/>
      <c r="G879" s="36"/>
      <c r="H879" s="36"/>
    </row>
    <row r="880" spans="1:8" ht="12.75" hidden="1">
      <c r="A880" s="36"/>
      <c r="B880" s="36"/>
      <c r="C880" s="36"/>
      <c r="D880" s="36"/>
      <c r="E880" s="36"/>
      <c r="F880" s="36"/>
      <c r="G880" s="36"/>
      <c r="H880" s="36"/>
    </row>
    <row r="881" spans="1:8" ht="12.75" hidden="1">
      <c r="A881" s="36"/>
      <c r="B881" s="36"/>
      <c r="C881" s="36"/>
      <c r="D881" s="36"/>
      <c r="E881" s="36"/>
      <c r="F881" s="36"/>
      <c r="G881" s="36"/>
      <c r="H881" s="36"/>
    </row>
    <row r="882" spans="1:8" ht="12.75" hidden="1">
      <c r="A882" s="36"/>
      <c r="B882" s="36"/>
      <c r="C882" s="36"/>
      <c r="D882" s="36"/>
      <c r="E882" s="36"/>
      <c r="F882" s="36"/>
      <c r="G882" s="36"/>
      <c r="H882" s="36"/>
    </row>
    <row r="883" spans="1:8" ht="12.75" hidden="1">
      <c r="A883" s="36"/>
      <c r="B883" s="36"/>
      <c r="C883" s="36"/>
      <c r="D883" s="36"/>
      <c r="E883" s="36"/>
      <c r="F883" s="36"/>
      <c r="G883" s="36"/>
      <c r="H883" s="36"/>
    </row>
    <row r="884" spans="1:8" ht="12.75" hidden="1">
      <c r="A884" s="36"/>
      <c r="B884" s="36"/>
      <c r="C884" s="36"/>
      <c r="D884" s="36"/>
      <c r="E884" s="36"/>
      <c r="F884" s="36"/>
      <c r="G884" s="36"/>
      <c r="H884" s="36"/>
    </row>
    <row r="885" spans="1:8" ht="12.75" hidden="1">
      <c r="A885" s="36"/>
      <c r="B885" s="36"/>
      <c r="C885" s="36"/>
      <c r="D885" s="36"/>
      <c r="E885" s="36"/>
      <c r="F885" s="36"/>
      <c r="G885" s="36"/>
      <c r="H885" s="36"/>
    </row>
    <row r="886" spans="1:8" ht="12.75" hidden="1">
      <c r="A886" s="36"/>
      <c r="B886" s="36"/>
      <c r="C886" s="36"/>
      <c r="D886" s="36"/>
      <c r="E886" s="36"/>
      <c r="F886" s="36"/>
      <c r="G886" s="36"/>
      <c r="H886" s="36"/>
    </row>
    <row r="887" spans="1:8" ht="12.75" hidden="1">
      <c r="A887" s="36"/>
      <c r="B887" s="36"/>
      <c r="C887" s="36"/>
      <c r="D887" s="36"/>
      <c r="E887" s="36"/>
      <c r="F887" s="36"/>
      <c r="G887" s="36"/>
      <c r="H887" s="36"/>
    </row>
    <row r="888" spans="1:8" ht="12.75" hidden="1">
      <c r="A888" s="36"/>
      <c r="B888" s="36"/>
      <c r="C888" s="36"/>
      <c r="D888" s="36"/>
      <c r="E888" s="36"/>
      <c r="F888" s="36"/>
      <c r="G888" s="36"/>
      <c r="H888" s="36"/>
    </row>
    <row r="889" spans="1:8" ht="12.75" hidden="1">
      <c r="A889" s="36"/>
      <c r="B889" s="36"/>
      <c r="C889" s="36"/>
      <c r="D889" s="36"/>
      <c r="E889" s="36"/>
      <c r="F889" s="36"/>
      <c r="G889" s="36"/>
      <c r="H889" s="36"/>
    </row>
    <row r="890" spans="1:8" ht="12.75" hidden="1">
      <c r="A890" s="36"/>
      <c r="B890" s="36"/>
      <c r="C890" s="36"/>
      <c r="D890" s="36"/>
      <c r="E890" s="36"/>
      <c r="F890" s="36"/>
      <c r="G890" s="36"/>
      <c r="H890" s="36"/>
    </row>
    <row r="891" spans="1:8" ht="12.75" hidden="1">
      <c r="A891" s="36"/>
      <c r="B891" s="36"/>
      <c r="C891" s="36"/>
      <c r="D891" s="36"/>
      <c r="E891" s="36"/>
      <c r="F891" s="36"/>
      <c r="G891" s="36"/>
      <c r="H891" s="36"/>
    </row>
    <row r="892" spans="1:8" ht="12.75" hidden="1">
      <c r="A892" s="36"/>
      <c r="B892" s="36"/>
      <c r="C892" s="36"/>
      <c r="D892" s="36"/>
      <c r="E892" s="36"/>
      <c r="F892" s="36"/>
      <c r="G892" s="36"/>
      <c r="H892" s="36"/>
    </row>
    <row r="893" spans="1:8" ht="12.75" hidden="1">
      <c r="A893" s="36"/>
      <c r="B893" s="36"/>
      <c r="C893" s="36"/>
      <c r="D893" s="36"/>
      <c r="E893" s="36"/>
      <c r="F893" s="36"/>
      <c r="G893" s="36"/>
      <c r="H893" s="36"/>
    </row>
    <row r="894" spans="1:8" ht="12.75" hidden="1">
      <c r="A894" s="36"/>
      <c r="B894" s="36"/>
      <c r="C894" s="36"/>
      <c r="D894" s="36"/>
      <c r="E894" s="36"/>
      <c r="F894" s="36"/>
      <c r="G894" s="36"/>
      <c r="H894" s="36"/>
    </row>
    <row r="895" spans="1:8" ht="12.75" hidden="1">
      <c r="A895" s="36"/>
      <c r="B895" s="36"/>
      <c r="C895" s="36"/>
      <c r="D895" s="36"/>
      <c r="E895" s="36"/>
      <c r="F895" s="36"/>
      <c r="G895" s="36"/>
      <c r="H895" s="36"/>
    </row>
    <row r="896" spans="1:8" ht="12.75" hidden="1">
      <c r="A896" s="36"/>
      <c r="B896" s="36"/>
      <c r="C896" s="36"/>
      <c r="D896" s="36"/>
      <c r="E896" s="36"/>
      <c r="F896" s="36"/>
      <c r="G896" s="36"/>
      <c r="H896" s="36"/>
    </row>
    <row r="897" spans="1:8" ht="12.75" hidden="1">
      <c r="A897" s="36"/>
      <c r="B897" s="36"/>
      <c r="C897" s="36"/>
      <c r="D897" s="36"/>
      <c r="E897" s="36"/>
      <c r="F897" s="36"/>
      <c r="G897" s="36"/>
      <c r="H897" s="36"/>
    </row>
    <row r="898" spans="1:8" ht="12.75" hidden="1">
      <c r="A898" s="36"/>
      <c r="B898" s="36"/>
      <c r="C898" s="36"/>
      <c r="D898" s="36"/>
      <c r="E898" s="36"/>
      <c r="F898" s="36"/>
      <c r="G898" s="36"/>
      <c r="H898" s="36"/>
    </row>
    <row r="899" spans="1:8" ht="12.75" hidden="1">
      <c r="A899" s="36"/>
      <c r="B899" s="36"/>
      <c r="C899" s="36"/>
      <c r="D899" s="36"/>
      <c r="E899" s="36"/>
      <c r="F899" s="36"/>
      <c r="G899" s="36"/>
      <c r="H899" s="36"/>
    </row>
    <row r="900" spans="1:8" ht="12.75" hidden="1">
      <c r="A900" s="36"/>
      <c r="B900" s="36"/>
      <c r="C900" s="36"/>
      <c r="D900" s="36"/>
      <c r="E900" s="36"/>
      <c r="F900" s="36"/>
      <c r="G900" s="36"/>
      <c r="H900" s="36"/>
    </row>
    <row r="901" spans="1:8" ht="12.75" hidden="1">
      <c r="A901" s="36"/>
      <c r="B901" s="36"/>
      <c r="C901" s="36"/>
      <c r="D901" s="36"/>
      <c r="E901" s="36"/>
      <c r="F901" s="36"/>
      <c r="G901" s="36"/>
      <c r="H901" s="36"/>
    </row>
    <row r="902" spans="1:8" ht="12.75" hidden="1">
      <c r="A902" s="36"/>
      <c r="B902" s="36"/>
      <c r="C902" s="36"/>
      <c r="D902" s="36"/>
      <c r="E902" s="36"/>
      <c r="F902" s="36"/>
      <c r="G902" s="36"/>
      <c r="H902" s="36"/>
    </row>
    <row r="903" spans="1:8" ht="12.75" hidden="1">
      <c r="A903" s="36"/>
      <c r="B903" s="36"/>
      <c r="C903" s="36"/>
      <c r="D903" s="36"/>
      <c r="E903" s="36"/>
      <c r="F903" s="36"/>
      <c r="G903" s="36"/>
      <c r="H903" s="36"/>
    </row>
    <row r="904" spans="1:8" ht="12.75" hidden="1">
      <c r="A904" s="36"/>
      <c r="B904" s="36"/>
      <c r="C904" s="36"/>
      <c r="D904" s="36"/>
      <c r="E904" s="36"/>
      <c r="F904" s="36"/>
      <c r="G904" s="36"/>
      <c r="H904" s="36"/>
    </row>
    <row r="905" spans="1:8" ht="12.75" hidden="1">
      <c r="A905" s="36"/>
      <c r="B905" s="36"/>
      <c r="C905" s="36"/>
      <c r="D905" s="36"/>
      <c r="E905" s="36"/>
      <c r="F905" s="36"/>
      <c r="G905" s="36"/>
      <c r="H905" s="36"/>
    </row>
    <row r="906" spans="1:8" ht="12.75" hidden="1">
      <c r="A906" s="36"/>
      <c r="B906" s="36"/>
      <c r="C906" s="36"/>
      <c r="D906" s="36"/>
      <c r="E906" s="36"/>
      <c r="F906" s="36"/>
      <c r="G906" s="36"/>
      <c r="H906" s="36"/>
    </row>
    <row r="907" spans="1:8" ht="12.75" hidden="1">
      <c r="A907" s="36"/>
      <c r="B907" s="36"/>
      <c r="C907" s="36"/>
      <c r="D907" s="36"/>
      <c r="E907" s="36"/>
      <c r="F907" s="36"/>
      <c r="G907" s="36"/>
      <c r="H907" s="36"/>
    </row>
    <row r="908" spans="1:8" ht="12.75" hidden="1">
      <c r="A908" s="36"/>
      <c r="B908" s="36"/>
      <c r="C908" s="36"/>
      <c r="D908" s="36"/>
      <c r="E908" s="36"/>
      <c r="F908" s="36"/>
      <c r="G908" s="36"/>
      <c r="H908" s="36"/>
    </row>
    <row r="909" spans="1:8" ht="12.75" hidden="1">
      <c r="A909" s="36"/>
      <c r="B909" s="36"/>
      <c r="C909" s="36"/>
      <c r="D909" s="36"/>
      <c r="E909" s="36"/>
      <c r="F909" s="36"/>
      <c r="G909" s="36"/>
      <c r="H909" s="36"/>
    </row>
    <row r="910" spans="1:8" ht="12.75" hidden="1">
      <c r="A910" s="36"/>
      <c r="B910" s="36"/>
      <c r="C910" s="36"/>
      <c r="D910" s="36"/>
      <c r="E910" s="36"/>
      <c r="F910" s="36"/>
      <c r="G910" s="36"/>
      <c r="H910" s="36"/>
    </row>
    <row r="911" spans="1:8" ht="12.75" hidden="1">
      <c r="A911" s="36"/>
      <c r="B911" s="36"/>
      <c r="C911" s="36"/>
      <c r="D911" s="36"/>
      <c r="E911" s="36"/>
      <c r="F911" s="36"/>
      <c r="G911" s="36"/>
      <c r="H911" s="36"/>
    </row>
    <row r="912" spans="1:8" ht="12.75" hidden="1">
      <c r="A912" s="36"/>
      <c r="B912" s="36"/>
      <c r="C912" s="36"/>
      <c r="D912" s="36"/>
      <c r="E912" s="36"/>
      <c r="F912" s="36"/>
      <c r="G912" s="36"/>
      <c r="H912" s="36"/>
    </row>
    <row r="913" spans="1:8" ht="12.75" hidden="1">
      <c r="A913" s="36"/>
      <c r="B913" s="36"/>
      <c r="C913" s="36"/>
      <c r="D913" s="36"/>
      <c r="E913" s="36"/>
      <c r="F913" s="36"/>
      <c r="G913" s="36"/>
      <c r="H913" s="36"/>
    </row>
    <row r="914" spans="1:8" ht="12.75" hidden="1">
      <c r="A914" s="36"/>
      <c r="B914" s="36"/>
      <c r="C914" s="36"/>
      <c r="D914" s="36"/>
      <c r="E914" s="36"/>
      <c r="F914" s="36"/>
      <c r="G914" s="36"/>
      <c r="H914" s="36"/>
    </row>
    <row r="915" spans="1:8" ht="12.75" hidden="1">
      <c r="A915" s="36"/>
      <c r="B915" s="36"/>
      <c r="C915" s="36"/>
      <c r="D915" s="36"/>
      <c r="E915" s="36"/>
      <c r="F915" s="36"/>
      <c r="G915" s="36"/>
      <c r="H915" s="36"/>
    </row>
    <row r="916" spans="1:8" ht="12.75" hidden="1">
      <c r="A916" s="36"/>
      <c r="B916" s="36"/>
      <c r="C916" s="36"/>
      <c r="D916" s="36"/>
      <c r="E916" s="36"/>
      <c r="F916" s="36"/>
      <c r="G916" s="36"/>
      <c r="H916" s="36"/>
    </row>
    <row r="917" spans="1:8" ht="12.75" hidden="1">
      <c r="A917" s="36"/>
      <c r="B917" s="36"/>
      <c r="C917" s="36"/>
      <c r="D917" s="36"/>
      <c r="E917" s="36"/>
      <c r="F917" s="36"/>
      <c r="G917" s="36"/>
      <c r="H917" s="36"/>
    </row>
    <row r="918" spans="1:8" ht="12.75" hidden="1">
      <c r="A918" s="36"/>
      <c r="B918" s="36"/>
      <c r="C918" s="36"/>
      <c r="D918" s="36"/>
      <c r="E918" s="36"/>
      <c r="F918" s="36"/>
      <c r="G918" s="36"/>
      <c r="H918" s="36"/>
    </row>
    <row r="919" spans="1:8" ht="12.75" hidden="1">
      <c r="A919" s="36"/>
      <c r="B919" s="36"/>
      <c r="C919" s="36"/>
      <c r="D919" s="36"/>
      <c r="E919" s="36"/>
      <c r="F919" s="36"/>
      <c r="G919" s="36"/>
      <c r="H919" s="36"/>
    </row>
    <row r="920" spans="1:8" ht="12.75" hidden="1">
      <c r="A920" s="36"/>
      <c r="B920" s="36"/>
      <c r="C920" s="36"/>
      <c r="D920" s="36"/>
      <c r="E920" s="36"/>
      <c r="F920" s="36"/>
      <c r="G920" s="36"/>
      <c r="H920" s="36"/>
    </row>
    <row r="921" spans="1:8" ht="12.75" hidden="1">
      <c r="A921" s="36"/>
      <c r="B921" s="36"/>
      <c r="C921" s="36"/>
      <c r="D921" s="36"/>
      <c r="E921" s="36"/>
      <c r="F921" s="36"/>
      <c r="G921" s="36"/>
      <c r="H921" s="36"/>
    </row>
    <row r="922" spans="1:8" ht="12.75" hidden="1">
      <c r="A922" s="36"/>
      <c r="B922" s="36"/>
      <c r="C922" s="36"/>
      <c r="D922" s="36"/>
      <c r="E922" s="36"/>
      <c r="F922" s="36"/>
      <c r="G922" s="36"/>
      <c r="H922" s="36"/>
    </row>
    <row r="923" spans="1:8" ht="12.75" hidden="1">
      <c r="A923" s="36"/>
      <c r="B923" s="36"/>
      <c r="C923" s="36"/>
      <c r="D923" s="36"/>
      <c r="E923" s="36"/>
      <c r="F923" s="36"/>
      <c r="G923" s="36"/>
      <c r="H923" s="36"/>
    </row>
    <row r="924" spans="1:8" ht="12.75" hidden="1">
      <c r="A924" s="36"/>
      <c r="B924" s="36"/>
      <c r="C924" s="36"/>
      <c r="D924" s="36"/>
      <c r="E924" s="36"/>
      <c r="F924" s="36"/>
      <c r="G924" s="36"/>
      <c r="H924" s="36"/>
    </row>
    <row r="925" spans="1:8" ht="12.75" hidden="1">
      <c r="A925" s="36"/>
      <c r="B925" s="36"/>
      <c r="C925" s="36"/>
      <c r="D925" s="36"/>
      <c r="E925" s="36"/>
      <c r="F925" s="36"/>
      <c r="G925" s="36"/>
      <c r="H925" s="36"/>
    </row>
    <row r="926" spans="1:8" ht="12.75" hidden="1">
      <c r="A926" s="36"/>
      <c r="B926" s="36"/>
      <c r="C926" s="36"/>
      <c r="D926" s="36"/>
      <c r="E926" s="36"/>
      <c r="F926" s="36"/>
      <c r="G926" s="36"/>
      <c r="H926" s="36"/>
    </row>
    <row r="927" spans="1:8" ht="12.75" hidden="1">
      <c r="A927" s="36"/>
      <c r="B927" s="36"/>
      <c r="C927" s="36"/>
      <c r="D927" s="36"/>
      <c r="E927" s="36"/>
      <c r="F927" s="36"/>
      <c r="G927" s="36"/>
      <c r="H927" s="36"/>
    </row>
    <row r="928" spans="1:8" ht="12.75" hidden="1">
      <c r="A928" s="36"/>
      <c r="B928" s="36"/>
      <c r="C928" s="36"/>
      <c r="D928" s="36"/>
      <c r="E928" s="36"/>
      <c r="F928" s="36"/>
      <c r="G928" s="36"/>
      <c r="H928" s="36"/>
    </row>
    <row r="929" spans="1:8" ht="12.75" hidden="1">
      <c r="A929" s="36"/>
      <c r="B929" s="36"/>
      <c r="C929" s="36"/>
      <c r="D929" s="36"/>
      <c r="E929" s="36"/>
      <c r="F929" s="36"/>
      <c r="G929" s="36"/>
      <c r="H929" s="36"/>
    </row>
    <row r="930" spans="1:8" ht="12.75" hidden="1">
      <c r="A930" s="36"/>
      <c r="B930" s="36"/>
      <c r="C930" s="36"/>
      <c r="D930" s="36"/>
      <c r="E930" s="36"/>
      <c r="F930" s="36"/>
      <c r="G930" s="36"/>
      <c r="H930" s="36"/>
    </row>
    <row r="931" spans="1:8" ht="12.75" hidden="1">
      <c r="A931" s="36"/>
      <c r="B931" s="36"/>
      <c r="C931" s="36"/>
      <c r="D931" s="36"/>
      <c r="E931" s="36"/>
      <c r="F931" s="36"/>
      <c r="G931" s="36"/>
      <c r="H931" s="36"/>
    </row>
    <row r="932" spans="1:8" ht="12.75" hidden="1">
      <c r="A932" s="36"/>
      <c r="B932" s="36"/>
      <c r="C932" s="36"/>
      <c r="D932" s="36"/>
      <c r="E932" s="36"/>
      <c r="F932" s="36"/>
      <c r="G932" s="36"/>
      <c r="H932" s="36"/>
    </row>
    <row r="933" spans="1:8" ht="12.75" hidden="1">
      <c r="A933" s="36"/>
      <c r="B933" s="36"/>
      <c r="C933" s="36"/>
      <c r="D933" s="36"/>
      <c r="E933" s="36"/>
      <c r="F933" s="36"/>
      <c r="G933" s="36"/>
      <c r="H933" s="36"/>
    </row>
    <row r="934" spans="1:8" ht="12.75" hidden="1">
      <c r="A934" s="36"/>
      <c r="B934" s="36"/>
      <c r="C934" s="36"/>
      <c r="D934" s="36"/>
      <c r="E934" s="36"/>
      <c r="F934" s="36"/>
      <c r="G934" s="36"/>
      <c r="H934" s="36"/>
    </row>
    <row r="935" spans="1:8" ht="12.75" hidden="1">
      <c r="A935" s="36"/>
      <c r="B935" s="36"/>
      <c r="C935" s="36"/>
      <c r="D935" s="36"/>
      <c r="E935" s="36"/>
      <c r="F935" s="36"/>
      <c r="G935" s="36"/>
      <c r="H935" s="36"/>
    </row>
    <row r="936" spans="1:8" ht="12.75" hidden="1">
      <c r="A936" s="36"/>
      <c r="B936" s="36"/>
      <c r="C936" s="36"/>
      <c r="D936" s="36"/>
      <c r="E936" s="36"/>
      <c r="F936" s="36"/>
      <c r="G936" s="36"/>
      <c r="H936" s="36"/>
    </row>
    <row r="937" spans="1:8" ht="12.75" hidden="1">
      <c r="A937" s="36"/>
      <c r="B937" s="36"/>
      <c r="C937" s="36"/>
      <c r="D937" s="36"/>
      <c r="E937" s="36"/>
      <c r="F937" s="36"/>
      <c r="G937" s="36"/>
      <c r="H937" s="36"/>
    </row>
    <row r="938" spans="1:8" ht="12.75" hidden="1">
      <c r="A938" s="36"/>
      <c r="B938" s="36"/>
      <c r="C938" s="36"/>
      <c r="D938" s="36"/>
      <c r="E938" s="36"/>
      <c r="F938" s="36"/>
      <c r="G938" s="36"/>
      <c r="H938" s="36"/>
    </row>
    <row r="939" spans="1:8" ht="12.75" hidden="1">
      <c r="A939" s="36"/>
      <c r="B939" s="36"/>
      <c r="C939" s="36"/>
      <c r="D939" s="36"/>
      <c r="E939" s="36"/>
      <c r="F939" s="36"/>
      <c r="G939" s="36"/>
      <c r="H939" s="36"/>
    </row>
    <row r="940" spans="1:8" ht="12.75" hidden="1">
      <c r="A940" s="36"/>
      <c r="B940" s="36"/>
      <c r="C940" s="36"/>
      <c r="D940" s="36"/>
      <c r="E940" s="36"/>
      <c r="F940" s="36"/>
      <c r="G940" s="36"/>
      <c r="H940" s="36"/>
    </row>
    <row r="941" spans="1:8" ht="12.75" hidden="1">
      <c r="A941" s="36"/>
      <c r="B941" s="36"/>
      <c r="C941" s="36"/>
      <c r="D941" s="36"/>
      <c r="E941" s="36"/>
      <c r="F941" s="36"/>
      <c r="G941" s="36"/>
      <c r="H941" s="36"/>
    </row>
    <row r="942" spans="1:8" ht="12.75" hidden="1">
      <c r="A942" s="36"/>
      <c r="B942" s="36"/>
      <c r="C942" s="36"/>
      <c r="D942" s="36"/>
      <c r="E942" s="36"/>
      <c r="F942" s="36"/>
      <c r="G942" s="36"/>
      <c r="H942" s="36"/>
    </row>
    <row r="943" spans="1:8" ht="12.75" hidden="1">
      <c r="A943" s="36"/>
      <c r="B943" s="36"/>
      <c r="C943" s="36"/>
      <c r="D943" s="36"/>
      <c r="E943" s="36"/>
      <c r="F943" s="36"/>
      <c r="G943" s="36"/>
      <c r="H943" s="36"/>
    </row>
    <row r="944" spans="1:8" ht="12.75" hidden="1">
      <c r="A944" s="36"/>
      <c r="B944" s="36"/>
      <c r="C944" s="36"/>
      <c r="D944" s="36"/>
      <c r="E944" s="36"/>
      <c r="F944" s="36"/>
      <c r="G944" s="36"/>
      <c r="H944" s="36"/>
    </row>
    <row r="945" spans="1:8" ht="12.75" hidden="1">
      <c r="A945" s="36"/>
      <c r="B945" s="36"/>
      <c r="C945" s="36"/>
      <c r="D945" s="36"/>
      <c r="E945" s="36"/>
      <c r="F945" s="36"/>
      <c r="G945" s="36"/>
      <c r="H945" s="36"/>
    </row>
    <row r="946" spans="1:8" ht="12.75" hidden="1">
      <c r="A946" s="36"/>
      <c r="B946" s="36"/>
      <c r="C946" s="36"/>
      <c r="D946" s="36"/>
      <c r="E946" s="36"/>
      <c r="F946" s="36"/>
      <c r="G946" s="36"/>
      <c r="H946" s="36"/>
    </row>
    <row r="947" spans="1:8" ht="12.75" hidden="1">
      <c r="A947" s="36"/>
      <c r="B947" s="36"/>
      <c r="C947" s="36"/>
      <c r="D947" s="36"/>
      <c r="E947" s="36"/>
      <c r="F947" s="36"/>
      <c r="G947" s="36"/>
      <c r="H947" s="36"/>
    </row>
    <row r="948" spans="1:8" ht="12.75" hidden="1">
      <c r="A948" s="36"/>
      <c r="B948" s="36"/>
      <c r="C948" s="36"/>
      <c r="D948" s="36"/>
      <c r="E948" s="36"/>
      <c r="F948" s="36"/>
      <c r="G948" s="36"/>
      <c r="H948" s="36"/>
    </row>
    <row r="949" spans="1:8" ht="12.75" hidden="1">
      <c r="A949" s="36"/>
      <c r="B949" s="36"/>
      <c r="C949" s="36"/>
      <c r="D949" s="36"/>
      <c r="E949" s="36"/>
      <c r="F949" s="36"/>
      <c r="G949" s="36"/>
      <c r="H949" s="36"/>
    </row>
    <row r="950" spans="1:8" ht="12.75" hidden="1">
      <c r="A950" s="36"/>
      <c r="B950" s="36"/>
      <c r="C950" s="36"/>
      <c r="D950" s="36"/>
      <c r="E950" s="36"/>
      <c r="F950" s="36"/>
      <c r="G950" s="36"/>
      <c r="H950" s="36"/>
    </row>
    <row r="951" spans="1:8" ht="12.75" hidden="1">
      <c r="A951" s="36"/>
      <c r="B951" s="36"/>
      <c r="C951" s="36"/>
      <c r="D951" s="36"/>
      <c r="E951" s="36"/>
      <c r="F951" s="36"/>
      <c r="G951" s="36"/>
      <c r="H951" s="36"/>
    </row>
    <row r="952" spans="1:8" ht="12.75" hidden="1">
      <c r="A952" s="36"/>
      <c r="B952" s="36"/>
      <c r="C952" s="36"/>
      <c r="D952" s="36"/>
      <c r="E952" s="36"/>
      <c r="F952" s="36"/>
      <c r="G952" s="36"/>
      <c r="H952" s="36"/>
    </row>
    <row r="953" spans="1:8" ht="12.75" hidden="1">
      <c r="A953" s="36"/>
      <c r="B953" s="36"/>
      <c r="C953" s="36"/>
      <c r="D953" s="36"/>
      <c r="E953" s="36"/>
      <c r="F953" s="36"/>
      <c r="G953" s="36"/>
      <c r="H953" s="36"/>
    </row>
    <row r="954" spans="1:8" ht="12.75" hidden="1">
      <c r="A954" s="36"/>
      <c r="B954" s="36"/>
      <c r="C954" s="36"/>
      <c r="D954" s="36"/>
      <c r="E954" s="36"/>
      <c r="F954" s="36"/>
      <c r="G954" s="36"/>
      <c r="H954" s="36"/>
    </row>
    <row r="955" spans="1:8" ht="12.75" hidden="1">
      <c r="A955" s="36"/>
      <c r="B955" s="36"/>
      <c r="C955" s="36"/>
      <c r="D955" s="36"/>
      <c r="E955" s="36"/>
      <c r="F955" s="36"/>
      <c r="G955" s="36"/>
      <c r="H955" s="36"/>
    </row>
    <row r="956" spans="1:8" ht="12.75" hidden="1">
      <c r="A956" s="36"/>
      <c r="B956" s="36"/>
      <c r="C956" s="36"/>
      <c r="D956" s="36"/>
      <c r="E956" s="36"/>
      <c r="F956" s="36"/>
      <c r="G956" s="36"/>
      <c r="H956" s="36"/>
    </row>
    <row r="957" spans="1:8" ht="12.75" hidden="1">
      <c r="A957" s="36"/>
      <c r="B957" s="36"/>
      <c r="C957" s="36"/>
      <c r="D957" s="36"/>
      <c r="E957" s="36"/>
      <c r="F957" s="36"/>
      <c r="G957" s="36"/>
      <c r="H957" s="36"/>
    </row>
    <row r="958" spans="1:8" ht="12.75" hidden="1">
      <c r="A958" s="36"/>
      <c r="B958" s="36"/>
      <c r="C958" s="36"/>
      <c r="D958" s="36"/>
      <c r="E958" s="36"/>
      <c r="F958" s="36"/>
      <c r="G958" s="36"/>
      <c r="H958" s="36"/>
    </row>
    <row r="959" spans="1:8" ht="12.75" hidden="1">
      <c r="A959" s="36"/>
      <c r="B959" s="36"/>
      <c r="C959" s="36"/>
      <c r="D959" s="36"/>
      <c r="E959" s="36"/>
      <c r="F959" s="36"/>
      <c r="G959" s="36"/>
      <c r="H959" s="36"/>
    </row>
    <row r="960" spans="1:8" ht="12.75" hidden="1">
      <c r="A960" s="36"/>
      <c r="B960" s="36"/>
      <c r="C960" s="36"/>
      <c r="D960" s="36"/>
      <c r="E960" s="36"/>
      <c r="F960" s="36"/>
      <c r="G960" s="36"/>
      <c r="H960" s="36"/>
    </row>
    <row r="961" spans="1:8" ht="12.75" hidden="1">
      <c r="A961" s="36"/>
      <c r="B961" s="36"/>
      <c r="C961" s="36"/>
      <c r="D961" s="36"/>
      <c r="E961" s="36"/>
      <c r="F961" s="36"/>
      <c r="G961" s="36"/>
      <c r="H961" s="36"/>
    </row>
    <row r="962" spans="1:8" ht="12.75" hidden="1">
      <c r="A962" s="36"/>
      <c r="B962" s="36"/>
      <c r="C962" s="36"/>
      <c r="D962" s="36"/>
      <c r="E962" s="36"/>
      <c r="F962" s="36"/>
      <c r="G962" s="36"/>
      <c r="H962" s="36"/>
    </row>
    <row r="963" spans="1:8" ht="12.75" hidden="1">
      <c r="A963" s="36"/>
      <c r="B963" s="36"/>
      <c r="C963" s="36"/>
      <c r="D963" s="36"/>
      <c r="E963" s="36"/>
      <c r="F963" s="36"/>
      <c r="G963" s="36"/>
      <c r="H963" s="36"/>
    </row>
    <row r="964" spans="1:8" ht="12.75" hidden="1">
      <c r="A964" s="36"/>
      <c r="B964" s="36"/>
      <c r="C964" s="36"/>
      <c r="D964" s="36"/>
      <c r="E964" s="36"/>
      <c r="F964" s="36"/>
      <c r="G964" s="36"/>
      <c r="H964" s="36"/>
    </row>
    <row r="965" spans="1:8" ht="12.75" hidden="1">
      <c r="A965" s="36"/>
      <c r="B965" s="36"/>
      <c r="C965" s="36"/>
      <c r="D965" s="36"/>
      <c r="E965" s="36"/>
      <c r="F965" s="36"/>
      <c r="G965" s="36"/>
      <c r="H965" s="36"/>
    </row>
    <row r="966" spans="1:8" ht="12.75" hidden="1">
      <c r="A966" s="36"/>
      <c r="B966" s="36"/>
      <c r="C966" s="36"/>
      <c r="D966" s="36"/>
      <c r="E966" s="36"/>
      <c r="F966" s="36"/>
      <c r="G966" s="36"/>
      <c r="H966" s="36"/>
    </row>
    <row r="967" spans="1:8" ht="12.75" hidden="1">
      <c r="A967" s="36"/>
      <c r="B967" s="36"/>
      <c r="C967" s="36"/>
      <c r="D967" s="36"/>
      <c r="E967" s="36"/>
      <c r="F967" s="36"/>
      <c r="G967" s="36"/>
      <c r="H967" s="36"/>
    </row>
    <row r="968" spans="1:8" ht="12.75" hidden="1">
      <c r="A968" s="36"/>
      <c r="B968" s="36"/>
      <c r="C968" s="36"/>
      <c r="D968" s="36"/>
      <c r="E968" s="36"/>
      <c r="F968" s="36"/>
      <c r="G968" s="36"/>
      <c r="H968" s="36"/>
    </row>
    <row r="969" spans="1:8" ht="12.75" hidden="1">
      <c r="A969" s="36"/>
      <c r="B969" s="36"/>
      <c r="C969" s="36"/>
      <c r="D969" s="36"/>
      <c r="E969" s="36"/>
      <c r="F969" s="36"/>
      <c r="G969" s="36"/>
      <c r="H969" s="36"/>
    </row>
    <row r="970" spans="1:8" ht="12.75" hidden="1">
      <c r="A970" s="36"/>
      <c r="B970" s="36"/>
      <c r="C970" s="36"/>
      <c r="D970" s="36"/>
      <c r="E970" s="36"/>
      <c r="F970" s="36"/>
      <c r="G970" s="36"/>
      <c r="H970" s="36"/>
    </row>
    <row r="971" spans="1:8" ht="12.75" hidden="1">
      <c r="A971" s="36"/>
      <c r="B971" s="36"/>
      <c r="C971" s="36"/>
      <c r="D971" s="36"/>
      <c r="E971" s="36"/>
      <c r="F971" s="36"/>
      <c r="G971" s="36"/>
      <c r="H971" s="36"/>
    </row>
    <row r="972" spans="1:8" ht="12.75" hidden="1">
      <c r="A972" s="36"/>
      <c r="B972" s="36"/>
      <c r="C972" s="36"/>
      <c r="D972" s="36"/>
      <c r="E972" s="36"/>
      <c r="F972" s="36"/>
      <c r="G972" s="36"/>
      <c r="H972" s="36"/>
    </row>
    <row r="973" spans="1:8" ht="12.75" hidden="1">
      <c r="A973" s="36"/>
      <c r="B973" s="36"/>
      <c r="C973" s="36"/>
      <c r="D973" s="36"/>
      <c r="E973" s="36"/>
      <c r="F973" s="36"/>
      <c r="G973" s="36"/>
      <c r="H973" s="36"/>
    </row>
    <row r="974" spans="1:8" ht="12.75" hidden="1">
      <c r="A974" s="36"/>
      <c r="B974" s="36"/>
      <c r="C974" s="36"/>
      <c r="D974" s="36"/>
      <c r="E974" s="36"/>
      <c r="F974" s="36"/>
      <c r="G974" s="36"/>
      <c r="H974" s="36"/>
    </row>
    <row r="975" spans="1:8" ht="12.75" hidden="1">
      <c r="A975" s="36"/>
      <c r="B975" s="36"/>
      <c r="C975" s="36"/>
      <c r="D975" s="36"/>
      <c r="E975" s="36"/>
      <c r="F975" s="36"/>
      <c r="G975" s="36"/>
      <c r="H975" s="36"/>
    </row>
    <row r="976" spans="1:8" ht="12.75" hidden="1">
      <c r="A976" s="36"/>
      <c r="B976" s="36"/>
      <c r="C976" s="36"/>
      <c r="D976" s="36"/>
      <c r="E976" s="36"/>
      <c r="F976" s="36"/>
      <c r="G976" s="36"/>
      <c r="H976" s="36"/>
    </row>
    <row r="977" spans="1:8" ht="12.75" hidden="1">
      <c r="A977" s="36"/>
      <c r="B977" s="36"/>
      <c r="C977" s="36"/>
      <c r="D977" s="36"/>
      <c r="E977" s="36"/>
      <c r="F977" s="36"/>
      <c r="G977" s="36"/>
      <c r="H977" s="36"/>
    </row>
    <row r="978" spans="1:8" ht="12.75" hidden="1">
      <c r="A978" s="36"/>
      <c r="B978" s="36"/>
      <c r="C978" s="36"/>
      <c r="D978" s="36"/>
      <c r="E978" s="36"/>
      <c r="F978" s="36"/>
      <c r="G978" s="36"/>
      <c r="H978" s="36"/>
    </row>
    <row r="979" spans="1:8" ht="12.75" hidden="1">
      <c r="A979" s="36"/>
      <c r="B979" s="36"/>
      <c r="C979" s="36"/>
      <c r="D979" s="36"/>
      <c r="E979" s="36"/>
      <c r="F979" s="36"/>
      <c r="G979" s="36"/>
      <c r="H979" s="36"/>
    </row>
    <row r="980" spans="1:8" ht="12.75" hidden="1">
      <c r="A980" s="36"/>
      <c r="B980" s="36"/>
      <c r="C980" s="36"/>
      <c r="D980" s="36"/>
      <c r="E980" s="36"/>
      <c r="F980" s="36"/>
      <c r="G980" s="36"/>
      <c r="H980" s="36"/>
    </row>
    <row r="981" spans="1:8" ht="12.75" hidden="1">
      <c r="A981" s="36"/>
      <c r="B981" s="36"/>
      <c r="C981" s="36"/>
      <c r="D981" s="36"/>
      <c r="E981" s="36"/>
      <c r="F981" s="36"/>
      <c r="G981" s="36"/>
      <c r="H981" s="36"/>
    </row>
    <row r="982" spans="1:8" ht="12.75" hidden="1">
      <c r="A982" s="36"/>
      <c r="B982" s="36"/>
      <c r="C982" s="36"/>
      <c r="D982" s="36"/>
      <c r="E982" s="36"/>
      <c r="F982" s="36"/>
      <c r="G982" s="36"/>
      <c r="H982" s="36"/>
    </row>
    <row r="983" spans="1:8" ht="12.75" hidden="1">
      <c r="A983" s="36"/>
      <c r="B983" s="36"/>
      <c r="C983" s="36"/>
      <c r="D983" s="36"/>
      <c r="E983" s="36"/>
      <c r="F983" s="36"/>
      <c r="G983" s="36"/>
      <c r="H983" s="36"/>
    </row>
    <row r="984" spans="1:8" ht="12.75" hidden="1">
      <c r="A984" s="36"/>
      <c r="B984" s="36"/>
      <c r="C984" s="36"/>
      <c r="D984" s="36"/>
      <c r="E984" s="36"/>
      <c r="F984" s="36"/>
      <c r="G984" s="36"/>
      <c r="H984" s="36"/>
    </row>
    <row r="985" spans="1:8" ht="12.75" hidden="1">
      <c r="A985" s="36"/>
      <c r="B985" s="36"/>
      <c r="C985" s="36"/>
      <c r="D985" s="36"/>
      <c r="E985" s="36"/>
      <c r="F985" s="36"/>
      <c r="G985" s="36"/>
      <c r="H985" s="36"/>
    </row>
    <row r="986" spans="1:8" ht="12.75" hidden="1">
      <c r="A986" s="36"/>
      <c r="B986" s="36"/>
      <c r="C986" s="36"/>
      <c r="D986" s="36"/>
      <c r="E986" s="36"/>
      <c r="F986" s="36"/>
      <c r="G986" s="36"/>
      <c r="H986" s="36"/>
    </row>
    <row r="987" spans="1:8" ht="12.75" hidden="1">
      <c r="A987" s="36"/>
      <c r="B987" s="36"/>
      <c r="C987" s="36"/>
      <c r="D987" s="36"/>
      <c r="E987" s="36"/>
      <c r="F987" s="36"/>
      <c r="G987" s="36"/>
      <c r="H987" s="36"/>
    </row>
    <row r="988" spans="1:8" ht="12.75" hidden="1">
      <c r="A988" s="36"/>
      <c r="B988" s="36"/>
      <c r="C988" s="36"/>
      <c r="D988" s="36"/>
      <c r="E988" s="36"/>
      <c r="F988" s="36"/>
      <c r="G988" s="36"/>
      <c r="H988" s="36"/>
    </row>
    <row r="989" spans="1:8" ht="12.75" hidden="1">
      <c r="A989" s="36"/>
      <c r="B989" s="36"/>
      <c r="C989" s="36"/>
      <c r="D989" s="36"/>
      <c r="E989" s="36"/>
      <c r="F989" s="36"/>
      <c r="G989" s="36"/>
      <c r="H989" s="36"/>
    </row>
    <row r="990" spans="1:8" ht="12.75" hidden="1">
      <c r="A990" s="36"/>
      <c r="B990" s="36"/>
      <c r="C990" s="36"/>
      <c r="D990" s="36"/>
      <c r="E990" s="36"/>
      <c r="F990" s="36"/>
      <c r="G990" s="36"/>
      <c r="H990" s="36"/>
    </row>
    <row r="991" spans="1:8" ht="12.75" hidden="1">
      <c r="A991" s="36"/>
      <c r="B991" s="36"/>
      <c r="C991" s="36"/>
      <c r="D991" s="36"/>
      <c r="E991" s="36"/>
      <c r="F991" s="36"/>
      <c r="G991" s="36"/>
      <c r="H991" s="36"/>
    </row>
    <row r="992" spans="1:8" ht="12.75" hidden="1">
      <c r="A992" s="36"/>
      <c r="B992" s="36"/>
      <c r="C992" s="36"/>
      <c r="D992" s="36"/>
      <c r="E992" s="36"/>
      <c r="F992" s="36"/>
      <c r="G992" s="36"/>
      <c r="H992" s="36"/>
    </row>
    <row r="993" spans="1:8" ht="12.75" hidden="1">
      <c r="A993" s="36"/>
      <c r="B993" s="36"/>
      <c r="C993" s="36"/>
      <c r="D993" s="36"/>
      <c r="E993" s="36"/>
      <c r="F993" s="36"/>
      <c r="G993" s="36"/>
      <c r="H993" s="36"/>
    </row>
    <row r="994" spans="1:8" ht="12.75" hidden="1">
      <c r="A994" s="36"/>
      <c r="B994" s="36"/>
      <c r="C994" s="36"/>
      <c r="D994" s="36"/>
      <c r="E994" s="36"/>
      <c r="F994" s="36"/>
      <c r="G994" s="36"/>
      <c r="H994" s="36"/>
    </row>
    <row r="995" spans="1:8" ht="12.75" hidden="1">
      <c r="A995" s="36"/>
      <c r="B995" s="36"/>
      <c r="C995" s="36"/>
      <c r="D995" s="36"/>
      <c r="E995" s="36"/>
      <c r="F995" s="36"/>
      <c r="G995" s="36"/>
      <c r="H995" s="36"/>
    </row>
    <row r="996" spans="1:8" ht="12.75" hidden="1">
      <c r="A996" s="36"/>
      <c r="B996" s="36"/>
      <c r="C996" s="36"/>
      <c r="D996" s="36"/>
      <c r="E996" s="36"/>
      <c r="F996" s="36"/>
      <c r="G996" s="36"/>
      <c r="H996" s="36"/>
    </row>
    <row r="997" spans="1:8" ht="12.75" hidden="1">
      <c r="A997" s="36"/>
      <c r="B997" s="36"/>
      <c r="C997" s="36"/>
      <c r="D997" s="36"/>
      <c r="E997" s="36"/>
      <c r="F997" s="36"/>
      <c r="G997" s="36"/>
      <c r="H997" s="36"/>
    </row>
    <row r="998" spans="1:8" ht="12.75" hidden="1">
      <c r="A998" s="36"/>
      <c r="B998" s="36"/>
      <c r="C998" s="36"/>
      <c r="D998" s="36"/>
      <c r="E998" s="36"/>
      <c r="F998" s="36"/>
      <c r="G998" s="36"/>
      <c r="H998" s="36"/>
    </row>
    <row r="999" spans="1:8" ht="12.75" hidden="1">
      <c r="A999" s="36"/>
      <c r="B999" s="36"/>
      <c r="C999" s="36"/>
      <c r="D999" s="36"/>
      <c r="E999" s="36"/>
      <c r="F999" s="36"/>
      <c r="G999" s="36"/>
      <c r="H999" s="36"/>
    </row>
    <row r="1000" spans="1:8" ht="12.75" hidden="1">
      <c r="A1000" s="36"/>
      <c r="B1000" s="36"/>
      <c r="C1000" s="36"/>
      <c r="D1000" s="36"/>
      <c r="E1000" s="36"/>
      <c r="F1000" s="36"/>
      <c r="G1000" s="36"/>
      <c r="H1000" s="36"/>
    </row>
  </sheetData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Z1000"/>
  <sheetViews>
    <sheetView workbookViewId="0"/>
  </sheetViews>
  <sheetFormatPr defaultColWidth="14.42578125" defaultRowHeight="15.75" customHeight="1"/>
  <cols>
    <col min="1" max="1" width="37.7109375" customWidth="1"/>
    <col min="2" max="2" width="14.42578125" hidden="1"/>
    <col min="3" max="3" width="34" customWidth="1"/>
    <col min="4" max="4" width="10.28515625" customWidth="1"/>
    <col min="5" max="6" width="9" customWidth="1"/>
    <col min="7" max="7" width="8.5703125" customWidth="1"/>
    <col min="8" max="8" width="9" customWidth="1"/>
    <col min="9" max="9" width="9.42578125" customWidth="1"/>
    <col min="10" max="26" width="14.42578125" hidden="1"/>
  </cols>
  <sheetData>
    <row r="1" spans="1:26">
      <c r="A1" s="41" t="str">
        <f ca="1">IFERROR(__xludf.DUMMYFUNCTION("IMPORTRANGE(""https://docs.google.com/spreadsheets/d/1qoFatOon1uC97wZhIn_0Rq2sZ6a2NuzWasXrzcUDN2Y/edit#gid=1890206292"", ""Landscape Trees!A1:z100000"")"),"Latin Name")</f>
        <v>Latin Name</v>
      </c>
      <c r="B1" s="36" t="str">
        <f ca="1">IFERROR(__xludf.DUMMYFUNCTION("""COMPUTED_VALUE"""),"Pot Size Sorting")</f>
        <v>Pot Size Sorting</v>
      </c>
      <c r="C1" s="36" t="str">
        <f ca="1">IFERROR(__xludf.DUMMYFUNCTION("""COMPUTED_VALUE"""),"Common Name")</f>
        <v>Common Name</v>
      </c>
      <c r="D1" s="36" t="str">
        <f ca="1">IFERROR(__xludf.DUMMYFUNCTION("""COMPUTED_VALUE"""),"Pot Size")</f>
        <v>Pot Size</v>
      </c>
      <c r="E1" s="36" t="str">
        <f ca="1">IFERROR(__xludf.DUMMYFUNCTION("""COMPUTED_VALUE"""),"Caliper ")</f>
        <v xml:space="preserve">Caliper </v>
      </c>
      <c r="F1" s="36" t="str">
        <f ca="1">IFERROR(__xludf.DUMMYFUNCTION("""COMPUTED_VALUE"""),"Height")</f>
        <v>Height</v>
      </c>
      <c r="G1" s="36" t="str">
        <f ca="1">IFERROR(__xludf.DUMMYFUNCTION("""COMPUTED_VALUE"""),"Quantity ")</f>
        <v xml:space="preserve">Quantity </v>
      </c>
      <c r="H1" s="36" t="str">
        <f ca="1">IFERROR(__xludf.DUMMYFUNCTION("""COMPUTED_VALUE"""),"Projected")</f>
        <v>Projected</v>
      </c>
      <c r="I1" s="36" t="str">
        <f ca="1">IFERROR(__xludf.DUMMYFUNCTION("""COMPUTED_VALUE"""),"Price")</f>
        <v>Price</v>
      </c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1:26">
      <c r="A2" s="36" t="str">
        <f ca="1">IFERROR(__xludf.DUMMYFUNCTION("""COMPUTED_VALUE"""),"Acer buergerianum")</f>
        <v>Acer buergerianum</v>
      </c>
      <c r="B2" s="36">
        <f ca="1">IFERROR(__xludf.DUMMYFUNCTION("""COMPUTED_VALUE"""),5)</f>
        <v>5</v>
      </c>
      <c r="C2" s="36" t="str">
        <f ca="1">IFERROR(__xludf.DUMMYFUNCTION("""COMPUTED_VALUE"""),"Trident Maple")</f>
        <v>Trident Maple</v>
      </c>
      <c r="D2" s="36" t="str">
        <f ca="1">IFERROR(__xludf.DUMMYFUNCTION("""COMPUTED_VALUE"""),"#5")</f>
        <v>#5</v>
      </c>
      <c r="E2" s="37" t="str">
        <f ca="1">IFERROR(__xludf.DUMMYFUNCTION("""COMPUTED_VALUE"""),"0.25-0.5""")</f>
        <v>0.25-0.5"</v>
      </c>
      <c r="F2" s="36" t="str">
        <f ca="1">IFERROR(__xludf.DUMMYFUNCTION("""COMPUTED_VALUE"""),"3-6'")</f>
        <v>3-6'</v>
      </c>
      <c r="G2" s="38">
        <f ca="1">IFERROR(__xludf.DUMMYFUNCTION("""COMPUTED_VALUE"""),9)</f>
        <v>9</v>
      </c>
      <c r="H2" s="36">
        <f ca="1">IFERROR(__xludf.DUMMYFUNCTION("""COMPUTED_VALUE"""),0)</f>
        <v>0</v>
      </c>
      <c r="I2" s="39">
        <f ca="1">IFERROR(__xludf.DUMMYFUNCTION("""COMPUTED_VALUE"""),35)</f>
        <v>35</v>
      </c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26">
      <c r="A3" s="36" t="str">
        <f ca="1">IFERROR(__xludf.DUMMYFUNCTION("""COMPUTED_VALUE"""),"Acer campestre")</f>
        <v>Acer campestre</v>
      </c>
      <c r="B3" s="36">
        <f ca="1">IFERROR(__xludf.DUMMYFUNCTION("""COMPUTED_VALUE"""),5)</f>
        <v>5</v>
      </c>
      <c r="C3" s="36" t="str">
        <f ca="1">IFERROR(__xludf.DUMMYFUNCTION("""COMPUTED_VALUE"""),"Hedge Maple")</f>
        <v>Hedge Maple</v>
      </c>
      <c r="D3" s="36" t="str">
        <f ca="1">IFERROR(__xludf.DUMMYFUNCTION("""COMPUTED_VALUE"""),"#5")</f>
        <v>#5</v>
      </c>
      <c r="E3" s="37" t="str">
        <f ca="1">IFERROR(__xludf.DUMMYFUNCTION("""COMPUTED_VALUE"""),"1-1.25""")</f>
        <v>1-1.25"</v>
      </c>
      <c r="F3" s="36" t="str">
        <f ca="1">IFERROR(__xludf.DUMMYFUNCTION("""COMPUTED_VALUE"""),"6-7'")</f>
        <v>6-7'</v>
      </c>
      <c r="G3" s="38">
        <f ca="1">IFERROR(__xludf.DUMMYFUNCTION("""COMPUTED_VALUE"""),12)</f>
        <v>12</v>
      </c>
      <c r="H3" s="36">
        <f ca="1">IFERROR(__xludf.DUMMYFUNCTION("""COMPUTED_VALUE"""),0)</f>
        <v>0</v>
      </c>
      <c r="I3" s="39">
        <f ca="1">IFERROR(__xludf.DUMMYFUNCTION("""COMPUTED_VALUE"""),35)</f>
        <v>35</v>
      </c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</row>
    <row r="4" spans="1:26">
      <c r="A4" s="36" t="str">
        <f ca="1">IFERROR(__xludf.DUMMYFUNCTION("""COMPUTED_VALUE"""),"Acer griseum")</f>
        <v>Acer griseum</v>
      </c>
      <c r="B4" s="36">
        <f ca="1">IFERROR(__xludf.DUMMYFUNCTION("""COMPUTED_VALUE"""),5)</f>
        <v>5</v>
      </c>
      <c r="C4" s="36" t="str">
        <f ca="1">IFERROR(__xludf.DUMMYFUNCTION("""COMPUTED_VALUE"""),"Paperbark Maple")</f>
        <v>Paperbark Maple</v>
      </c>
      <c r="D4" s="36" t="str">
        <f ca="1">IFERROR(__xludf.DUMMYFUNCTION("""COMPUTED_VALUE"""),"#5")</f>
        <v>#5</v>
      </c>
      <c r="E4" s="37" t="str">
        <f ca="1">IFERROR(__xludf.DUMMYFUNCTION("""COMPUTED_VALUE"""),"0.75-1""")</f>
        <v>0.75-1"</v>
      </c>
      <c r="F4" s="36" t="str">
        <f ca="1">IFERROR(__xludf.DUMMYFUNCTION("""COMPUTED_VALUE"""),"4-5'")</f>
        <v>4-5'</v>
      </c>
      <c r="G4" s="38">
        <f ca="1">IFERROR(__xludf.DUMMYFUNCTION("""COMPUTED_VALUE"""),25)</f>
        <v>25</v>
      </c>
      <c r="H4" s="36">
        <f ca="1">IFERROR(__xludf.DUMMYFUNCTION("""COMPUTED_VALUE"""),0)</f>
        <v>0</v>
      </c>
      <c r="I4" s="39">
        <f ca="1">IFERROR(__xludf.DUMMYFUNCTION("""COMPUTED_VALUE"""),50)</f>
        <v>50</v>
      </c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</row>
    <row r="5" spans="1:26">
      <c r="A5" s="36" t="str">
        <f ca="1">IFERROR(__xludf.DUMMYFUNCTION("""COMPUTED_VALUE"""),"Acer griseum")</f>
        <v>Acer griseum</v>
      </c>
      <c r="B5" s="36">
        <f ca="1">IFERROR(__xludf.DUMMYFUNCTION("""COMPUTED_VALUE"""),15)</f>
        <v>15</v>
      </c>
      <c r="C5" s="36" t="str">
        <f ca="1">IFERROR(__xludf.DUMMYFUNCTION("""COMPUTED_VALUE"""),"Paperbark Maple")</f>
        <v>Paperbark Maple</v>
      </c>
      <c r="D5" s="36" t="str">
        <f ca="1">IFERROR(__xludf.DUMMYFUNCTION("""COMPUTED_VALUE"""),"#15")</f>
        <v>#15</v>
      </c>
      <c r="E5" s="37" t="str">
        <f ca="1">IFERROR(__xludf.DUMMYFUNCTION("""COMPUTED_VALUE"""),"1.25-1.75""")</f>
        <v>1.25-1.75"</v>
      </c>
      <c r="F5" s="36" t="str">
        <f ca="1">IFERROR(__xludf.DUMMYFUNCTION("""COMPUTED_VALUE"""),"8-10'")</f>
        <v>8-10'</v>
      </c>
      <c r="G5" s="38">
        <f ca="1">IFERROR(__xludf.DUMMYFUNCTION("""COMPUTED_VALUE"""),3)</f>
        <v>3</v>
      </c>
      <c r="H5" s="36">
        <f ca="1">IFERROR(__xludf.DUMMYFUNCTION("""COMPUTED_VALUE"""),0)</f>
        <v>0</v>
      </c>
      <c r="I5" s="39">
        <f ca="1">IFERROR(__xludf.DUMMYFUNCTION("""COMPUTED_VALUE"""),175)</f>
        <v>175</v>
      </c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</row>
    <row r="6" spans="1:26">
      <c r="A6" s="36" t="str">
        <f ca="1">IFERROR(__xludf.DUMMYFUNCTION("""COMPUTED_VALUE"""),"Acer griseum")</f>
        <v>Acer griseum</v>
      </c>
      <c r="B6" s="36">
        <f ca="1">IFERROR(__xludf.DUMMYFUNCTION("""COMPUTED_VALUE"""),25)</f>
        <v>25</v>
      </c>
      <c r="C6" s="36" t="str">
        <f ca="1">IFERROR(__xludf.DUMMYFUNCTION("""COMPUTED_VALUE"""),"Paperbark Maple")</f>
        <v>Paperbark Maple</v>
      </c>
      <c r="D6" s="36" t="str">
        <f ca="1">IFERROR(__xludf.DUMMYFUNCTION("""COMPUTED_VALUE"""),"#25")</f>
        <v>#25</v>
      </c>
      <c r="E6" s="37" t="str">
        <f ca="1">IFERROR(__xludf.DUMMYFUNCTION("""COMPUTED_VALUE"""),"1.25-1.25""")</f>
        <v>1.25-1.25"</v>
      </c>
      <c r="F6" s="36" t="str">
        <f ca="1">IFERROR(__xludf.DUMMYFUNCTION("""COMPUTED_VALUE"""),"8-9'")</f>
        <v>8-9'</v>
      </c>
      <c r="G6" s="38">
        <f ca="1">IFERROR(__xludf.DUMMYFUNCTION("""COMPUTED_VALUE"""),2)</f>
        <v>2</v>
      </c>
      <c r="H6" s="36">
        <f ca="1">IFERROR(__xludf.DUMMYFUNCTION("""COMPUTED_VALUE"""),0)</f>
        <v>0</v>
      </c>
      <c r="I6" s="39">
        <f ca="1">IFERROR(__xludf.DUMMYFUNCTION("""COMPUTED_VALUE"""),175)</f>
        <v>175</v>
      </c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</row>
    <row r="7" spans="1:26">
      <c r="A7" s="36" t="str">
        <f ca="1">IFERROR(__xludf.DUMMYFUNCTION("""COMPUTED_VALUE"""),"Acer palmatum 'Bloodgood'")</f>
        <v>Acer palmatum 'Bloodgood'</v>
      </c>
      <c r="B7" s="36">
        <f ca="1">IFERROR(__xludf.DUMMYFUNCTION("""COMPUTED_VALUE"""),7)</f>
        <v>7</v>
      </c>
      <c r="C7" s="36" t="str">
        <f ca="1">IFERROR(__xludf.DUMMYFUNCTION("""COMPUTED_VALUE"""),"Bloodgood Japanese Maple")</f>
        <v>Bloodgood Japanese Maple</v>
      </c>
      <c r="D7" s="36" t="str">
        <f ca="1">IFERROR(__xludf.DUMMYFUNCTION("""COMPUTED_VALUE"""),"#7")</f>
        <v>#7</v>
      </c>
      <c r="E7" s="37" t="str">
        <f ca="1">IFERROR(__xludf.DUMMYFUNCTION("""COMPUTED_VALUE"""),"0.25-0.5""")</f>
        <v>0.25-0.5"</v>
      </c>
      <c r="F7" s="36" t="str">
        <f ca="1">IFERROR(__xludf.DUMMYFUNCTION("""COMPUTED_VALUE"""),"4-5'")</f>
        <v>4-5'</v>
      </c>
      <c r="G7" s="38">
        <f ca="1">IFERROR(__xludf.DUMMYFUNCTION("""COMPUTED_VALUE"""),20)</f>
        <v>20</v>
      </c>
      <c r="H7" s="36">
        <f ca="1">IFERROR(__xludf.DUMMYFUNCTION("""COMPUTED_VALUE"""),0)</f>
        <v>0</v>
      </c>
      <c r="I7" s="39">
        <f ca="1">IFERROR(__xludf.DUMMYFUNCTION("""COMPUTED_VALUE"""),50)</f>
        <v>50</v>
      </c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</row>
    <row r="8" spans="1:26">
      <c r="A8" s="36" t="str">
        <f ca="1">IFERROR(__xludf.DUMMYFUNCTION("""COMPUTED_VALUE"""),"Acer palmatum 'Emperor I'")</f>
        <v>Acer palmatum 'Emperor I'</v>
      </c>
      <c r="B8" s="36">
        <f ca="1">IFERROR(__xludf.DUMMYFUNCTION("""COMPUTED_VALUE"""),7)</f>
        <v>7</v>
      </c>
      <c r="C8" s="36" t="str">
        <f ca="1">IFERROR(__xludf.DUMMYFUNCTION("""COMPUTED_VALUE"""),"Emperor I Japanese Maple")</f>
        <v>Emperor I Japanese Maple</v>
      </c>
      <c r="D8" s="36" t="str">
        <f ca="1">IFERROR(__xludf.DUMMYFUNCTION("""COMPUTED_VALUE"""),"#7")</f>
        <v>#7</v>
      </c>
      <c r="E8" s="37" t="str">
        <f ca="1">IFERROR(__xludf.DUMMYFUNCTION("""COMPUTED_VALUE"""),"0.25-0.5""")</f>
        <v>0.25-0.5"</v>
      </c>
      <c r="F8" s="36" t="str">
        <f ca="1">IFERROR(__xludf.DUMMYFUNCTION("""COMPUTED_VALUE"""),"4-5'")</f>
        <v>4-5'</v>
      </c>
      <c r="G8" s="38">
        <f ca="1">IFERROR(__xludf.DUMMYFUNCTION("""COMPUTED_VALUE"""),8)</f>
        <v>8</v>
      </c>
      <c r="H8" s="36">
        <f ca="1">IFERROR(__xludf.DUMMYFUNCTION("""COMPUTED_VALUE"""),20)</f>
        <v>20</v>
      </c>
      <c r="I8" s="39">
        <f ca="1">IFERROR(__xludf.DUMMYFUNCTION("""COMPUTED_VALUE"""),50)</f>
        <v>50</v>
      </c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</row>
    <row r="9" spans="1:26">
      <c r="A9" s="36" t="str">
        <f ca="1">IFERROR(__xludf.DUMMYFUNCTION("""COMPUTED_VALUE"""),"Acer palmatum 'Tamukeyama'")</f>
        <v>Acer palmatum 'Tamukeyama'</v>
      </c>
      <c r="B9" s="36">
        <f ca="1">IFERROR(__xludf.DUMMYFUNCTION("""COMPUTED_VALUE"""),7)</f>
        <v>7</v>
      </c>
      <c r="C9" s="36" t="str">
        <f ca="1">IFERROR(__xludf.DUMMYFUNCTION("""COMPUTED_VALUE"""),"Tamukeyama Japanese Maple")</f>
        <v>Tamukeyama Japanese Maple</v>
      </c>
      <c r="D9" s="36" t="str">
        <f ca="1">IFERROR(__xludf.DUMMYFUNCTION("""COMPUTED_VALUE"""),"#7")</f>
        <v>#7</v>
      </c>
      <c r="E9" s="37" t="str">
        <f ca="1">IFERROR(__xludf.DUMMYFUNCTION("""COMPUTED_VALUE"""),"0.375-0.5""")</f>
        <v>0.375-0.5"</v>
      </c>
      <c r="F9" s="36" t="str">
        <f ca="1">IFERROR(__xludf.DUMMYFUNCTION("""COMPUTED_VALUE"""),"3-4'")</f>
        <v>3-4'</v>
      </c>
      <c r="G9" s="38">
        <f ca="1">IFERROR(__xludf.DUMMYFUNCTION("""COMPUTED_VALUE"""),21)</f>
        <v>21</v>
      </c>
      <c r="H9" s="36">
        <f ca="1">IFERROR(__xludf.DUMMYFUNCTION("""COMPUTED_VALUE"""),20)</f>
        <v>20</v>
      </c>
      <c r="I9" s="39">
        <f ca="1">IFERROR(__xludf.DUMMYFUNCTION("""COMPUTED_VALUE"""),60)</f>
        <v>60</v>
      </c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</row>
    <row r="10" spans="1:26">
      <c r="A10" s="36" t="str">
        <f ca="1">IFERROR(__xludf.DUMMYFUNCTION("""COMPUTED_VALUE"""),"Acer platanoides 'Crimson King'")</f>
        <v>Acer platanoides 'Crimson King'</v>
      </c>
      <c r="B10" s="36">
        <f ca="1">IFERROR(__xludf.DUMMYFUNCTION("""COMPUTED_VALUE"""),15)</f>
        <v>15</v>
      </c>
      <c r="C10" s="36" t="str">
        <f ca="1">IFERROR(__xludf.DUMMYFUNCTION("""COMPUTED_VALUE"""),"Crimson King Norway Maple")</f>
        <v>Crimson King Norway Maple</v>
      </c>
      <c r="D10" s="36" t="str">
        <f ca="1">IFERROR(__xludf.DUMMYFUNCTION("""COMPUTED_VALUE"""),"#15")</f>
        <v>#15</v>
      </c>
      <c r="E10" s="37" t="str">
        <f ca="1">IFERROR(__xludf.DUMMYFUNCTION("""COMPUTED_VALUE"""),"1-1""")</f>
        <v>1-1"</v>
      </c>
      <c r="F10" s="36" t="str">
        <f ca="1">IFERROR(__xludf.DUMMYFUNCTION("""COMPUTED_VALUE"""),"8-9'")</f>
        <v>8-9'</v>
      </c>
      <c r="G10" s="38">
        <f ca="1">IFERROR(__xludf.DUMMYFUNCTION("""COMPUTED_VALUE"""),0)</f>
        <v>0</v>
      </c>
      <c r="H10" s="36">
        <f ca="1">IFERROR(__xludf.DUMMYFUNCTION("""COMPUTED_VALUE"""),10)</f>
        <v>10</v>
      </c>
      <c r="I10" s="39">
        <f ca="1">IFERROR(__xludf.DUMMYFUNCTION("""COMPUTED_VALUE"""),110)</f>
        <v>110</v>
      </c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</row>
    <row r="11" spans="1:26">
      <c r="A11" s="36" t="str">
        <f ca="1">IFERROR(__xludf.DUMMYFUNCTION("""COMPUTED_VALUE"""),"Acer rubrum")</f>
        <v>Acer rubrum</v>
      </c>
      <c r="B11" s="36">
        <f ca="1">IFERROR(__xludf.DUMMYFUNCTION("""COMPUTED_VALUE"""),5)</f>
        <v>5</v>
      </c>
      <c r="C11" s="36" t="str">
        <f ca="1">IFERROR(__xludf.DUMMYFUNCTION("""COMPUTED_VALUE"""),"Red Maple (Native)")</f>
        <v>Red Maple (Native)</v>
      </c>
      <c r="D11" s="36" t="str">
        <f ca="1">IFERROR(__xludf.DUMMYFUNCTION("""COMPUTED_VALUE"""),"#5")</f>
        <v>#5</v>
      </c>
      <c r="E11" s="37" t="str">
        <f ca="1">IFERROR(__xludf.DUMMYFUNCTION("""COMPUTED_VALUE"""),"0.125-0.25""")</f>
        <v>0.125-0.25"</v>
      </c>
      <c r="F11" s="36" t="str">
        <f ca="1">IFERROR(__xludf.DUMMYFUNCTION("""COMPUTED_VALUE"""),"3-4'")</f>
        <v>3-4'</v>
      </c>
      <c r="G11" s="38">
        <f ca="1">IFERROR(__xludf.DUMMYFUNCTION("""COMPUTED_VALUE"""),48)</f>
        <v>48</v>
      </c>
      <c r="H11" s="36">
        <f ca="1">IFERROR(__xludf.DUMMYFUNCTION("""COMPUTED_VALUE"""),100)</f>
        <v>100</v>
      </c>
      <c r="I11" s="39">
        <f ca="1">IFERROR(__xludf.DUMMYFUNCTION("""COMPUTED_VALUE"""),35)</f>
        <v>35</v>
      </c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</row>
    <row r="12" spans="1:26">
      <c r="A12" s="36" t="str">
        <f ca="1">IFERROR(__xludf.DUMMYFUNCTION("""COMPUTED_VALUE"""),"Acer rubrum ")</f>
        <v xml:space="preserve">Acer rubrum </v>
      </c>
      <c r="B12" s="36">
        <f ca="1">IFERROR(__xludf.DUMMYFUNCTION("""COMPUTED_VALUE"""),5)</f>
        <v>5</v>
      </c>
      <c r="C12" s="36" t="str">
        <f ca="1">IFERROR(__xludf.DUMMYFUNCTION("""COMPUTED_VALUE"""),"Red Maple")</f>
        <v>Red Maple</v>
      </c>
      <c r="D12" s="36" t="str">
        <f ca="1">IFERROR(__xludf.DUMMYFUNCTION("""COMPUTED_VALUE"""),"#5")</f>
        <v>#5</v>
      </c>
      <c r="E12" s="37" t="str">
        <f ca="1">IFERROR(__xludf.DUMMYFUNCTION("""COMPUTED_VALUE"""),"0.25-0.5""")</f>
        <v>0.25-0.5"</v>
      </c>
      <c r="F12" s="36" t="str">
        <f ca="1">IFERROR(__xludf.DUMMYFUNCTION("""COMPUTED_VALUE"""),"2-3'")</f>
        <v>2-3'</v>
      </c>
      <c r="G12" s="38">
        <f ca="1">IFERROR(__xludf.DUMMYFUNCTION("""COMPUTED_VALUE"""),58)</f>
        <v>58</v>
      </c>
      <c r="H12" s="36">
        <f ca="1">IFERROR(__xludf.DUMMYFUNCTION("""COMPUTED_VALUE"""),130)</f>
        <v>130</v>
      </c>
      <c r="I12" s="39">
        <f ca="1">IFERROR(__xludf.DUMMYFUNCTION("""COMPUTED_VALUE"""),35)</f>
        <v>35</v>
      </c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</row>
    <row r="13" spans="1:26">
      <c r="A13" s="36" t="str">
        <f ca="1">IFERROR(__xludf.DUMMYFUNCTION("""COMPUTED_VALUE"""),"Acer rubrum ")</f>
        <v xml:space="preserve">Acer rubrum </v>
      </c>
      <c r="B13" s="36">
        <f ca="1">IFERROR(__xludf.DUMMYFUNCTION("""COMPUTED_VALUE"""),15)</f>
        <v>15</v>
      </c>
      <c r="C13" s="36" t="str">
        <f ca="1">IFERROR(__xludf.DUMMYFUNCTION("""COMPUTED_VALUE"""),"Red Maple")</f>
        <v>Red Maple</v>
      </c>
      <c r="D13" s="36" t="str">
        <f ca="1">IFERROR(__xludf.DUMMYFUNCTION("""COMPUTED_VALUE"""),"#15")</f>
        <v>#15</v>
      </c>
      <c r="E13" s="37" t="str">
        <f ca="1">IFERROR(__xludf.DUMMYFUNCTION("""COMPUTED_VALUE"""),"1.25-1.25""")</f>
        <v>1.25-1.25"</v>
      </c>
      <c r="F13" s="36" t="str">
        <f ca="1">IFERROR(__xludf.DUMMYFUNCTION("""COMPUTED_VALUE"""),"12-12'")</f>
        <v>12-12'</v>
      </c>
      <c r="G13" s="38">
        <f ca="1">IFERROR(__xludf.DUMMYFUNCTION("""COMPUTED_VALUE"""),1)</f>
        <v>1</v>
      </c>
      <c r="H13" s="36">
        <f ca="1">IFERROR(__xludf.DUMMYFUNCTION("""COMPUTED_VALUE"""),40)</f>
        <v>40</v>
      </c>
      <c r="I13" s="39">
        <f ca="1">IFERROR(__xludf.DUMMYFUNCTION("""COMPUTED_VALUE"""),110)</f>
        <v>110</v>
      </c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</row>
    <row r="14" spans="1:26">
      <c r="A14" s="36" t="str">
        <f ca="1">IFERROR(__xludf.DUMMYFUNCTION("""COMPUTED_VALUE"""),"Acer rubrum ")</f>
        <v xml:space="preserve">Acer rubrum </v>
      </c>
      <c r="B14" s="36">
        <f ca="1">IFERROR(__xludf.DUMMYFUNCTION("""COMPUTED_VALUE"""),25)</f>
        <v>25</v>
      </c>
      <c r="C14" s="36" t="str">
        <f ca="1">IFERROR(__xludf.DUMMYFUNCTION("""COMPUTED_VALUE"""),"Red Maple")</f>
        <v>Red Maple</v>
      </c>
      <c r="D14" s="36" t="str">
        <f ca="1">IFERROR(__xludf.DUMMYFUNCTION("""COMPUTED_VALUE"""),"#25")</f>
        <v>#25</v>
      </c>
      <c r="E14" s="37" t="str">
        <f ca="1">IFERROR(__xludf.DUMMYFUNCTION("""COMPUTED_VALUE"""),"1.5-1.5""")</f>
        <v>1.5-1.5"</v>
      </c>
      <c r="F14" s="36" t="str">
        <f ca="1">IFERROR(__xludf.DUMMYFUNCTION("""COMPUTED_VALUE"""),"12-12'")</f>
        <v>12-12'</v>
      </c>
      <c r="G14" s="38">
        <f ca="1">IFERROR(__xludf.DUMMYFUNCTION("""COMPUTED_VALUE"""),2)</f>
        <v>2</v>
      </c>
      <c r="H14" s="36">
        <f ca="1">IFERROR(__xludf.DUMMYFUNCTION("""COMPUTED_VALUE"""),0)</f>
        <v>0</v>
      </c>
      <c r="I14" s="39">
        <f ca="1">IFERROR(__xludf.DUMMYFUNCTION("""COMPUTED_VALUE"""),135)</f>
        <v>135</v>
      </c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</row>
    <row r="15" spans="1:26">
      <c r="A15" s="36" t="str">
        <f ca="1">IFERROR(__xludf.DUMMYFUNCTION("""COMPUTED_VALUE"""),"Acer rubrum 'Karpick'")</f>
        <v>Acer rubrum 'Karpick'</v>
      </c>
      <c r="B15" s="36">
        <f ca="1">IFERROR(__xludf.DUMMYFUNCTION("""COMPUTED_VALUE"""),25)</f>
        <v>25</v>
      </c>
      <c r="C15" s="36" t="str">
        <f ca="1">IFERROR(__xludf.DUMMYFUNCTION("""COMPUTED_VALUE"""),"Kaprick Red Maple")</f>
        <v>Kaprick Red Maple</v>
      </c>
      <c r="D15" s="36" t="str">
        <f ca="1">IFERROR(__xludf.DUMMYFUNCTION("""COMPUTED_VALUE"""),"#25")</f>
        <v>#25</v>
      </c>
      <c r="E15" s="37" t="str">
        <f ca="1">IFERROR(__xludf.DUMMYFUNCTION("""COMPUTED_VALUE"""),"1.25-1.5""")</f>
        <v>1.25-1.5"</v>
      </c>
      <c r="F15" s="36" t="str">
        <f ca="1">IFERROR(__xludf.DUMMYFUNCTION("""COMPUTED_VALUE"""),"11-12'")</f>
        <v>11-12'</v>
      </c>
      <c r="G15" s="38">
        <f ca="1">IFERROR(__xludf.DUMMYFUNCTION("""COMPUTED_VALUE"""),4)</f>
        <v>4</v>
      </c>
      <c r="H15" s="36">
        <f ca="1">IFERROR(__xludf.DUMMYFUNCTION("""COMPUTED_VALUE"""),0)</f>
        <v>0</v>
      </c>
      <c r="I15" s="39">
        <f ca="1">IFERROR(__xludf.DUMMYFUNCTION("""COMPUTED_VALUE"""),135)</f>
        <v>135</v>
      </c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</row>
    <row r="16" spans="1:26">
      <c r="A16" s="36" t="str">
        <f ca="1">IFERROR(__xludf.DUMMYFUNCTION("""COMPUTED_VALUE"""),"Acer saccharum")</f>
        <v>Acer saccharum</v>
      </c>
      <c r="B16" s="36">
        <f ca="1">IFERROR(__xludf.DUMMYFUNCTION("""COMPUTED_VALUE"""),5)</f>
        <v>5</v>
      </c>
      <c r="C16" s="36" t="str">
        <f ca="1">IFERROR(__xludf.DUMMYFUNCTION("""COMPUTED_VALUE"""),"Sugar Maple")</f>
        <v>Sugar Maple</v>
      </c>
      <c r="D16" s="36" t="str">
        <f ca="1">IFERROR(__xludf.DUMMYFUNCTION("""COMPUTED_VALUE"""),"#5")</f>
        <v>#5</v>
      </c>
      <c r="E16" s="37" t="str">
        <f ca="1">IFERROR(__xludf.DUMMYFUNCTION("""COMPUTED_VALUE"""),"0.25-0.5""")</f>
        <v>0.25-0.5"</v>
      </c>
      <c r="F16" s="36" t="str">
        <f ca="1">IFERROR(__xludf.DUMMYFUNCTION("""COMPUTED_VALUE"""),"3-5'")</f>
        <v>3-5'</v>
      </c>
      <c r="G16" s="38">
        <f ca="1">IFERROR(__xludf.DUMMYFUNCTION("""COMPUTED_VALUE"""),92)</f>
        <v>92</v>
      </c>
      <c r="H16" s="36">
        <f ca="1">IFERROR(__xludf.DUMMYFUNCTION("""COMPUTED_VALUE"""),50)</f>
        <v>50</v>
      </c>
      <c r="I16" s="39">
        <f ca="1">IFERROR(__xludf.DUMMYFUNCTION("""COMPUTED_VALUE"""),35)</f>
        <v>35</v>
      </c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</row>
    <row r="17" spans="1:26">
      <c r="A17" s="36" t="str">
        <f ca="1">IFERROR(__xludf.DUMMYFUNCTION("""COMPUTED_VALUE"""),"Acer saccharum 'Green Mountain'")</f>
        <v>Acer saccharum 'Green Mountain'</v>
      </c>
      <c r="B17" s="36">
        <f ca="1">IFERROR(__xludf.DUMMYFUNCTION("""COMPUTED_VALUE"""),25)</f>
        <v>25</v>
      </c>
      <c r="C17" s="36" t="str">
        <f ca="1">IFERROR(__xludf.DUMMYFUNCTION("""COMPUTED_VALUE"""),"Green Mountain Sugar Maple")</f>
        <v>Green Mountain Sugar Maple</v>
      </c>
      <c r="D17" s="36" t="str">
        <f ca="1">IFERROR(__xludf.DUMMYFUNCTION("""COMPUTED_VALUE"""),"#25")</f>
        <v>#25</v>
      </c>
      <c r="E17" s="37" t="str">
        <f ca="1">IFERROR(__xludf.DUMMYFUNCTION("""COMPUTED_VALUE"""),"1-1.25""")</f>
        <v>1-1.25"</v>
      </c>
      <c r="F17" s="36" t="str">
        <f ca="1">IFERROR(__xludf.DUMMYFUNCTION("""COMPUTED_VALUE"""),"9-10'")</f>
        <v>9-10'</v>
      </c>
      <c r="G17" s="38">
        <f ca="1">IFERROR(__xludf.DUMMYFUNCTION("""COMPUTED_VALUE"""),8)</f>
        <v>8</v>
      </c>
      <c r="H17" s="36">
        <f ca="1">IFERROR(__xludf.DUMMYFUNCTION("""COMPUTED_VALUE"""),0)</f>
        <v>0</v>
      </c>
      <c r="I17" s="39">
        <f ca="1">IFERROR(__xludf.DUMMYFUNCTION("""COMPUTED_VALUE"""),150)</f>
        <v>150</v>
      </c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</row>
    <row r="18" spans="1:26">
      <c r="A18" s="36" t="str">
        <f ca="1">IFERROR(__xludf.DUMMYFUNCTION("""COMPUTED_VALUE"""),"Acer saccharum 'Legacy'")</f>
        <v>Acer saccharum 'Legacy'</v>
      </c>
      <c r="B18" s="36">
        <f ca="1">IFERROR(__xludf.DUMMYFUNCTION("""COMPUTED_VALUE"""),15)</f>
        <v>15</v>
      </c>
      <c r="C18" s="36" t="str">
        <f ca="1">IFERROR(__xludf.DUMMYFUNCTION("""COMPUTED_VALUE"""),"Legacy Sugar Maple")</f>
        <v>Legacy Sugar Maple</v>
      </c>
      <c r="D18" s="36" t="str">
        <f ca="1">IFERROR(__xludf.DUMMYFUNCTION("""COMPUTED_VALUE"""),"#15")</f>
        <v>#15</v>
      </c>
      <c r="E18" s="37" t="str">
        <f ca="1">IFERROR(__xludf.DUMMYFUNCTION("""COMPUTED_VALUE"""),"0.5-0.75""")</f>
        <v>0.5-0.75"</v>
      </c>
      <c r="F18" s="36" t="str">
        <f ca="1">IFERROR(__xludf.DUMMYFUNCTION("""COMPUTED_VALUE"""),"7-7'")</f>
        <v>7-7'</v>
      </c>
      <c r="G18" s="38">
        <f ca="1">IFERROR(__xludf.DUMMYFUNCTION("""COMPUTED_VALUE"""),3)</f>
        <v>3</v>
      </c>
      <c r="H18" s="36">
        <f ca="1">IFERROR(__xludf.DUMMYFUNCTION("""COMPUTED_VALUE"""),0)</f>
        <v>0</v>
      </c>
      <c r="I18" s="39">
        <f ca="1">IFERROR(__xludf.DUMMYFUNCTION("""COMPUTED_VALUE"""),110)</f>
        <v>110</v>
      </c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</row>
    <row r="19" spans="1:26">
      <c r="A19" s="36" t="str">
        <f ca="1">IFERROR(__xludf.DUMMYFUNCTION("""COMPUTED_VALUE"""),"Acer tataricum 'Hot Wings'")</f>
        <v>Acer tataricum 'Hot Wings'</v>
      </c>
      <c r="B19" s="36">
        <f ca="1">IFERROR(__xludf.DUMMYFUNCTION("""COMPUTED_VALUE"""),25)</f>
        <v>25</v>
      </c>
      <c r="C19" s="36" t="str">
        <f ca="1">IFERROR(__xludf.DUMMYFUNCTION("""COMPUTED_VALUE"""),"Hot Wings Maple")</f>
        <v>Hot Wings Maple</v>
      </c>
      <c r="D19" s="36" t="str">
        <f ca="1">IFERROR(__xludf.DUMMYFUNCTION("""COMPUTED_VALUE"""),"#25")</f>
        <v>#25</v>
      </c>
      <c r="E19" s="37" t="str">
        <f ca="1">IFERROR(__xludf.DUMMYFUNCTION("""COMPUTED_VALUE"""),"1-1.5""")</f>
        <v>1-1.5"</v>
      </c>
      <c r="F19" s="36" t="str">
        <f ca="1">IFERROR(__xludf.DUMMYFUNCTION("""COMPUTED_VALUE"""),"8-11'")</f>
        <v>8-11'</v>
      </c>
      <c r="G19" s="38">
        <f ca="1">IFERROR(__xludf.DUMMYFUNCTION("""COMPUTED_VALUE"""),5)</f>
        <v>5</v>
      </c>
      <c r="H19" s="36">
        <f ca="1">IFERROR(__xludf.DUMMYFUNCTION("""COMPUTED_VALUE"""),0)</f>
        <v>0</v>
      </c>
      <c r="I19" s="39">
        <f ca="1">IFERROR(__xludf.DUMMYFUNCTION("""COMPUTED_VALUE"""),135)</f>
        <v>135</v>
      </c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</row>
    <row r="20" spans="1:26">
      <c r="A20" s="36" t="str">
        <f ca="1">IFERROR(__xludf.DUMMYFUNCTION("""COMPUTED_VALUE"""),"Acer x freemanii")</f>
        <v>Acer x freemanii</v>
      </c>
      <c r="B20" s="36">
        <f ca="1">IFERROR(__xludf.DUMMYFUNCTION("""COMPUTED_VALUE"""),5)</f>
        <v>5</v>
      </c>
      <c r="C20" s="36" t="str">
        <f ca="1">IFERROR(__xludf.DUMMYFUNCTION("""COMPUTED_VALUE"""),"Autumn Blaze Maple")</f>
        <v>Autumn Blaze Maple</v>
      </c>
      <c r="D20" s="36" t="str">
        <f ca="1">IFERROR(__xludf.DUMMYFUNCTION("""COMPUTED_VALUE"""),"#5")</f>
        <v>#5</v>
      </c>
      <c r="E20" s="37" t="str">
        <f ca="1">IFERROR(__xludf.DUMMYFUNCTION("""COMPUTED_VALUE"""),"0.38-0.25""")</f>
        <v>0.38-0.25"</v>
      </c>
      <c r="F20" s="36" t="str">
        <f ca="1">IFERROR(__xludf.DUMMYFUNCTION("""COMPUTED_VALUE"""),"1-2'")</f>
        <v>1-2'</v>
      </c>
      <c r="G20" s="38">
        <f ca="1">IFERROR(__xludf.DUMMYFUNCTION("""COMPUTED_VALUE"""),0)</f>
        <v>0</v>
      </c>
      <c r="H20" s="36">
        <f ca="1">IFERROR(__xludf.DUMMYFUNCTION("""COMPUTED_VALUE"""),25)</f>
        <v>25</v>
      </c>
      <c r="I20" s="39">
        <f ca="1">IFERROR(__xludf.DUMMYFUNCTION("""COMPUTED_VALUE"""),35)</f>
        <v>35</v>
      </c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</row>
    <row r="21" spans="1:26">
      <c r="A21" s="36" t="str">
        <f ca="1">IFERROR(__xludf.DUMMYFUNCTION("""COMPUTED_VALUE"""),"Acer x freemanii")</f>
        <v>Acer x freemanii</v>
      </c>
      <c r="B21" s="36">
        <f ca="1">IFERROR(__xludf.DUMMYFUNCTION("""COMPUTED_VALUE"""),10)</f>
        <v>10</v>
      </c>
      <c r="C21" s="36" t="str">
        <f ca="1">IFERROR(__xludf.DUMMYFUNCTION("""COMPUTED_VALUE"""),"Autumn Blaze Maple")</f>
        <v>Autumn Blaze Maple</v>
      </c>
      <c r="D21" s="36" t="str">
        <f ca="1">IFERROR(__xludf.DUMMYFUNCTION("""COMPUTED_VALUE"""),"#10")</f>
        <v>#10</v>
      </c>
      <c r="E21" s="37" t="str">
        <f ca="1">IFERROR(__xludf.DUMMYFUNCTION("""COMPUTED_VALUE"""),"0.75-1.5""")</f>
        <v>0.75-1.5"</v>
      </c>
      <c r="F21" s="36" t="str">
        <f ca="1">IFERROR(__xludf.DUMMYFUNCTION("""COMPUTED_VALUE"""),"6-9'")</f>
        <v>6-9'</v>
      </c>
      <c r="G21" s="38">
        <f ca="1">IFERROR(__xludf.DUMMYFUNCTION("""COMPUTED_VALUE"""),1)</f>
        <v>1</v>
      </c>
      <c r="H21" s="36">
        <f ca="1">IFERROR(__xludf.DUMMYFUNCTION("""COMPUTED_VALUE"""),15)</f>
        <v>15</v>
      </c>
      <c r="I21" s="39">
        <f ca="1">IFERROR(__xludf.DUMMYFUNCTION("""COMPUTED_VALUE"""),80)</f>
        <v>80</v>
      </c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</row>
    <row r="22" spans="1:26">
      <c r="A22" s="36" t="str">
        <f ca="1">IFERROR(__xludf.DUMMYFUNCTION("""COMPUTED_VALUE"""),"Aesculus carnea 'Ft. McNair'")</f>
        <v>Aesculus carnea 'Ft. McNair'</v>
      </c>
      <c r="B22" s="36">
        <f ca="1">IFERROR(__xludf.DUMMYFUNCTION("""COMPUTED_VALUE"""),15)</f>
        <v>15</v>
      </c>
      <c r="C22" s="36" t="str">
        <f ca="1">IFERROR(__xludf.DUMMYFUNCTION("""COMPUTED_VALUE"""),"Ft. McNair Horsechestnut")</f>
        <v>Ft. McNair Horsechestnut</v>
      </c>
      <c r="D22" s="36" t="str">
        <f ca="1">IFERROR(__xludf.DUMMYFUNCTION("""COMPUTED_VALUE"""),"#15")</f>
        <v>#15</v>
      </c>
      <c r="E22" s="37" t="str">
        <f ca="1">IFERROR(__xludf.DUMMYFUNCTION("""COMPUTED_VALUE"""),"1.25-1.5""")</f>
        <v>1.25-1.5"</v>
      </c>
      <c r="F22" s="36" t="str">
        <f ca="1">IFERROR(__xludf.DUMMYFUNCTION("""COMPUTED_VALUE"""),"8-9'")</f>
        <v>8-9'</v>
      </c>
      <c r="G22" s="38">
        <f ca="1">IFERROR(__xludf.DUMMYFUNCTION("""COMPUTED_VALUE"""),1)</f>
        <v>1</v>
      </c>
      <c r="H22" s="36">
        <f ca="1">IFERROR(__xludf.DUMMYFUNCTION("""COMPUTED_VALUE"""),0)</f>
        <v>0</v>
      </c>
      <c r="I22" s="39">
        <f ca="1">IFERROR(__xludf.DUMMYFUNCTION("""COMPUTED_VALUE"""),135)</f>
        <v>135</v>
      </c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</row>
    <row r="23" spans="1:26">
      <c r="A23" s="36" t="str">
        <f ca="1">IFERROR(__xludf.DUMMYFUNCTION("""COMPUTED_VALUE"""),"Aesculus carnea 'Ft. McNair'")</f>
        <v>Aesculus carnea 'Ft. McNair'</v>
      </c>
      <c r="B23" s="36">
        <f ca="1">IFERROR(__xludf.DUMMYFUNCTION("""COMPUTED_VALUE"""),25)</f>
        <v>25</v>
      </c>
      <c r="C23" s="36" t="str">
        <f ca="1">IFERROR(__xludf.DUMMYFUNCTION("""COMPUTED_VALUE"""),"Ft. McNair Horsechestnut")</f>
        <v>Ft. McNair Horsechestnut</v>
      </c>
      <c r="D23" s="36" t="str">
        <f ca="1">IFERROR(__xludf.DUMMYFUNCTION("""COMPUTED_VALUE"""),"#25")</f>
        <v>#25</v>
      </c>
      <c r="E23" s="37" t="str">
        <f ca="1">IFERROR(__xludf.DUMMYFUNCTION("""COMPUTED_VALUE"""),"1.25-1.5""")</f>
        <v>1.25-1.5"</v>
      </c>
      <c r="F23" s="36" t="str">
        <f ca="1">IFERROR(__xludf.DUMMYFUNCTION("""COMPUTED_VALUE"""),"8-9'")</f>
        <v>8-9'</v>
      </c>
      <c r="G23" s="38">
        <f ca="1">IFERROR(__xludf.DUMMYFUNCTION("""COMPUTED_VALUE"""),1)</f>
        <v>1</v>
      </c>
      <c r="H23" s="36">
        <f ca="1">IFERROR(__xludf.DUMMYFUNCTION("""COMPUTED_VALUE"""),0)</f>
        <v>0</v>
      </c>
      <c r="I23" s="39">
        <f ca="1">IFERROR(__xludf.DUMMYFUNCTION("""COMPUTED_VALUE"""),150)</f>
        <v>150</v>
      </c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</row>
    <row r="24" spans="1:26">
      <c r="A24" s="36" t="str">
        <f ca="1">IFERROR(__xludf.DUMMYFUNCTION("""COMPUTED_VALUE"""),"Aesculus hippocastanum")</f>
        <v>Aesculus hippocastanum</v>
      </c>
      <c r="B24" s="36">
        <f ca="1">IFERROR(__xludf.DUMMYFUNCTION("""COMPUTED_VALUE"""),5)</f>
        <v>5</v>
      </c>
      <c r="C24" s="36" t="str">
        <f ca="1">IFERROR(__xludf.DUMMYFUNCTION("""COMPUTED_VALUE"""),"European Horsechestnut")</f>
        <v>European Horsechestnut</v>
      </c>
      <c r="D24" s="36" t="str">
        <f ca="1">IFERROR(__xludf.DUMMYFUNCTION("""COMPUTED_VALUE"""),"#5")</f>
        <v>#5</v>
      </c>
      <c r="E24" s="37" t="str">
        <f ca="1">IFERROR(__xludf.DUMMYFUNCTION("""COMPUTED_VALUE"""),"1-1.25""")</f>
        <v>1-1.25"</v>
      </c>
      <c r="F24" s="36" t="str">
        <f ca="1">IFERROR(__xludf.DUMMYFUNCTION("""COMPUTED_VALUE"""),"4-5'")</f>
        <v>4-5'</v>
      </c>
      <c r="G24" s="38">
        <f ca="1">IFERROR(__xludf.DUMMYFUNCTION("""COMPUTED_VALUE"""),27)</f>
        <v>27</v>
      </c>
      <c r="H24" s="36">
        <f ca="1">IFERROR(__xludf.DUMMYFUNCTION("""COMPUTED_VALUE"""),0)</f>
        <v>0</v>
      </c>
      <c r="I24" s="39">
        <f ca="1">IFERROR(__xludf.DUMMYFUNCTION("""COMPUTED_VALUE"""),40)</f>
        <v>40</v>
      </c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</row>
    <row r="25" spans="1:26">
      <c r="A25" s="36" t="str">
        <f ca="1">IFERROR(__xludf.DUMMYFUNCTION("""COMPUTED_VALUE"""),"Aesculus parviflora")</f>
        <v>Aesculus parviflora</v>
      </c>
      <c r="B25" s="36">
        <f ca="1">IFERROR(__xludf.DUMMYFUNCTION("""COMPUTED_VALUE"""),5)</f>
        <v>5</v>
      </c>
      <c r="C25" s="36" t="str">
        <f ca="1">IFERROR(__xludf.DUMMYFUNCTION("""COMPUTED_VALUE"""),"Bottlebrush Buckeye")</f>
        <v>Bottlebrush Buckeye</v>
      </c>
      <c r="D25" s="36" t="str">
        <f ca="1">IFERROR(__xludf.DUMMYFUNCTION("""COMPUTED_VALUE"""),"#5")</f>
        <v>#5</v>
      </c>
      <c r="E25" s="37" t="str">
        <f ca="1">IFERROR(__xludf.DUMMYFUNCTION("""COMPUTED_VALUE"""),"0.25-0.25""")</f>
        <v>0.25-0.25"</v>
      </c>
      <c r="F25" s="36" t="str">
        <f ca="1">IFERROR(__xludf.DUMMYFUNCTION("""COMPUTED_VALUE"""),"1-2'")</f>
        <v>1-2'</v>
      </c>
      <c r="G25" s="38">
        <f ca="1">IFERROR(__xludf.DUMMYFUNCTION("""COMPUTED_VALUE"""),8)</f>
        <v>8</v>
      </c>
      <c r="H25" s="36">
        <f ca="1">IFERROR(__xludf.DUMMYFUNCTION("""COMPUTED_VALUE"""),100)</f>
        <v>100</v>
      </c>
      <c r="I25" s="39">
        <f ca="1">IFERROR(__xludf.DUMMYFUNCTION("""COMPUTED_VALUE"""),50)</f>
        <v>50</v>
      </c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</row>
    <row r="26" spans="1:26">
      <c r="A26" s="36" t="str">
        <f ca="1">IFERROR(__xludf.DUMMYFUNCTION("""COMPUTED_VALUE"""),"Aesculus parviflora")</f>
        <v>Aesculus parviflora</v>
      </c>
      <c r="B26" s="36">
        <f ca="1">IFERROR(__xludf.DUMMYFUNCTION("""COMPUTED_VALUE"""),5)</f>
        <v>5</v>
      </c>
      <c r="C26" s="36" t="str">
        <f ca="1">IFERROR(__xludf.DUMMYFUNCTION("""COMPUTED_VALUE"""),"Bottlebrush Buckeye")</f>
        <v>Bottlebrush Buckeye</v>
      </c>
      <c r="D26" s="36" t="str">
        <f ca="1">IFERROR(__xludf.DUMMYFUNCTION("""COMPUTED_VALUE"""),"#5")</f>
        <v>#5</v>
      </c>
      <c r="E26" s="37" t="str">
        <f ca="1">IFERROR(__xludf.DUMMYFUNCTION("""COMPUTED_VALUE"""),"0.38-0.25""")</f>
        <v>0.38-0.25"</v>
      </c>
      <c r="F26" s="36" t="str">
        <f ca="1">IFERROR(__xludf.DUMMYFUNCTION("""COMPUTED_VALUE"""),"1-2'")</f>
        <v>1-2'</v>
      </c>
      <c r="G26" s="38">
        <f ca="1">IFERROR(__xludf.DUMMYFUNCTION("""COMPUTED_VALUE"""),0)</f>
        <v>0</v>
      </c>
      <c r="H26" s="36">
        <f ca="1">IFERROR(__xludf.DUMMYFUNCTION("""COMPUTED_VALUE"""),100)</f>
        <v>100</v>
      </c>
      <c r="I26" s="39">
        <f ca="1">IFERROR(__xludf.DUMMYFUNCTION("""COMPUTED_VALUE"""),50)</f>
        <v>50</v>
      </c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</row>
    <row r="27" spans="1:26">
      <c r="A27" s="36" t="str">
        <f ca="1">IFERROR(__xludf.DUMMYFUNCTION("""COMPUTED_VALUE"""),"Aesculus parviflora")</f>
        <v>Aesculus parviflora</v>
      </c>
      <c r="B27" s="36">
        <f ca="1">IFERROR(__xludf.DUMMYFUNCTION("""COMPUTED_VALUE"""),7)</f>
        <v>7</v>
      </c>
      <c r="C27" s="36" t="str">
        <f ca="1">IFERROR(__xludf.DUMMYFUNCTION("""COMPUTED_VALUE"""),"Bottlebrush Buckeye")</f>
        <v>Bottlebrush Buckeye</v>
      </c>
      <c r="D27" s="36" t="str">
        <f ca="1">IFERROR(__xludf.DUMMYFUNCTION("""COMPUTED_VALUE"""),"#7p")</f>
        <v>#7p</v>
      </c>
      <c r="E27" s="37" t="str">
        <f ca="1">IFERROR(__xludf.DUMMYFUNCTION("""COMPUTED_VALUE"""),"0.5-0.75""")</f>
        <v>0.5-0.75"</v>
      </c>
      <c r="F27" s="36" t="str">
        <f ca="1">IFERROR(__xludf.DUMMYFUNCTION("""COMPUTED_VALUE"""),"4-5'")</f>
        <v>4-5'</v>
      </c>
      <c r="G27" s="38">
        <f ca="1">IFERROR(__xludf.DUMMYFUNCTION("""COMPUTED_VALUE"""),0)</f>
        <v>0</v>
      </c>
      <c r="H27" s="36">
        <f ca="1">IFERROR(__xludf.DUMMYFUNCTION("""COMPUTED_VALUE"""),10)</f>
        <v>10</v>
      </c>
      <c r="I27" s="39">
        <f ca="1">IFERROR(__xludf.DUMMYFUNCTION("""COMPUTED_VALUE"""),60)</f>
        <v>60</v>
      </c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</row>
    <row r="28" spans="1:26">
      <c r="A28" s="36" t="str">
        <f ca="1">IFERROR(__xludf.DUMMYFUNCTION("""COMPUTED_VALUE"""),"Aesculus pavia")</f>
        <v>Aesculus pavia</v>
      </c>
      <c r="B28" s="36">
        <f ca="1">IFERROR(__xludf.DUMMYFUNCTION("""COMPUTED_VALUE"""),5)</f>
        <v>5</v>
      </c>
      <c r="C28" s="36" t="str">
        <f ca="1">IFERROR(__xludf.DUMMYFUNCTION("""COMPUTED_VALUE"""),"Red Buckeye")</f>
        <v>Red Buckeye</v>
      </c>
      <c r="D28" s="36" t="str">
        <f ca="1">IFERROR(__xludf.DUMMYFUNCTION("""COMPUTED_VALUE"""),"#5")</f>
        <v>#5</v>
      </c>
      <c r="E28" s="37" t="str">
        <f ca="1">IFERROR(__xludf.DUMMYFUNCTION("""COMPUTED_VALUE"""),"0.25-0.5""")</f>
        <v>0.25-0.5"</v>
      </c>
      <c r="F28" s="36" t="str">
        <f ca="1">IFERROR(__xludf.DUMMYFUNCTION("""COMPUTED_VALUE"""),"1-3'")</f>
        <v>1-3'</v>
      </c>
      <c r="G28" s="38">
        <f ca="1">IFERROR(__xludf.DUMMYFUNCTION("""COMPUTED_VALUE"""),6)</f>
        <v>6</v>
      </c>
      <c r="H28" s="36">
        <f ca="1">IFERROR(__xludf.DUMMYFUNCTION("""COMPUTED_VALUE"""),50)</f>
        <v>50</v>
      </c>
      <c r="I28" s="39">
        <f ca="1">IFERROR(__xludf.DUMMYFUNCTION("""COMPUTED_VALUE"""),45)</f>
        <v>45</v>
      </c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</row>
    <row r="29" spans="1:26">
      <c r="A29" s="36" t="str">
        <f ca="1">IFERROR(__xludf.DUMMYFUNCTION("""COMPUTED_VALUE"""),"Albizia julibrissin 'E.H.Wilson'")</f>
        <v>Albizia julibrissin 'E.H.Wilson'</v>
      </c>
      <c r="B29" s="36">
        <f ca="1">IFERROR(__xludf.DUMMYFUNCTION("""COMPUTED_VALUE"""),5)</f>
        <v>5</v>
      </c>
      <c r="C29" s="36" t="str">
        <f ca="1">IFERROR(__xludf.DUMMYFUNCTION("""COMPUTED_VALUE"""),"Cold Hardy Mimosa")</f>
        <v>Cold Hardy Mimosa</v>
      </c>
      <c r="D29" s="36" t="str">
        <f ca="1">IFERROR(__xludf.DUMMYFUNCTION("""COMPUTED_VALUE"""),"#5")</f>
        <v>#5</v>
      </c>
      <c r="E29" s="40" t="str">
        <f ca="1">IFERROR(__xludf.DUMMYFUNCTION("""COMPUTED_VALUE"""),"Multi")</f>
        <v>Multi</v>
      </c>
      <c r="F29" s="36" t="str">
        <f ca="1">IFERROR(__xludf.DUMMYFUNCTION("""COMPUTED_VALUE"""),"3-4'")</f>
        <v>3-4'</v>
      </c>
      <c r="G29" s="38">
        <f ca="1">IFERROR(__xludf.DUMMYFUNCTION("""COMPUTED_VALUE"""),17)</f>
        <v>17</v>
      </c>
      <c r="H29" s="36">
        <f ca="1">IFERROR(__xludf.DUMMYFUNCTION("""COMPUTED_VALUE"""),0)</f>
        <v>0</v>
      </c>
      <c r="I29" s="39">
        <f ca="1">IFERROR(__xludf.DUMMYFUNCTION("""COMPUTED_VALUE"""),35)</f>
        <v>35</v>
      </c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</row>
    <row r="30" spans="1:26">
      <c r="A30" s="36" t="str">
        <f ca="1">IFERROR(__xludf.DUMMYFUNCTION("""COMPUTED_VALUE"""),"Amelanchier canadensis")</f>
        <v>Amelanchier canadensis</v>
      </c>
      <c r="B30" s="36">
        <f ca="1">IFERROR(__xludf.DUMMYFUNCTION("""COMPUTED_VALUE"""),15)</f>
        <v>15</v>
      </c>
      <c r="C30" s="36" t="str">
        <f ca="1">IFERROR(__xludf.DUMMYFUNCTION("""COMPUTED_VALUE"""),"Canadensis Serviceberry")</f>
        <v>Canadensis Serviceberry</v>
      </c>
      <c r="D30" s="36" t="str">
        <f ca="1">IFERROR(__xludf.DUMMYFUNCTION("""COMPUTED_VALUE"""),"#15")</f>
        <v>#15</v>
      </c>
      <c r="E30" s="40" t="str">
        <f ca="1">IFERROR(__xludf.DUMMYFUNCTION("""COMPUTED_VALUE"""),"Multi")</f>
        <v>Multi</v>
      </c>
      <c r="F30" s="36" t="str">
        <f ca="1">IFERROR(__xludf.DUMMYFUNCTION("""COMPUTED_VALUE"""),"6-7'")</f>
        <v>6-7'</v>
      </c>
      <c r="G30" s="38">
        <f ca="1">IFERROR(__xludf.DUMMYFUNCTION("""COMPUTED_VALUE"""),10)</f>
        <v>10</v>
      </c>
      <c r="H30" s="36">
        <f ca="1">IFERROR(__xludf.DUMMYFUNCTION("""COMPUTED_VALUE"""),0)</f>
        <v>0</v>
      </c>
      <c r="I30" s="39">
        <f ca="1">IFERROR(__xludf.DUMMYFUNCTION("""COMPUTED_VALUE"""),110)</f>
        <v>110</v>
      </c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 spans="1:26">
      <c r="A31" s="36" t="str">
        <f ca="1">IFERROR(__xludf.DUMMYFUNCTION("""COMPUTED_VALUE"""),"Amelanchier grandiflora 'Autumn Brilliance'")</f>
        <v>Amelanchier grandiflora 'Autumn Brilliance'</v>
      </c>
      <c r="B31" s="36">
        <f ca="1">IFERROR(__xludf.DUMMYFUNCTION("""COMPUTED_VALUE"""),5)</f>
        <v>5</v>
      </c>
      <c r="C31" s="36" t="str">
        <f ca="1">IFERROR(__xludf.DUMMYFUNCTION("""COMPUTED_VALUE"""),"Autumn Brillance Serviceberry")</f>
        <v>Autumn Brillance Serviceberry</v>
      </c>
      <c r="D31" s="36" t="str">
        <f ca="1">IFERROR(__xludf.DUMMYFUNCTION("""COMPUTED_VALUE"""),"#5")</f>
        <v>#5</v>
      </c>
      <c r="E31" s="37" t="str">
        <f ca="1">IFERROR(__xludf.DUMMYFUNCTION("""COMPUTED_VALUE"""),"0.25-0.5""")</f>
        <v>0.25-0.5"</v>
      </c>
      <c r="F31" s="36" t="str">
        <f ca="1">IFERROR(__xludf.DUMMYFUNCTION("""COMPUTED_VALUE"""),"5-6'")</f>
        <v>5-6'</v>
      </c>
      <c r="G31" s="38">
        <f ca="1">IFERROR(__xludf.DUMMYFUNCTION("""COMPUTED_VALUE"""),0)</f>
        <v>0</v>
      </c>
      <c r="H31" s="36">
        <f ca="1">IFERROR(__xludf.DUMMYFUNCTION("""COMPUTED_VALUE"""),50)</f>
        <v>50</v>
      </c>
      <c r="I31" s="39">
        <f ca="1">IFERROR(__xludf.DUMMYFUNCTION("""COMPUTED_VALUE"""),35)</f>
        <v>35</v>
      </c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</row>
    <row r="32" spans="1:26">
      <c r="A32" s="36" t="str">
        <f ca="1">IFERROR(__xludf.DUMMYFUNCTION("""COMPUTED_VALUE"""),"Amelanchier laevis")</f>
        <v>Amelanchier laevis</v>
      </c>
      <c r="B32" s="36">
        <f ca="1">IFERROR(__xludf.DUMMYFUNCTION("""COMPUTED_VALUE"""),5)</f>
        <v>5</v>
      </c>
      <c r="C32" s="36" t="str">
        <f ca="1">IFERROR(__xludf.DUMMYFUNCTION("""COMPUTED_VALUE"""),"Allegheny Serviceberry")</f>
        <v>Allegheny Serviceberry</v>
      </c>
      <c r="D32" s="36" t="str">
        <f ca="1">IFERROR(__xludf.DUMMYFUNCTION("""COMPUTED_VALUE"""),"#5")</f>
        <v>#5</v>
      </c>
      <c r="E32" s="37" t="str">
        <f ca="1">IFERROR(__xludf.DUMMYFUNCTION("""COMPUTED_VALUE"""),"0.25-0.75""")</f>
        <v>0.25-0.75"</v>
      </c>
      <c r="F32" s="36" t="str">
        <f ca="1">IFERROR(__xludf.DUMMYFUNCTION("""COMPUTED_VALUE"""),"5-7'")</f>
        <v>5-7'</v>
      </c>
      <c r="G32" s="38">
        <f ca="1">IFERROR(__xludf.DUMMYFUNCTION("""COMPUTED_VALUE"""),92)</f>
        <v>92</v>
      </c>
      <c r="H32" s="36">
        <f ca="1">IFERROR(__xludf.DUMMYFUNCTION("""COMPUTED_VALUE"""),0)</f>
        <v>0</v>
      </c>
      <c r="I32" s="39">
        <f ca="1">IFERROR(__xludf.DUMMYFUNCTION("""COMPUTED_VALUE"""),35)</f>
        <v>35</v>
      </c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</row>
    <row r="33" spans="1:26">
      <c r="A33" s="36" t="str">
        <f ca="1">IFERROR(__xludf.DUMMYFUNCTION("""COMPUTED_VALUE"""),"Amelanchier lamarckii")</f>
        <v>Amelanchier lamarckii</v>
      </c>
      <c r="B33" s="36">
        <f ca="1">IFERROR(__xludf.DUMMYFUNCTION("""COMPUTED_VALUE"""),5)</f>
        <v>5</v>
      </c>
      <c r="C33" s="36" t="str">
        <f ca="1">IFERROR(__xludf.DUMMYFUNCTION("""COMPUTED_VALUE"""),"Lamarckii Serviceberry")</f>
        <v>Lamarckii Serviceberry</v>
      </c>
      <c r="D33" s="36" t="str">
        <f ca="1">IFERROR(__xludf.DUMMYFUNCTION("""COMPUTED_VALUE"""),"#5")</f>
        <v>#5</v>
      </c>
      <c r="E33" s="37" t="str">
        <f ca="1">IFERROR(__xludf.DUMMYFUNCTION("""COMPUTED_VALUE"""),"0.125-0.125""")</f>
        <v>0.125-0.125"</v>
      </c>
      <c r="F33" s="36" t="str">
        <f ca="1">IFERROR(__xludf.DUMMYFUNCTION("""COMPUTED_VALUE"""),"2-8'")</f>
        <v>2-8'</v>
      </c>
      <c r="G33" s="38">
        <f ca="1">IFERROR(__xludf.DUMMYFUNCTION("""COMPUTED_VALUE"""),55)</f>
        <v>55</v>
      </c>
      <c r="H33" s="36">
        <f ca="1">IFERROR(__xludf.DUMMYFUNCTION("""COMPUTED_VALUE"""),0)</f>
        <v>0</v>
      </c>
      <c r="I33" s="39">
        <f ca="1">IFERROR(__xludf.DUMMYFUNCTION("""COMPUTED_VALUE"""),35)</f>
        <v>35</v>
      </c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</row>
    <row r="34" spans="1:26">
      <c r="A34" s="36" t="str">
        <f ca="1">IFERROR(__xludf.DUMMYFUNCTION("""COMPUTED_VALUE"""),"Amelanchier lamarckii")</f>
        <v>Amelanchier lamarckii</v>
      </c>
      <c r="B34" s="36">
        <f ca="1">IFERROR(__xludf.DUMMYFUNCTION("""COMPUTED_VALUE"""),5)</f>
        <v>5</v>
      </c>
      <c r="C34" s="36" t="str">
        <f ca="1">IFERROR(__xludf.DUMMYFUNCTION("""COMPUTED_VALUE"""),"Lamarckii Serviceberry")</f>
        <v>Lamarckii Serviceberry</v>
      </c>
      <c r="D34" s="36" t="str">
        <f ca="1">IFERROR(__xludf.DUMMYFUNCTION("""COMPUTED_VALUE"""),"#5")</f>
        <v>#5</v>
      </c>
      <c r="E34" s="37" t="str">
        <f ca="1">IFERROR(__xludf.DUMMYFUNCTION("""COMPUTED_VALUE"""),"Multi")</f>
        <v>Multi</v>
      </c>
      <c r="F34" s="36" t="str">
        <f ca="1">IFERROR(__xludf.DUMMYFUNCTION("""COMPUTED_VALUE"""),"2-8'")</f>
        <v>2-8'</v>
      </c>
      <c r="G34" s="38">
        <f ca="1">IFERROR(__xludf.DUMMYFUNCTION("""COMPUTED_VALUE"""),168)</f>
        <v>168</v>
      </c>
      <c r="H34" s="36">
        <f ca="1">IFERROR(__xludf.DUMMYFUNCTION("""COMPUTED_VALUE"""),0)</f>
        <v>0</v>
      </c>
      <c r="I34" s="39">
        <f ca="1">IFERROR(__xludf.DUMMYFUNCTION("""COMPUTED_VALUE"""),35)</f>
        <v>35</v>
      </c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</row>
    <row r="35" spans="1:26">
      <c r="A35" s="36" t="str">
        <f ca="1">IFERROR(__xludf.DUMMYFUNCTION("""COMPUTED_VALUE"""),"Aronia melanocarpa")</f>
        <v>Aronia melanocarpa</v>
      </c>
      <c r="B35" s="36">
        <f ca="1">IFERROR(__xludf.DUMMYFUNCTION("""COMPUTED_VALUE"""),5)</f>
        <v>5</v>
      </c>
      <c r="C35" s="36" t="str">
        <f ca="1">IFERROR(__xludf.DUMMYFUNCTION("""COMPUTED_VALUE"""),"Black Chokeberry")</f>
        <v>Black Chokeberry</v>
      </c>
      <c r="D35" s="36" t="str">
        <f ca="1">IFERROR(__xludf.DUMMYFUNCTION("""COMPUTED_VALUE"""),"#5")</f>
        <v>#5</v>
      </c>
      <c r="E35" s="37" t="str">
        <f ca="1">IFERROR(__xludf.DUMMYFUNCTION("""COMPUTED_VALUE"""),"Multi")</f>
        <v>Multi</v>
      </c>
      <c r="F35" s="36" t="str">
        <f ca="1">IFERROR(__xludf.DUMMYFUNCTION("""COMPUTED_VALUE"""),"3-4'")</f>
        <v>3-4'</v>
      </c>
      <c r="G35" s="38">
        <f ca="1">IFERROR(__xludf.DUMMYFUNCTION("""COMPUTED_VALUE"""),29)</f>
        <v>29</v>
      </c>
      <c r="H35" s="36">
        <f ca="1">IFERROR(__xludf.DUMMYFUNCTION("""COMPUTED_VALUE"""),100)</f>
        <v>100</v>
      </c>
      <c r="I35" s="39">
        <f ca="1">IFERROR(__xludf.DUMMYFUNCTION("""COMPUTED_VALUE"""),30)</f>
        <v>30</v>
      </c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</row>
    <row r="36" spans="1:26">
      <c r="A36" s="36" t="str">
        <f ca="1">IFERROR(__xludf.DUMMYFUNCTION("""COMPUTED_VALUE"""),"Aronia melanocarpa 'Viking'")</f>
        <v>Aronia melanocarpa 'Viking'</v>
      </c>
      <c r="B36" s="36">
        <f ca="1">IFERROR(__xludf.DUMMYFUNCTION("""COMPUTED_VALUE"""),5)</f>
        <v>5</v>
      </c>
      <c r="C36" s="36" t="str">
        <f ca="1">IFERROR(__xludf.DUMMYFUNCTION("""COMPUTED_VALUE"""),"Viking Black Chokeberry")</f>
        <v>Viking Black Chokeberry</v>
      </c>
      <c r="D36" s="36" t="str">
        <f ca="1">IFERROR(__xludf.DUMMYFUNCTION("""COMPUTED_VALUE"""),"#5")</f>
        <v>#5</v>
      </c>
      <c r="E36" s="37" t="str">
        <f ca="1">IFERROR(__xludf.DUMMYFUNCTION("""COMPUTED_VALUE"""),"Multi")</f>
        <v>Multi</v>
      </c>
      <c r="F36" s="36" t="str">
        <f ca="1">IFERROR(__xludf.DUMMYFUNCTION("""COMPUTED_VALUE"""),"1-2'")</f>
        <v>1-2'</v>
      </c>
      <c r="G36" s="38">
        <f ca="1">IFERROR(__xludf.DUMMYFUNCTION("""COMPUTED_VALUE"""),0)</f>
        <v>0</v>
      </c>
      <c r="H36" s="36">
        <f ca="1">IFERROR(__xludf.DUMMYFUNCTION("""COMPUTED_VALUE"""),72)</f>
        <v>72</v>
      </c>
      <c r="I36" s="39">
        <f ca="1">IFERROR(__xludf.DUMMYFUNCTION("""COMPUTED_VALUE"""),30)</f>
        <v>30</v>
      </c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</row>
    <row r="37" spans="1:26">
      <c r="A37" s="36" t="str">
        <f ca="1">IFERROR(__xludf.DUMMYFUNCTION("""COMPUTED_VALUE"""),"Asimina triloba")</f>
        <v>Asimina triloba</v>
      </c>
      <c r="B37" s="36">
        <f ca="1">IFERROR(__xludf.DUMMYFUNCTION("""COMPUTED_VALUE"""),5)</f>
        <v>5</v>
      </c>
      <c r="C37" s="36" t="str">
        <f ca="1">IFERROR(__xludf.DUMMYFUNCTION("""COMPUTED_VALUE"""),"Pawpaw")</f>
        <v>Pawpaw</v>
      </c>
      <c r="D37" s="36" t="str">
        <f ca="1">IFERROR(__xludf.DUMMYFUNCTION("""COMPUTED_VALUE"""),"#5")</f>
        <v>#5</v>
      </c>
      <c r="E37" s="37" t="str">
        <f ca="1">IFERROR(__xludf.DUMMYFUNCTION("""COMPUTED_VALUE"""),"0.375-0.5""")</f>
        <v>0.375-0.5"</v>
      </c>
      <c r="F37" s="36" t="str">
        <f ca="1">IFERROR(__xludf.DUMMYFUNCTION("""COMPUTED_VALUE"""),"0.5-1'")</f>
        <v>0.5-1'</v>
      </c>
      <c r="G37" s="38">
        <f ca="1">IFERROR(__xludf.DUMMYFUNCTION("""COMPUTED_VALUE"""),1)</f>
        <v>1</v>
      </c>
      <c r="H37" s="36">
        <f ca="1">IFERROR(__xludf.DUMMYFUNCTION("""COMPUTED_VALUE"""),200)</f>
        <v>200</v>
      </c>
      <c r="I37" s="39">
        <f ca="1">IFERROR(__xludf.DUMMYFUNCTION("""COMPUTED_VALUE"""),35)</f>
        <v>35</v>
      </c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</row>
    <row r="38" spans="1:26">
      <c r="A38" s="36" t="str">
        <f ca="1">IFERROR(__xludf.DUMMYFUNCTION("""COMPUTED_VALUE"""),"Betula nigra")</f>
        <v>Betula nigra</v>
      </c>
      <c r="B38" s="36">
        <f ca="1">IFERROR(__xludf.DUMMYFUNCTION("""COMPUTED_VALUE"""),5)</f>
        <v>5</v>
      </c>
      <c r="C38" s="36" t="str">
        <f ca="1">IFERROR(__xludf.DUMMYFUNCTION("""COMPUTED_VALUE"""),"River Birch")</f>
        <v>River Birch</v>
      </c>
      <c r="D38" s="36" t="str">
        <f ca="1">IFERROR(__xludf.DUMMYFUNCTION("""COMPUTED_VALUE"""),"#5")</f>
        <v>#5</v>
      </c>
      <c r="E38" s="37" t="str">
        <f ca="1">IFERROR(__xludf.DUMMYFUNCTION("""COMPUTED_VALUE"""),"1-1.25""")</f>
        <v>1-1.25"</v>
      </c>
      <c r="F38" s="36" t="str">
        <f ca="1">IFERROR(__xludf.DUMMYFUNCTION("""COMPUTED_VALUE"""),"5-8'")</f>
        <v>5-8'</v>
      </c>
      <c r="G38" s="38">
        <f ca="1">IFERROR(__xludf.DUMMYFUNCTION("""COMPUTED_VALUE"""),8)</f>
        <v>8</v>
      </c>
      <c r="H38" s="36">
        <f ca="1">IFERROR(__xludf.DUMMYFUNCTION("""COMPUTED_VALUE"""),200)</f>
        <v>200</v>
      </c>
      <c r="I38" s="39">
        <f ca="1">IFERROR(__xludf.DUMMYFUNCTION("""COMPUTED_VALUE"""),35)</f>
        <v>35</v>
      </c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</row>
    <row r="39" spans="1:26">
      <c r="A39" s="36" t="str">
        <f ca="1">IFERROR(__xludf.DUMMYFUNCTION("""COMPUTED_VALUE"""),"Betula nigra")</f>
        <v>Betula nigra</v>
      </c>
      <c r="B39" s="36">
        <f ca="1">IFERROR(__xludf.DUMMYFUNCTION("""COMPUTED_VALUE"""),7)</f>
        <v>7</v>
      </c>
      <c r="C39" s="36" t="str">
        <f ca="1">IFERROR(__xludf.DUMMYFUNCTION("""COMPUTED_VALUE"""),"River Birch")</f>
        <v>River Birch</v>
      </c>
      <c r="D39" s="36" t="str">
        <f ca="1">IFERROR(__xludf.DUMMYFUNCTION("""COMPUTED_VALUE"""),"#7")</f>
        <v>#7</v>
      </c>
      <c r="E39" s="37" t="str">
        <f ca="1">IFERROR(__xludf.DUMMYFUNCTION("""COMPUTED_VALUE"""),"0.25-0.5""")</f>
        <v>0.25-0.5"</v>
      </c>
      <c r="F39" s="36" t="str">
        <f ca="1">IFERROR(__xludf.DUMMYFUNCTION("""COMPUTED_VALUE"""),"4-5'")</f>
        <v>4-5'</v>
      </c>
      <c r="G39" s="38">
        <f ca="1">IFERROR(__xludf.DUMMYFUNCTION("""COMPUTED_VALUE"""),101)</f>
        <v>101</v>
      </c>
      <c r="H39" s="36">
        <f ca="1">IFERROR(__xludf.DUMMYFUNCTION("""COMPUTED_VALUE"""),0)</f>
        <v>0</v>
      </c>
      <c r="I39" s="39">
        <f ca="1">IFERROR(__xludf.DUMMYFUNCTION("""COMPUTED_VALUE"""),40)</f>
        <v>40</v>
      </c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</row>
    <row r="40" spans="1:26">
      <c r="A40" s="36" t="str">
        <f ca="1">IFERROR(__xludf.DUMMYFUNCTION("""COMPUTED_VALUE"""),"Betula nigra")</f>
        <v>Betula nigra</v>
      </c>
      <c r="B40" s="36">
        <f ca="1">IFERROR(__xludf.DUMMYFUNCTION("""COMPUTED_VALUE"""),15)</f>
        <v>15</v>
      </c>
      <c r="C40" s="36" t="str">
        <f ca="1">IFERROR(__xludf.DUMMYFUNCTION("""COMPUTED_VALUE"""),"River Birch")</f>
        <v>River Birch</v>
      </c>
      <c r="D40" s="36" t="str">
        <f ca="1">IFERROR(__xludf.DUMMYFUNCTION("""COMPUTED_VALUE"""),"#15")</f>
        <v>#15</v>
      </c>
      <c r="E40" s="40" t="str">
        <f ca="1">IFERROR(__xludf.DUMMYFUNCTION("""COMPUTED_VALUE"""),"Multi")</f>
        <v>Multi</v>
      </c>
      <c r="F40" s="36" t="str">
        <f ca="1">IFERROR(__xludf.DUMMYFUNCTION("""COMPUTED_VALUE"""),"3-11'")</f>
        <v>3-11'</v>
      </c>
      <c r="G40" s="38">
        <f ca="1">IFERROR(__xludf.DUMMYFUNCTION("""COMPUTED_VALUE"""),20)</f>
        <v>20</v>
      </c>
      <c r="H40" s="36">
        <f ca="1">IFERROR(__xludf.DUMMYFUNCTION("""COMPUTED_VALUE"""),10)</f>
        <v>10</v>
      </c>
      <c r="I40" s="39">
        <f ca="1">IFERROR(__xludf.DUMMYFUNCTION("""COMPUTED_VALUE"""),110)</f>
        <v>110</v>
      </c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</row>
    <row r="41" spans="1:26">
      <c r="A41" s="36" t="str">
        <f ca="1">IFERROR(__xludf.DUMMYFUNCTION("""COMPUTED_VALUE"""),"Betula papyrifera")</f>
        <v>Betula papyrifera</v>
      </c>
      <c r="B41" s="36">
        <f ca="1">IFERROR(__xludf.DUMMYFUNCTION("""COMPUTED_VALUE"""),5)</f>
        <v>5</v>
      </c>
      <c r="C41" s="36" t="str">
        <f ca="1">IFERROR(__xludf.DUMMYFUNCTION("""COMPUTED_VALUE"""),"Paper Birch")</f>
        <v>Paper Birch</v>
      </c>
      <c r="D41" s="36" t="str">
        <f ca="1">IFERROR(__xludf.DUMMYFUNCTION("""COMPUTED_VALUE"""),"#5")</f>
        <v>#5</v>
      </c>
      <c r="E41" s="37" t="str">
        <f ca="1">IFERROR(__xludf.DUMMYFUNCTION("""COMPUTED_VALUE"""),"0.38-0.25""")</f>
        <v>0.38-0.25"</v>
      </c>
      <c r="F41" s="36" t="str">
        <f ca="1">IFERROR(__xludf.DUMMYFUNCTION("""COMPUTED_VALUE"""),"1-2'")</f>
        <v>1-2'</v>
      </c>
      <c r="G41" s="38">
        <f ca="1">IFERROR(__xludf.DUMMYFUNCTION("""COMPUTED_VALUE"""),0)</f>
        <v>0</v>
      </c>
      <c r="H41" s="36">
        <f ca="1">IFERROR(__xludf.DUMMYFUNCTION("""COMPUTED_VALUE"""),50)</f>
        <v>50</v>
      </c>
      <c r="I41" s="39">
        <f ca="1">IFERROR(__xludf.DUMMYFUNCTION("""COMPUTED_VALUE"""),35)</f>
        <v>35</v>
      </c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</row>
    <row r="42" spans="1:26">
      <c r="A42" s="36" t="str">
        <f ca="1">IFERROR(__xludf.DUMMYFUNCTION("""COMPUTED_VALUE"""),"Betula pendula")</f>
        <v>Betula pendula</v>
      </c>
      <c r="B42" s="36">
        <f ca="1">IFERROR(__xludf.DUMMYFUNCTION("""COMPUTED_VALUE"""),5)</f>
        <v>5</v>
      </c>
      <c r="C42" s="36" t="str">
        <f ca="1">IFERROR(__xludf.DUMMYFUNCTION("""COMPUTED_VALUE"""),"European Silver Birch")</f>
        <v>European Silver Birch</v>
      </c>
      <c r="D42" s="36" t="str">
        <f ca="1">IFERROR(__xludf.DUMMYFUNCTION("""COMPUTED_VALUE"""),"#5")</f>
        <v>#5</v>
      </c>
      <c r="E42" s="37" t="str">
        <f ca="1">IFERROR(__xludf.DUMMYFUNCTION("""COMPUTED_VALUE"""),"1-1.25""")</f>
        <v>1-1.25"</v>
      </c>
      <c r="F42" s="36" t="str">
        <f ca="1">IFERROR(__xludf.DUMMYFUNCTION("""COMPUTED_VALUE"""),"9-13'")</f>
        <v>9-13'</v>
      </c>
      <c r="G42" s="38">
        <f ca="1">IFERROR(__xludf.DUMMYFUNCTION("""COMPUTED_VALUE"""),11)</f>
        <v>11</v>
      </c>
      <c r="H42" s="36">
        <f ca="1">IFERROR(__xludf.DUMMYFUNCTION("""COMPUTED_VALUE"""),0)</f>
        <v>0</v>
      </c>
      <c r="I42" s="39">
        <f ca="1">IFERROR(__xludf.DUMMYFUNCTION("""COMPUTED_VALUE"""),35)</f>
        <v>35</v>
      </c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</row>
    <row r="43" spans="1:26">
      <c r="A43" s="36" t="str">
        <f ca="1">IFERROR(__xludf.DUMMYFUNCTION("""COMPUTED_VALUE"""),"Betula populifolia")</f>
        <v>Betula populifolia</v>
      </c>
      <c r="B43" s="36">
        <f ca="1">IFERROR(__xludf.DUMMYFUNCTION("""COMPUTED_VALUE"""),5)</f>
        <v>5</v>
      </c>
      <c r="C43" s="36" t="str">
        <f ca="1">IFERROR(__xludf.DUMMYFUNCTION("""COMPUTED_VALUE"""),"Gray Birch")</f>
        <v>Gray Birch</v>
      </c>
      <c r="D43" s="36" t="str">
        <f ca="1">IFERROR(__xludf.DUMMYFUNCTION("""COMPUTED_VALUE"""),"#5")</f>
        <v>#5</v>
      </c>
      <c r="E43" s="37" t="str">
        <f ca="1">IFERROR(__xludf.DUMMYFUNCTION("""COMPUTED_VALUE"""),"0.5-1.5""")</f>
        <v>0.5-1.5"</v>
      </c>
      <c r="F43" s="36" t="str">
        <f ca="1">IFERROR(__xludf.DUMMYFUNCTION("""COMPUTED_VALUE"""),"4-14'")</f>
        <v>4-14'</v>
      </c>
      <c r="G43" s="38">
        <f ca="1">IFERROR(__xludf.DUMMYFUNCTION("""COMPUTED_VALUE"""),65)</f>
        <v>65</v>
      </c>
      <c r="H43" s="36">
        <f ca="1">IFERROR(__xludf.DUMMYFUNCTION("""COMPUTED_VALUE"""),0)</f>
        <v>0</v>
      </c>
      <c r="I43" s="39">
        <f ca="1">IFERROR(__xludf.DUMMYFUNCTION("""COMPUTED_VALUE"""),35)</f>
        <v>35</v>
      </c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</row>
    <row r="44" spans="1:26">
      <c r="A44" s="36" t="str">
        <f ca="1">IFERROR(__xludf.DUMMYFUNCTION("""COMPUTED_VALUE"""),"Calycanthus floridus")</f>
        <v>Calycanthus floridus</v>
      </c>
      <c r="B44" s="36">
        <f ca="1">IFERROR(__xludf.DUMMYFUNCTION("""COMPUTED_VALUE"""),5)</f>
        <v>5</v>
      </c>
      <c r="C44" s="36" t="str">
        <f ca="1">IFERROR(__xludf.DUMMYFUNCTION("""COMPUTED_VALUE"""),"Carolina Allspice")</f>
        <v>Carolina Allspice</v>
      </c>
      <c r="D44" s="36" t="str">
        <f ca="1">IFERROR(__xludf.DUMMYFUNCTION("""COMPUTED_VALUE"""),"#5")</f>
        <v>#5</v>
      </c>
      <c r="E44" s="37" t="str">
        <f ca="1">IFERROR(__xludf.DUMMYFUNCTION("""COMPUTED_VALUE"""),"Multi")</f>
        <v>Multi</v>
      </c>
      <c r="F44" s="36" t="str">
        <f ca="1">IFERROR(__xludf.DUMMYFUNCTION("""COMPUTED_VALUE"""),"1-3'")</f>
        <v>1-3'</v>
      </c>
      <c r="G44" s="38">
        <f ca="1">IFERROR(__xludf.DUMMYFUNCTION("""COMPUTED_VALUE"""),24)</f>
        <v>24</v>
      </c>
      <c r="H44" s="36">
        <f ca="1">IFERROR(__xludf.DUMMYFUNCTION("""COMPUTED_VALUE"""),0)</f>
        <v>0</v>
      </c>
      <c r="I44" s="39">
        <f ca="1">IFERROR(__xludf.DUMMYFUNCTION("""COMPUTED_VALUE"""),30)</f>
        <v>30</v>
      </c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</row>
    <row r="45" spans="1:26">
      <c r="A45" s="36" t="str">
        <f ca="1">IFERROR(__xludf.DUMMYFUNCTION("""COMPUTED_VALUE"""),"Carpinus betulus")</f>
        <v>Carpinus betulus</v>
      </c>
      <c r="B45" s="36">
        <f ca="1">IFERROR(__xludf.DUMMYFUNCTION("""COMPUTED_VALUE"""),7)</f>
        <v>7</v>
      </c>
      <c r="C45" s="36" t="str">
        <f ca="1">IFERROR(__xludf.DUMMYFUNCTION("""COMPUTED_VALUE"""),"European Hornbeam")</f>
        <v>European Hornbeam</v>
      </c>
      <c r="D45" s="36" t="str">
        <f ca="1">IFERROR(__xludf.DUMMYFUNCTION("""COMPUTED_VALUE"""),"#7")</f>
        <v>#7</v>
      </c>
      <c r="E45" s="37" t="str">
        <f ca="1">IFERROR(__xludf.DUMMYFUNCTION("""COMPUTED_VALUE"""),"1-1.5""")</f>
        <v>1-1.5"</v>
      </c>
      <c r="F45" s="36" t="str">
        <f ca="1">IFERROR(__xludf.DUMMYFUNCTION("""COMPUTED_VALUE"""),"5-10'")</f>
        <v>5-10'</v>
      </c>
      <c r="G45" s="38">
        <f ca="1">IFERROR(__xludf.DUMMYFUNCTION("""COMPUTED_VALUE"""),17)</f>
        <v>17</v>
      </c>
      <c r="H45" s="36">
        <f ca="1">IFERROR(__xludf.DUMMYFUNCTION("""COMPUTED_VALUE"""),0)</f>
        <v>0</v>
      </c>
      <c r="I45" s="39">
        <f ca="1">IFERROR(__xludf.DUMMYFUNCTION("""COMPUTED_VALUE"""),65)</f>
        <v>65</v>
      </c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</row>
    <row r="46" spans="1:26">
      <c r="A46" s="36" t="str">
        <f ca="1">IFERROR(__xludf.DUMMYFUNCTION("""COMPUTED_VALUE"""),"Carpinus betulus 'Fastigiata'")</f>
        <v>Carpinus betulus 'Fastigiata'</v>
      </c>
      <c r="B46" s="36">
        <f ca="1">IFERROR(__xludf.DUMMYFUNCTION("""COMPUTED_VALUE"""),15)</f>
        <v>15</v>
      </c>
      <c r="C46" s="36" t="str">
        <f ca="1">IFERROR(__xludf.DUMMYFUNCTION("""COMPUTED_VALUE"""),"Pyramidal Hornbeam")</f>
        <v>Pyramidal Hornbeam</v>
      </c>
      <c r="D46" s="36" t="str">
        <f ca="1">IFERROR(__xludf.DUMMYFUNCTION("""COMPUTED_VALUE"""),"#15")</f>
        <v>#15</v>
      </c>
      <c r="E46" s="37" t="str">
        <f ca="1">IFERROR(__xludf.DUMMYFUNCTION("""COMPUTED_VALUE"""),"0.75-1""")</f>
        <v>0.75-1"</v>
      </c>
      <c r="F46" s="36" t="str">
        <f ca="1">IFERROR(__xludf.DUMMYFUNCTION("""COMPUTED_VALUE"""),"6-8'")</f>
        <v>6-8'</v>
      </c>
      <c r="G46" s="38">
        <f ca="1">IFERROR(__xludf.DUMMYFUNCTION("""COMPUTED_VALUE"""),10)</f>
        <v>10</v>
      </c>
      <c r="H46" s="36">
        <f ca="1">IFERROR(__xludf.DUMMYFUNCTION("""COMPUTED_VALUE"""),0)</f>
        <v>0</v>
      </c>
      <c r="I46" s="39">
        <f ca="1">IFERROR(__xludf.DUMMYFUNCTION("""COMPUTED_VALUE"""),110)</f>
        <v>110</v>
      </c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</row>
    <row r="47" spans="1:26">
      <c r="A47" s="36" t="str">
        <f ca="1">IFERROR(__xludf.DUMMYFUNCTION("""COMPUTED_VALUE"""),"Carpinus betulus 'Frans Fontaine'")</f>
        <v>Carpinus betulus 'Frans Fontaine'</v>
      </c>
      <c r="B47" s="36">
        <f ca="1">IFERROR(__xludf.DUMMYFUNCTION("""COMPUTED_VALUE"""),10)</f>
        <v>10</v>
      </c>
      <c r="C47" s="36" t="str">
        <f ca="1">IFERROR(__xludf.DUMMYFUNCTION("""COMPUTED_VALUE"""),"Frans Fontaine European Hornbeam")</f>
        <v>Frans Fontaine European Hornbeam</v>
      </c>
      <c r="D47" s="36" t="str">
        <f ca="1">IFERROR(__xludf.DUMMYFUNCTION("""COMPUTED_VALUE"""),"#10")</f>
        <v>#10</v>
      </c>
      <c r="E47" s="37" t="str">
        <f ca="1">IFERROR(__xludf.DUMMYFUNCTION("""COMPUTED_VALUE"""),"1.5-1.5""")</f>
        <v>1.5-1.5"</v>
      </c>
      <c r="F47" s="36" t="str">
        <f ca="1">IFERROR(__xludf.DUMMYFUNCTION("""COMPUTED_VALUE"""),"7-7'")</f>
        <v>7-7'</v>
      </c>
      <c r="G47" s="38">
        <f ca="1">IFERROR(__xludf.DUMMYFUNCTION("""COMPUTED_VALUE"""),1)</f>
        <v>1</v>
      </c>
      <c r="H47" s="36">
        <f ca="1">IFERROR(__xludf.DUMMYFUNCTION("""COMPUTED_VALUE"""),0)</f>
        <v>0</v>
      </c>
      <c r="I47" s="39">
        <f ca="1">IFERROR(__xludf.DUMMYFUNCTION("""COMPUTED_VALUE"""),80)</f>
        <v>80</v>
      </c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</row>
    <row r="48" spans="1:26">
      <c r="A48" s="36" t="str">
        <f ca="1">IFERROR(__xludf.DUMMYFUNCTION("""COMPUTED_VALUE"""),"Carpinus caroliniana")</f>
        <v>Carpinus caroliniana</v>
      </c>
      <c r="B48" s="36">
        <f ca="1">IFERROR(__xludf.DUMMYFUNCTION("""COMPUTED_VALUE"""),5)</f>
        <v>5</v>
      </c>
      <c r="C48" s="36" t="str">
        <f ca="1">IFERROR(__xludf.DUMMYFUNCTION("""COMPUTED_VALUE"""),"American Hornbeam")</f>
        <v>American Hornbeam</v>
      </c>
      <c r="D48" s="36" t="str">
        <f ca="1">IFERROR(__xludf.DUMMYFUNCTION("""COMPUTED_VALUE"""),"#5")</f>
        <v>#5</v>
      </c>
      <c r="E48" s="37" t="str">
        <f ca="1">IFERROR(__xludf.DUMMYFUNCTION("""COMPUTED_VALUE"""),"0.5-0.75""")</f>
        <v>0.5-0.75"</v>
      </c>
      <c r="F48" s="36" t="str">
        <f ca="1">IFERROR(__xludf.DUMMYFUNCTION("""COMPUTED_VALUE"""),"4-6'")</f>
        <v>4-6'</v>
      </c>
      <c r="G48" s="38">
        <f ca="1">IFERROR(__xludf.DUMMYFUNCTION("""COMPUTED_VALUE"""),272)</f>
        <v>272</v>
      </c>
      <c r="H48" s="36">
        <f ca="1">IFERROR(__xludf.DUMMYFUNCTION("""COMPUTED_VALUE"""),225)</f>
        <v>225</v>
      </c>
      <c r="I48" s="39">
        <f ca="1">IFERROR(__xludf.DUMMYFUNCTION("""COMPUTED_VALUE"""),35)</f>
        <v>35</v>
      </c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</row>
    <row r="49" spans="1:26">
      <c r="A49" s="36" t="str">
        <f ca="1">IFERROR(__xludf.DUMMYFUNCTION("""COMPUTED_VALUE"""),"Carpinus caroliniana")</f>
        <v>Carpinus caroliniana</v>
      </c>
      <c r="B49" s="36">
        <f ca="1">IFERROR(__xludf.DUMMYFUNCTION("""COMPUTED_VALUE"""),7)</f>
        <v>7</v>
      </c>
      <c r="C49" s="36" t="str">
        <f ca="1">IFERROR(__xludf.DUMMYFUNCTION("""COMPUTED_VALUE"""),"American Hornbeam")</f>
        <v>American Hornbeam</v>
      </c>
      <c r="D49" s="36" t="str">
        <f ca="1">IFERROR(__xludf.DUMMYFUNCTION("""COMPUTED_VALUE"""),"#7")</f>
        <v>#7</v>
      </c>
      <c r="E49" s="37" t="str">
        <f ca="1">IFERROR(__xludf.DUMMYFUNCTION("""COMPUTED_VALUE"""),"0.75-0.75""")</f>
        <v>0.75-0.75"</v>
      </c>
      <c r="F49" s="36" t="str">
        <f ca="1">IFERROR(__xludf.DUMMYFUNCTION("""COMPUTED_VALUE"""),"5-7'")</f>
        <v>5-7'</v>
      </c>
      <c r="G49" s="38">
        <f ca="1">IFERROR(__xludf.DUMMYFUNCTION("""COMPUTED_VALUE"""),24)</f>
        <v>24</v>
      </c>
      <c r="H49" s="36">
        <f ca="1">IFERROR(__xludf.DUMMYFUNCTION("""COMPUTED_VALUE"""),0)</f>
        <v>0</v>
      </c>
      <c r="I49" s="39">
        <f ca="1">IFERROR(__xludf.DUMMYFUNCTION("""COMPUTED_VALUE"""),45)</f>
        <v>45</v>
      </c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</row>
    <row r="50" spans="1:26">
      <c r="A50" s="36" t="str">
        <f ca="1">IFERROR(__xludf.DUMMYFUNCTION("""COMPUTED_VALUE"""),"Carpinus caroliniana")</f>
        <v>Carpinus caroliniana</v>
      </c>
      <c r="B50" s="36">
        <f ca="1">IFERROR(__xludf.DUMMYFUNCTION("""COMPUTED_VALUE"""),15)</f>
        <v>15</v>
      </c>
      <c r="C50" s="36" t="str">
        <f ca="1">IFERROR(__xludf.DUMMYFUNCTION("""COMPUTED_VALUE"""),"American Hornbeam")</f>
        <v>American Hornbeam</v>
      </c>
      <c r="D50" s="36" t="str">
        <f ca="1">IFERROR(__xludf.DUMMYFUNCTION("""COMPUTED_VALUE"""),"#15")</f>
        <v>#15</v>
      </c>
      <c r="E50" s="37" t="str">
        <f ca="1">IFERROR(__xludf.DUMMYFUNCTION("""COMPUTED_VALUE"""),"1.25-1.5""")</f>
        <v>1.25-1.5"</v>
      </c>
      <c r="F50" s="36" t="str">
        <f ca="1">IFERROR(__xludf.DUMMYFUNCTION("""COMPUTED_VALUE"""),"8-11'")</f>
        <v>8-11'</v>
      </c>
      <c r="G50" s="38">
        <f ca="1">IFERROR(__xludf.DUMMYFUNCTION("""COMPUTED_VALUE"""),2)</f>
        <v>2</v>
      </c>
      <c r="H50" s="36">
        <f ca="1">IFERROR(__xludf.DUMMYFUNCTION("""COMPUTED_VALUE"""),15)</f>
        <v>15</v>
      </c>
      <c r="I50" s="39">
        <f ca="1">IFERROR(__xludf.DUMMYFUNCTION("""COMPUTED_VALUE"""),110)</f>
        <v>110</v>
      </c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</row>
    <row r="51" spans="1:26">
      <c r="A51" s="36" t="str">
        <f ca="1">IFERROR(__xludf.DUMMYFUNCTION("""COMPUTED_VALUE"""),"Carya laciniosa")</f>
        <v>Carya laciniosa</v>
      </c>
      <c r="B51" s="36">
        <f ca="1">IFERROR(__xludf.DUMMYFUNCTION("""COMPUTED_VALUE"""),5)</f>
        <v>5</v>
      </c>
      <c r="C51" s="36" t="str">
        <f ca="1">IFERROR(__xludf.DUMMYFUNCTION("""COMPUTED_VALUE"""),"Shellbark Hickory")</f>
        <v>Shellbark Hickory</v>
      </c>
      <c r="D51" s="36" t="str">
        <f ca="1">IFERROR(__xludf.DUMMYFUNCTION("""COMPUTED_VALUE"""),"#5")</f>
        <v>#5</v>
      </c>
      <c r="E51" s="37" t="str">
        <f ca="1">IFERROR(__xludf.DUMMYFUNCTION("""COMPUTED_VALUE"""),"0.25-0.5""")</f>
        <v>0.25-0.5"</v>
      </c>
      <c r="F51" s="36" t="str">
        <f ca="1">IFERROR(__xludf.DUMMYFUNCTION("""COMPUTED_VALUE"""),"1.5-2.5'")</f>
        <v>1.5-2.5'</v>
      </c>
      <c r="G51" s="38">
        <f ca="1">IFERROR(__xludf.DUMMYFUNCTION("""COMPUTED_VALUE"""),13)</f>
        <v>13</v>
      </c>
      <c r="H51" s="36">
        <f ca="1">IFERROR(__xludf.DUMMYFUNCTION("""COMPUTED_VALUE"""),0)</f>
        <v>0</v>
      </c>
      <c r="I51" s="39">
        <f ca="1">IFERROR(__xludf.DUMMYFUNCTION("""COMPUTED_VALUE"""),35)</f>
        <v>35</v>
      </c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>
      <c r="A52" s="36" t="str">
        <f ca="1">IFERROR(__xludf.DUMMYFUNCTION("""COMPUTED_VALUE"""),"Catalpa bignonioides")</f>
        <v>Catalpa bignonioides</v>
      </c>
      <c r="B52" s="36">
        <f ca="1">IFERROR(__xludf.DUMMYFUNCTION("""COMPUTED_VALUE"""),5)</f>
        <v>5</v>
      </c>
      <c r="C52" s="36" t="str">
        <f ca="1">IFERROR(__xludf.DUMMYFUNCTION("""COMPUTED_VALUE"""),"Southern Catalpa")</f>
        <v>Southern Catalpa</v>
      </c>
      <c r="D52" s="36" t="str">
        <f ca="1">IFERROR(__xludf.DUMMYFUNCTION("""COMPUTED_VALUE"""),"#5")</f>
        <v>#5</v>
      </c>
      <c r="E52" s="37" t="str">
        <f ca="1">IFERROR(__xludf.DUMMYFUNCTION("""COMPUTED_VALUE"""),"0.5-0.75""")</f>
        <v>0.5-0.75"</v>
      </c>
      <c r="F52" s="36" t="str">
        <f ca="1">IFERROR(__xludf.DUMMYFUNCTION("""COMPUTED_VALUE"""),"2-3'")</f>
        <v>2-3'</v>
      </c>
      <c r="G52" s="38">
        <f ca="1">IFERROR(__xludf.DUMMYFUNCTION("""COMPUTED_VALUE"""),0)</f>
        <v>0</v>
      </c>
      <c r="H52" s="36">
        <f ca="1">IFERROR(__xludf.DUMMYFUNCTION("""COMPUTED_VALUE"""),25)</f>
        <v>25</v>
      </c>
      <c r="I52" s="39">
        <f ca="1">IFERROR(__xludf.DUMMYFUNCTION("""COMPUTED_VALUE"""),35)</f>
        <v>35</v>
      </c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>
      <c r="A53" s="36" t="str">
        <f ca="1">IFERROR(__xludf.DUMMYFUNCTION("""COMPUTED_VALUE"""),"Catalpa speciosa")</f>
        <v>Catalpa speciosa</v>
      </c>
      <c r="B53" s="36">
        <f ca="1">IFERROR(__xludf.DUMMYFUNCTION("""COMPUTED_VALUE"""),5)</f>
        <v>5</v>
      </c>
      <c r="C53" s="36" t="str">
        <f ca="1">IFERROR(__xludf.DUMMYFUNCTION("""COMPUTED_VALUE"""),"Northern Catalpa")</f>
        <v>Northern Catalpa</v>
      </c>
      <c r="D53" s="36" t="str">
        <f ca="1">IFERROR(__xludf.DUMMYFUNCTION("""COMPUTED_VALUE"""),"#5")</f>
        <v>#5</v>
      </c>
      <c r="E53" s="37" t="str">
        <f ca="1">IFERROR(__xludf.DUMMYFUNCTION("""COMPUTED_VALUE"""),"1-1""")</f>
        <v>1-1"</v>
      </c>
      <c r="F53" s="36" t="str">
        <f ca="1">IFERROR(__xludf.DUMMYFUNCTION("""COMPUTED_VALUE"""),"4-5'")</f>
        <v>4-5'</v>
      </c>
      <c r="G53" s="38">
        <f ca="1">IFERROR(__xludf.DUMMYFUNCTION("""COMPUTED_VALUE"""),40)</f>
        <v>40</v>
      </c>
      <c r="H53" s="36">
        <f ca="1">IFERROR(__xludf.DUMMYFUNCTION("""COMPUTED_VALUE"""),0)</f>
        <v>0</v>
      </c>
      <c r="I53" s="39">
        <f ca="1">IFERROR(__xludf.DUMMYFUNCTION("""COMPUTED_VALUE"""),35)</f>
        <v>35</v>
      </c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>
      <c r="A54" s="36" t="str">
        <f ca="1">IFERROR(__xludf.DUMMYFUNCTION("""COMPUTED_VALUE"""),"Catalpa speciosa")</f>
        <v>Catalpa speciosa</v>
      </c>
      <c r="B54" s="36">
        <f ca="1">IFERROR(__xludf.DUMMYFUNCTION("""COMPUTED_VALUE"""),15)</f>
        <v>15</v>
      </c>
      <c r="C54" s="36" t="str">
        <f ca="1">IFERROR(__xludf.DUMMYFUNCTION("""COMPUTED_VALUE"""),"Northern Catalpa")</f>
        <v>Northern Catalpa</v>
      </c>
      <c r="D54" s="36" t="str">
        <f ca="1">IFERROR(__xludf.DUMMYFUNCTION("""COMPUTED_VALUE"""),"#15")</f>
        <v>#15</v>
      </c>
      <c r="E54" s="37" t="str">
        <f ca="1">IFERROR(__xludf.DUMMYFUNCTION("""COMPUTED_VALUE"""),"1.5-1.75""")</f>
        <v>1.5-1.75"</v>
      </c>
      <c r="F54" s="36" t="str">
        <f ca="1">IFERROR(__xludf.DUMMYFUNCTION("""COMPUTED_VALUE"""),"9-10'")</f>
        <v>9-10'</v>
      </c>
      <c r="G54" s="38">
        <f ca="1">IFERROR(__xludf.DUMMYFUNCTION("""COMPUTED_VALUE"""),1)</f>
        <v>1</v>
      </c>
      <c r="H54" s="36">
        <f ca="1">IFERROR(__xludf.DUMMYFUNCTION("""COMPUTED_VALUE"""),0)</f>
        <v>0</v>
      </c>
      <c r="I54" s="39">
        <f ca="1">IFERROR(__xludf.DUMMYFUNCTION("""COMPUTED_VALUE"""),110)</f>
        <v>110</v>
      </c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</row>
    <row r="55" spans="1:26">
      <c r="A55" s="36" t="str">
        <f ca="1">IFERROR(__xludf.DUMMYFUNCTION("""COMPUTED_VALUE"""),"Catalpa speciosa")</f>
        <v>Catalpa speciosa</v>
      </c>
      <c r="B55" s="36">
        <f ca="1">IFERROR(__xludf.DUMMYFUNCTION("""COMPUTED_VALUE"""),25)</f>
        <v>25</v>
      </c>
      <c r="C55" s="36" t="str">
        <f ca="1">IFERROR(__xludf.DUMMYFUNCTION("""COMPUTED_VALUE"""),"Northern Catalpa")</f>
        <v>Northern Catalpa</v>
      </c>
      <c r="D55" s="36" t="str">
        <f ca="1">IFERROR(__xludf.DUMMYFUNCTION("""COMPUTED_VALUE"""),"#25")</f>
        <v>#25</v>
      </c>
      <c r="E55" s="37" t="str">
        <f ca="1">IFERROR(__xludf.DUMMYFUNCTION("""COMPUTED_VALUE"""),"1.5-1.75""")</f>
        <v>1.5-1.75"</v>
      </c>
      <c r="F55" s="36" t="str">
        <f ca="1">IFERROR(__xludf.DUMMYFUNCTION("""COMPUTED_VALUE"""),"9-10'")</f>
        <v>9-10'</v>
      </c>
      <c r="G55" s="38">
        <f ca="1">IFERROR(__xludf.DUMMYFUNCTION("""COMPUTED_VALUE"""),4)</f>
        <v>4</v>
      </c>
      <c r="H55" s="36">
        <f ca="1">IFERROR(__xludf.DUMMYFUNCTION("""COMPUTED_VALUE"""),0)</f>
        <v>0</v>
      </c>
      <c r="I55" s="39">
        <f ca="1">IFERROR(__xludf.DUMMYFUNCTION("""COMPUTED_VALUE"""),135)</f>
        <v>135</v>
      </c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</row>
    <row r="56" spans="1:26">
      <c r="A56" s="36" t="str">
        <f ca="1">IFERROR(__xludf.DUMMYFUNCTION("""COMPUTED_VALUE"""),"Celtis occidentalis")</f>
        <v>Celtis occidentalis</v>
      </c>
      <c r="B56" s="36">
        <f ca="1">IFERROR(__xludf.DUMMYFUNCTION("""COMPUTED_VALUE"""),5)</f>
        <v>5</v>
      </c>
      <c r="C56" s="36" t="str">
        <f ca="1">IFERROR(__xludf.DUMMYFUNCTION("""COMPUTED_VALUE"""),"Hackberry")</f>
        <v>Hackberry</v>
      </c>
      <c r="D56" s="36" t="str">
        <f ca="1">IFERROR(__xludf.DUMMYFUNCTION("""COMPUTED_VALUE"""),"#5")</f>
        <v>#5</v>
      </c>
      <c r="E56" s="37" t="str">
        <f ca="1">IFERROR(__xludf.DUMMYFUNCTION("""COMPUTED_VALUE"""),"0.25-0.25""")</f>
        <v>0.25-0.25"</v>
      </c>
      <c r="F56" s="36" t="str">
        <f ca="1">IFERROR(__xludf.DUMMYFUNCTION("""COMPUTED_VALUE"""),"2-4.5'")</f>
        <v>2-4.5'</v>
      </c>
      <c r="G56" s="38">
        <f ca="1">IFERROR(__xludf.DUMMYFUNCTION("""COMPUTED_VALUE"""),140)</f>
        <v>140</v>
      </c>
      <c r="H56" s="36">
        <f ca="1">IFERROR(__xludf.DUMMYFUNCTION("""COMPUTED_VALUE"""),100)</f>
        <v>100</v>
      </c>
      <c r="I56" s="39">
        <f ca="1">IFERROR(__xludf.DUMMYFUNCTION("""COMPUTED_VALUE"""),35)</f>
        <v>35</v>
      </c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</row>
    <row r="57" spans="1:26">
      <c r="A57" s="36" t="str">
        <f ca="1">IFERROR(__xludf.DUMMYFUNCTION("""COMPUTED_VALUE"""),"Cephalanthus occidentalis")</f>
        <v>Cephalanthus occidentalis</v>
      </c>
      <c r="B57" s="36">
        <f ca="1">IFERROR(__xludf.DUMMYFUNCTION("""COMPUTED_VALUE"""),5)</f>
        <v>5</v>
      </c>
      <c r="C57" s="36" t="str">
        <f ca="1">IFERROR(__xludf.DUMMYFUNCTION("""COMPUTED_VALUE"""),"ButtonBush")</f>
        <v>ButtonBush</v>
      </c>
      <c r="D57" s="36" t="str">
        <f ca="1">IFERROR(__xludf.DUMMYFUNCTION("""COMPUTED_VALUE"""),"#5")</f>
        <v>#5</v>
      </c>
      <c r="E57" s="40" t="str">
        <f ca="1">IFERROR(__xludf.DUMMYFUNCTION("""COMPUTED_VALUE"""),"Multi")</f>
        <v>Multi</v>
      </c>
      <c r="F57" s="36" t="str">
        <f ca="1">IFERROR(__xludf.DUMMYFUNCTION("""COMPUTED_VALUE"""),"3-5'")</f>
        <v>3-5'</v>
      </c>
      <c r="G57" s="38">
        <f ca="1">IFERROR(__xludf.DUMMYFUNCTION("""COMPUTED_VALUE"""),3)</f>
        <v>3</v>
      </c>
      <c r="H57" s="36">
        <f ca="1">IFERROR(__xludf.DUMMYFUNCTION("""COMPUTED_VALUE"""),50)</f>
        <v>50</v>
      </c>
      <c r="I57" s="39">
        <f ca="1">IFERROR(__xludf.DUMMYFUNCTION("""COMPUTED_VALUE"""),30)</f>
        <v>30</v>
      </c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</row>
    <row r="58" spans="1:26">
      <c r="A58" s="36" t="str">
        <f ca="1">IFERROR(__xludf.DUMMYFUNCTION("""COMPUTED_VALUE"""),"Cercis canadensis")</f>
        <v>Cercis canadensis</v>
      </c>
      <c r="B58" s="36">
        <f ca="1">IFERROR(__xludf.DUMMYFUNCTION("""COMPUTED_VALUE"""),5)</f>
        <v>5</v>
      </c>
      <c r="C58" s="36" t="str">
        <f ca="1">IFERROR(__xludf.DUMMYFUNCTION("""COMPUTED_VALUE"""),"Eastern Redbud")</f>
        <v>Eastern Redbud</v>
      </c>
      <c r="D58" s="36" t="str">
        <f ca="1">IFERROR(__xludf.DUMMYFUNCTION("""COMPUTED_VALUE"""),"#5")</f>
        <v>#5</v>
      </c>
      <c r="E58" s="37" t="str">
        <f ca="1">IFERROR(__xludf.DUMMYFUNCTION("""COMPUTED_VALUE"""),"0.25-0.5""")</f>
        <v>0.25-0.5"</v>
      </c>
      <c r="F58" s="36" t="str">
        <f ca="1">IFERROR(__xludf.DUMMYFUNCTION("""COMPUTED_VALUE"""),"3-5'")</f>
        <v>3-5'</v>
      </c>
      <c r="G58" s="38">
        <f ca="1">IFERROR(__xludf.DUMMYFUNCTION("""COMPUTED_VALUE"""),120)</f>
        <v>120</v>
      </c>
      <c r="H58" s="36">
        <f ca="1">IFERROR(__xludf.DUMMYFUNCTION("""COMPUTED_VALUE"""),300)</f>
        <v>300</v>
      </c>
      <c r="I58" s="39">
        <f ca="1">IFERROR(__xludf.DUMMYFUNCTION("""COMPUTED_VALUE"""),35)</f>
        <v>35</v>
      </c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</row>
    <row r="59" spans="1:26">
      <c r="A59" s="36" t="str">
        <f ca="1">IFERROR(__xludf.DUMMYFUNCTION("""COMPUTED_VALUE"""),"Cercis canadensis")</f>
        <v>Cercis canadensis</v>
      </c>
      <c r="B59" s="36">
        <f ca="1">IFERROR(__xludf.DUMMYFUNCTION("""COMPUTED_VALUE"""),7)</f>
        <v>7</v>
      </c>
      <c r="C59" s="36" t="str">
        <f ca="1">IFERROR(__xludf.DUMMYFUNCTION("""COMPUTED_VALUE"""),"Eastern Redbud")</f>
        <v>Eastern Redbud</v>
      </c>
      <c r="D59" s="36" t="str">
        <f ca="1">IFERROR(__xludf.DUMMYFUNCTION("""COMPUTED_VALUE"""),"#7")</f>
        <v>#7</v>
      </c>
      <c r="E59" s="37" t="str">
        <f ca="1">IFERROR(__xludf.DUMMYFUNCTION("""COMPUTED_VALUE"""),"0.5-0.75""")</f>
        <v>0.5-0.75"</v>
      </c>
      <c r="F59" s="36" t="str">
        <f ca="1">IFERROR(__xludf.DUMMYFUNCTION("""COMPUTED_VALUE"""),"5-6'")</f>
        <v>5-6'</v>
      </c>
      <c r="G59" s="38">
        <f ca="1">IFERROR(__xludf.DUMMYFUNCTION("""COMPUTED_VALUE"""),0)</f>
        <v>0</v>
      </c>
      <c r="H59" s="36">
        <f ca="1">IFERROR(__xludf.DUMMYFUNCTION("""COMPUTED_VALUE"""),100)</f>
        <v>100</v>
      </c>
      <c r="I59" s="39">
        <f ca="1">IFERROR(__xludf.DUMMYFUNCTION("""COMPUTED_VALUE"""),55)</f>
        <v>55</v>
      </c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</row>
    <row r="60" spans="1:26">
      <c r="A60" s="36" t="str">
        <f ca="1">IFERROR(__xludf.DUMMYFUNCTION("""COMPUTED_VALUE"""),"Cercis canadensis")</f>
        <v>Cercis canadensis</v>
      </c>
      <c r="B60" s="36">
        <f ca="1">IFERROR(__xludf.DUMMYFUNCTION("""COMPUTED_VALUE"""),10)</f>
        <v>10</v>
      </c>
      <c r="C60" s="36" t="str">
        <f ca="1">IFERROR(__xludf.DUMMYFUNCTION("""COMPUTED_VALUE"""),"Eastern Redbud")</f>
        <v>Eastern Redbud</v>
      </c>
      <c r="D60" s="36" t="str">
        <f ca="1">IFERROR(__xludf.DUMMYFUNCTION("""COMPUTED_VALUE"""),"#10")</f>
        <v>#10</v>
      </c>
      <c r="E60" s="37" t="str">
        <f ca="1">IFERROR(__xludf.DUMMYFUNCTION("""COMPUTED_VALUE"""),"0.5-1.25""")</f>
        <v>0.5-1.25"</v>
      </c>
      <c r="F60" s="36" t="str">
        <f ca="1">IFERROR(__xludf.DUMMYFUNCTION("""COMPUTED_VALUE"""),"6-8'")</f>
        <v>6-8'</v>
      </c>
      <c r="G60" s="38">
        <f ca="1">IFERROR(__xludf.DUMMYFUNCTION("""COMPUTED_VALUE"""),81)</f>
        <v>81</v>
      </c>
      <c r="H60" s="36">
        <f ca="1">IFERROR(__xludf.DUMMYFUNCTION("""COMPUTED_VALUE"""),0)</f>
        <v>0</v>
      </c>
      <c r="I60" s="39">
        <f ca="1">IFERROR(__xludf.DUMMYFUNCTION("""COMPUTED_VALUE"""),80)</f>
        <v>80</v>
      </c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</row>
    <row r="61" spans="1:26">
      <c r="A61" s="36" t="str">
        <f ca="1">IFERROR(__xludf.DUMMYFUNCTION("""COMPUTED_VALUE"""),"Cercis canadensis")</f>
        <v>Cercis canadensis</v>
      </c>
      <c r="B61" s="36">
        <f ca="1">IFERROR(__xludf.DUMMYFUNCTION("""COMPUTED_VALUE"""),15)</f>
        <v>15</v>
      </c>
      <c r="C61" s="36" t="str">
        <f ca="1">IFERROR(__xludf.DUMMYFUNCTION("""COMPUTED_VALUE"""),"Eastern Redbud")</f>
        <v>Eastern Redbud</v>
      </c>
      <c r="D61" s="36" t="str">
        <f ca="1">IFERROR(__xludf.DUMMYFUNCTION("""COMPUTED_VALUE"""),"#15")</f>
        <v>#15</v>
      </c>
      <c r="E61" s="37" t="str">
        <f ca="1">IFERROR(__xludf.DUMMYFUNCTION("""COMPUTED_VALUE"""),"1-1.5""")</f>
        <v>1-1.5"</v>
      </c>
      <c r="F61" s="36" t="str">
        <f ca="1">IFERROR(__xludf.DUMMYFUNCTION("""COMPUTED_VALUE"""),"7-11'")</f>
        <v>7-11'</v>
      </c>
      <c r="G61" s="38">
        <f ca="1">IFERROR(__xludf.DUMMYFUNCTION("""COMPUTED_VALUE"""),10)</f>
        <v>10</v>
      </c>
      <c r="H61" s="36">
        <f ca="1">IFERROR(__xludf.DUMMYFUNCTION("""COMPUTED_VALUE"""),25)</f>
        <v>25</v>
      </c>
      <c r="I61" s="39">
        <f ca="1">IFERROR(__xludf.DUMMYFUNCTION("""COMPUTED_VALUE"""),110)</f>
        <v>110</v>
      </c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</row>
    <row r="62" spans="1:26">
      <c r="A62" s="36" t="str">
        <f ca="1">IFERROR(__xludf.DUMMYFUNCTION("""COMPUTED_VALUE"""),"Cercis canadensis")</f>
        <v>Cercis canadensis</v>
      </c>
      <c r="B62" s="36">
        <f ca="1">IFERROR(__xludf.DUMMYFUNCTION("""COMPUTED_VALUE"""),25)</f>
        <v>25</v>
      </c>
      <c r="C62" s="36" t="str">
        <f ca="1">IFERROR(__xludf.DUMMYFUNCTION("""COMPUTED_VALUE"""),"Eastern Redbud")</f>
        <v>Eastern Redbud</v>
      </c>
      <c r="D62" s="36" t="str">
        <f ca="1">IFERROR(__xludf.DUMMYFUNCTION("""COMPUTED_VALUE"""),"#25")</f>
        <v>#25</v>
      </c>
      <c r="E62" s="37" t="str">
        <f ca="1">IFERROR(__xludf.DUMMYFUNCTION("""COMPUTED_VALUE"""),"1-1.5""")</f>
        <v>1-1.5"</v>
      </c>
      <c r="F62" s="36" t="str">
        <f ca="1">IFERROR(__xludf.DUMMYFUNCTION("""COMPUTED_VALUE"""),"7-11'")</f>
        <v>7-11'</v>
      </c>
      <c r="G62" s="38">
        <f ca="1">IFERROR(__xludf.DUMMYFUNCTION("""COMPUTED_VALUE"""),5)</f>
        <v>5</v>
      </c>
      <c r="H62" s="36">
        <f ca="1">IFERROR(__xludf.DUMMYFUNCTION("""COMPUTED_VALUE"""),0)</f>
        <v>0</v>
      </c>
      <c r="I62" s="39">
        <f ca="1">IFERROR(__xludf.DUMMYFUNCTION("""COMPUTED_VALUE"""),135)</f>
        <v>135</v>
      </c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</row>
    <row r="63" spans="1:26">
      <c r="A63" s="36" t="str">
        <f ca="1">IFERROR(__xludf.DUMMYFUNCTION("""COMPUTED_VALUE"""),"Cercis canadensis 'Appalachian Red'")</f>
        <v>Cercis canadensis 'Appalachian Red'</v>
      </c>
      <c r="B63" s="36">
        <f ca="1">IFERROR(__xludf.DUMMYFUNCTION("""COMPUTED_VALUE"""),15)</f>
        <v>15</v>
      </c>
      <c r="C63" s="36" t="str">
        <f ca="1">IFERROR(__xludf.DUMMYFUNCTION("""COMPUTED_VALUE"""),"Appalachian Red Redbud")</f>
        <v>Appalachian Red Redbud</v>
      </c>
      <c r="D63" s="36" t="str">
        <f ca="1">IFERROR(__xludf.DUMMYFUNCTION("""COMPUTED_VALUE"""),"#15")</f>
        <v>#15</v>
      </c>
      <c r="E63" s="37" t="str">
        <f ca="1">IFERROR(__xludf.DUMMYFUNCTION("""COMPUTED_VALUE"""),"0.5-0.75""")</f>
        <v>0.5-0.75"</v>
      </c>
      <c r="F63" s="36" t="str">
        <f ca="1">IFERROR(__xludf.DUMMYFUNCTION("""COMPUTED_VALUE"""),"7-8'")</f>
        <v>7-8'</v>
      </c>
      <c r="G63" s="38">
        <f ca="1">IFERROR(__xludf.DUMMYFUNCTION("""COMPUTED_VALUE"""),0)</f>
        <v>0</v>
      </c>
      <c r="H63" s="36">
        <f ca="1">IFERROR(__xludf.DUMMYFUNCTION("""COMPUTED_VALUE"""),5)</f>
        <v>5</v>
      </c>
      <c r="I63" s="39">
        <f ca="1">IFERROR(__xludf.DUMMYFUNCTION("""COMPUTED_VALUE"""),110)</f>
        <v>110</v>
      </c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</row>
    <row r="64" spans="1:26">
      <c r="A64" s="36" t="str">
        <f ca="1">IFERROR(__xludf.DUMMYFUNCTION("""COMPUTED_VALUE"""),"Cercis canadensis 'Forest Pansy'")</f>
        <v>Cercis canadensis 'Forest Pansy'</v>
      </c>
      <c r="B64" s="36">
        <f ca="1">IFERROR(__xludf.DUMMYFUNCTION("""COMPUTED_VALUE"""),7)</f>
        <v>7</v>
      </c>
      <c r="C64" s="36" t="str">
        <f ca="1">IFERROR(__xludf.DUMMYFUNCTION("""COMPUTED_VALUE"""),"Forest Pansy Redbud")</f>
        <v>Forest Pansy Redbud</v>
      </c>
      <c r="D64" s="36" t="str">
        <f ca="1">IFERROR(__xludf.DUMMYFUNCTION("""COMPUTED_VALUE"""),"#7")</f>
        <v>#7</v>
      </c>
      <c r="E64" s="37" t="str">
        <f ca="1">IFERROR(__xludf.DUMMYFUNCTION("""COMPUTED_VALUE"""),"0.75-1""")</f>
        <v>0.75-1"</v>
      </c>
      <c r="F64" s="36" t="str">
        <f ca="1">IFERROR(__xludf.DUMMYFUNCTION("""COMPUTED_VALUE"""),"3-6'")</f>
        <v>3-6'</v>
      </c>
      <c r="G64" s="38">
        <f ca="1">IFERROR(__xludf.DUMMYFUNCTION("""COMPUTED_VALUE"""),86)</f>
        <v>86</v>
      </c>
      <c r="H64" s="36">
        <f ca="1">IFERROR(__xludf.DUMMYFUNCTION("""COMPUTED_VALUE"""),100)</f>
        <v>100</v>
      </c>
      <c r="I64" s="39">
        <f ca="1">IFERROR(__xludf.DUMMYFUNCTION("""COMPUTED_VALUE"""),65)</f>
        <v>65</v>
      </c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</row>
    <row r="65" spans="1:26">
      <c r="A65" s="36" t="str">
        <f ca="1">IFERROR(__xludf.DUMMYFUNCTION("""COMPUTED_VALUE"""),"Cercis canadensis 'Forest Pansy'")</f>
        <v>Cercis canadensis 'Forest Pansy'</v>
      </c>
      <c r="B65" s="36">
        <f ca="1">IFERROR(__xludf.DUMMYFUNCTION("""COMPUTED_VALUE"""),15)</f>
        <v>15</v>
      </c>
      <c r="C65" s="36" t="str">
        <f ca="1">IFERROR(__xludf.DUMMYFUNCTION("""COMPUTED_VALUE"""),"Forest Pansy Redbud")</f>
        <v>Forest Pansy Redbud</v>
      </c>
      <c r="D65" s="36" t="str">
        <f ca="1">IFERROR(__xludf.DUMMYFUNCTION("""COMPUTED_VALUE"""),"#15p")</f>
        <v>#15p</v>
      </c>
      <c r="E65" s="37" t="str">
        <f ca="1">IFERROR(__xludf.DUMMYFUNCTION("""COMPUTED_VALUE"""),"0.5-0.75""")</f>
        <v>0.5-0.75"</v>
      </c>
      <c r="F65" s="36" t="str">
        <f ca="1">IFERROR(__xludf.DUMMYFUNCTION("""COMPUTED_VALUE"""),"7-8'")</f>
        <v>7-8'</v>
      </c>
      <c r="G65" s="38">
        <f ca="1">IFERROR(__xludf.DUMMYFUNCTION("""COMPUTED_VALUE"""),0)</f>
        <v>0</v>
      </c>
      <c r="H65" s="36">
        <f ca="1">IFERROR(__xludf.DUMMYFUNCTION("""COMPUTED_VALUE"""),15)</f>
        <v>15</v>
      </c>
      <c r="I65" s="39">
        <f ca="1">IFERROR(__xludf.DUMMYFUNCTION("""COMPUTED_VALUE"""),110)</f>
        <v>110</v>
      </c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</row>
    <row r="66" spans="1:26">
      <c r="A66" s="36" t="str">
        <f ca="1">IFERROR(__xludf.DUMMYFUNCTION("""COMPUTED_VALUE"""),"Cercis canadensis 'Lavender Twist'")</f>
        <v>Cercis canadensis 'Lavender Twist'</v>
      </c>
      <c r="B66" s="36">
        <f ca="1">IFERROR(__xludf.DUMMYFUNCTION("""COMPUTED_VALUE"""),7)</f>
        <v>7</v>
      </c>
      <c r="C66" s="36" t="str">
        <f ca="1">IFERROR(__xludf.DUMMYFUNCTION("""COMPUTED_VALUE"""),"Lavender Twist Redbud")</f>
        <v>Lavender Twist Redbud</v>
      </c>
      <c r="D66" s="36" t="str">
        <f ca="1">IFERROR(__xludf.DUMMYFUNCTION("""COMPUTED_VALUE"""),"#7")</f>
        <v>#7</v>
      </c>
      <c r="E66" s="37" t="str">
        <f ca="1">IFERROR(__xludf.DUMMYFUNCTION("""COMPUTED_VALUE"""),"0.75-1""")</f>
        <v>0.75-1"</v>
      </c>
      <c r="F66" s="36" t="str">
        <f ca="1">IFERROR(__xludf.DUMMYFUNCTION("""COMPUTED_VALUE"""),"3-6'")</f>
        <v>3-6'</v>
      </c>
      <c r="G66" s="38">
        <f ca="1">IFERROR(__xludf.DUMMYFUNCTION("""COMPUTED_VALUE"""),13)</f>
        <v>13</v>
      </c>
      <c r="H66" s="36">
        <f ca="1">IFERROR(__xludf.DUMMYFUNCTION("""COMPUTED_VALUE"""),20)</f>
        <v>20</v>
      </c>
      <c r="I66" s="39">
        <f ca="1">IFERROR(__xludf.DUMMYFUNCTION("""COMPUTED_VALUE"""),85)</f>
        <v>85</v>
      </c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</row>
    <row r="67" spans="1:26">
      <c r="A67" s="36" t="str">
        <f ca="1">IFERROR(__xludf.DUMMYFUNCTION("""COMPUTED_VALUE"""),"Cercis canadensis 'Oklahoma'")</f>
        <v>Cercis canadensis 'Oklahoma'</v>
      </c>
      <c r="B67" s="36">
        <f ca="1">IFERROR(__xludf.DUMMYFUNCTION("""COMPUTED_VALUE"""),7)</f>
        <v>7</v>
      </c>
      <c r="C67" s="36" t="str">
        <f ca="1">IFERROR(__xludf.DUMMYFUNCTION("""COMPUTED_VALUE"""),"Oklahoma Redbud")</f>
        <v>Oklahoma Redbud</v>
      </c>
      <c r="D67" s="36" t="str">
        <f ca="1">IFERROR(__xludf.DUMMYFUNCTION("""COMPUTED_VALUE"""),"#7")</f>
        <v>#7</v>
      </c>
      <c r="E67" s="37" t="str">
        <f ca="1">IFERROR(__xludf.DUMMYFUNCTION("""COMPUTED_VALUE"""),"0.75-1""")</f>
        <v>0.75-1"</v>
      </c>
      <c r="F67" s="36" t="str">
        <f ca="1">IFERROR(__xludf.DUMMYFUNCTION("""COMPUTED_VALUE"""),"3-4'")</f>
        <v>3-4'</v>
      </c>
      <c r="G67" s="38">
        <f ca="1">IFERROR(__xludf.DUMMYFUNCTION("""COMPUTED_VALUE"""),5)</f>
        <v>5</v>
      </c>
      <c r="H67" s="36">
        <f ca="1">IFERROR(__xludf.DUMMYFUNCTION("""COMPUTED_VALUE"""),0)</f>
        <v>0</v>
      </c>
      <c r="I67" s="39">
        <f ca="1">IFERROR(__xludf.DUMMYFUNCTION("""COMPUTED_VALUE"""),65)</f>
        <v>65</v>
      </c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</row>
    <row r="68" spans="1:26">
      <c r="A68" s="36" t="str">
        <f ca="1">IFERROR(__xludf.DUMMYFUNCTION("""COMPUTED_VALUE"""),"Cercis canadensis 'Oklahoma'")</f>
        <v>Cercis canadensis 'Oklahoma'</v>
      </c>
      <c r="B68" s="36">
        <f ca="1">IFERROR(__xludf.DUMMYFUNCTION("""COMPUTED_VALUE"""),15)</f>
        <v>15</v>
      </c>
      <c r="C68" s="36" t="str">
        <f ca="1">IFERROR(__xludf.DUMMYFUNCTION("""COMPUTED_VALUE"""),"Oklahoma Redbud")</f>
        <v>Oklahoma Redbud</v>
      </c>
      <c r="D68" s="36" t="str">
        <f ca="1">IFERROR(__xludf.DUMMYFUNCTION("""COMPUTED_VALUE"""),"#15")</f>
        <v>#15</v>
      </c>
      <c r="E68" s="37" t="str">
        <f ca="1">IFERROR(__xludf.DUMMYFUNCTION("""COMPUTED_VALUE"""),"1-1.25""")</f>
        <v>1-1.25"</v>
      </c>
      <c r="F68" s="36" t="str">
        <f ca="1">IFERROR(__xludf.DUMMYFUNCTION("""COMPUTED_VALUE"""),"9-9'")</f>
        <v>9-9'</v>
      </c>
      <c r="G68" s="38">
        <f ca="1">IFERROR(__xludf.DUMMYFUNCTION("""COMPUTED_VALUE"""),2)</f>
        <v>2</v>
      </c>
      <c r="H68" s="36">
        <f ca="1">IFERROR(__xludf.DUMMYFUNCTION("""COMPUTED_VALUE"""),0)</f>
        <v>0</v>
      </c>
      <c r="I68" s="39">
        <f ca="1">IFERROR(__xludf.DUMMYFUNCTION("""COMPUTED_VALUE"""),115)</f>
        <v>115</v>
      </c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</row>
    <row r="69" spans="1:26">
      <c r="A69" s="36" t="str">
        <f ca="1">IFERROR(__xludf.DUMMYFUNCTION("""COMPUTED_VALUE"""),"Cercis canadensis 'Rising Sun'")</f>
        <v>Cercis canadensis 'Rising Sun'</v>
      </c>
      <c r="B69" s="36">
        <f ca="1">IFERROR(__xludf.DUMMYFUNCTION("""COMPUTED_VALUE"""),7)</f>
        <v>7</v>
      </c>
      <c r="C69" s="36" t="str">
        <f ca="1">IFERROR(__xludf.DUMMYFUNCTION("""COMPUTED_VALUE"""),"Rising Sun Redbud")</f>
        <v>Rising Sun Redbud</v>
      </c>
      <c r="D69" s="36" t="str">
        <f ca="1">IFERROR(__xludf.DUMMYFUNCTION("""COMPUTED_VALUE"""),"#7")</f>
        <v>#7</v>
      </c>
      <c r="E69" s="37" t="str">
        <f ca="1">IFERROR(__xludf.DUMMYFUNCTION("""COMPUTED_VALUE"""),"0.5-0.75""")</f>
        <v>0.5-0.75"</v>
      </c>
      <c r="F69" s="36" t="str">
        <f ca="1">IFERROR(__xludf.DUMMYFUNCTION("""COMPUTED_VALUE"""),"1-2'")</f>
        <v>1-2'</v>
      </c>
      <c r="G69" s="38">
        <f ca="1">IFERROR(__xludf.DUMMYFUNCTION("""COMPUTED_VALUE"""),18)</f>
        <v>18</v>
      </c>
      <c r="H69" s="36">
        <f ca="1">IFERROR(__xludf.DUMMYFUNCTION("""COMPUTED_VALUE"""),40)</f>
        <v>40</v>
      </c>
      <c r="I69" s="39">
        <f ca="1">IFERROR(__xludf.DUMMYFUNCTION("""COMPUTED_VALUE"""),85)</f>
        <v>85</v>
      </c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</row>
    <row r="70" spans="1:26">
      <c r="A70" s="36" t="str">
        <f ca="1">IFERROR(__xludf.DUMMYFUNCTION("""COMPUTED_VALUE"""),"Cercis canadensis 'Rising Sun'")</f>
        <v>Cercis canadensis 'Rising Sun'</v>
      </c>
      <c r="B70" s="36">
        <f ca="1">IFERROR(__xludf.DUMMYFUNCTION("""COMPUTED_VALUE"""),10)</f>
        <v>10</v>
      </c>
      <c r="C70" s="36" t="str">
        <f ca="1">IFERROR(__xludf.DUMMYFUNCTION("""COMPUTED_VALUE"""),"Rising Sun Redbud")</f>
        <v>Rising Sun Redbud</v>
      </c>
      <c r="D70" s="36" t="str">
        <f ca="1">IFERROR(__xludf.DUMMYFUNCTION("""COMPUTED_VALUE"""),"#10")</f>
        <v>#10</v>
      </c>
      <c r="E70" s="37" t="str">
        <f ca="1">IFERROR(__xludf.DUMMYFUNCTION("""COMPUTED_VALUE"""),"1-1""")</f>
        <v>1-1"</v>
      </c>
      <c r="F70" s="36" t="str">
        <f ca="1">IFERROR(__xludf.DUMMYFUNCTION("""COMPUTED_VALUE"""),"3-4'")</f>
        <v>3-4'</v>
      </c>
      <c r="G70" s="38">
        <f ca="1">IFERROR(__xludf.DUMMYFUNCTION("""COMPUTED_VALUE"""),2)</f>
        <v>2</v>
      </c>
      <c r="H70" s="36">
        <f ca="1">IFERROR(__xludf.DUMMYFUNCTION("""COMPUTED_VALUE"""),0)</f>
        <v>0</v>
      </c>
      <c r="I70" s="39">
        <f ca="1">IFERROR(__xludf.DUMMYFUNCTION("""COMPUTED_VALUE"""),100)</f>
        <v>100</v>
      </c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</row>
    <row r="71" spans="1:26">
      <c r="A71" s="36" t="str">
        <f ca="1">IFERROR(__xludf.DUMMYFUNCTION("""COMPUTED_VALUE"""),"Cercis canadensis 'Ruby Falls'")</f>
        <v>Cercis canadensis 'Ruby Falls'</v>
      </c>
      <c r="B71" s="36">
        <f ca="1">IFERROR(__xludf.DUMMYFUNCTION("""COMPUTED_VALUE"""),7)</f>
        <v>7</v>
      </c>
      <c r="C71" s="36" t="str">
        <f ca="1">IFERROR(__xludf.DUMMYFUNCTION("""COMPUTED_VALUE"""),"Ruby Falls Redbud")</f>
        <v>Ruby Falls Redbud</v>
      </c>
      <c r="D71" s="36" t="str">
        <f ca="1">IFERROR(__xludf.DUMMYFUNCTION("""COMPUTED_VALUE"""),"#7")</f>
        <v>#7</v>
      </c>
      <c r="E71" s="37" t="str">
        <f ca="1">IFERROR(__xludf.DUMMYFUNCTION("""COMPUTED_VALUE"""),"0.5-0.75""")</f>
        <v>0.5-0.75"</v>
      </c>
      <c r="F71" s="36" t="str">
        <f ca="1">IFERROR(__xludf.DUMMYFUNCTION("""COMPUTED_VALUE"""),"0.5-2'")</f>
        <v>0.5-2'</v>
      </c>
      <c r="G71" s="38">
        <f ca="1">IFERROR(__xludf.DUMMYFUNCTION("""COMPUTED_VALUE"""),7)</f>
        <v>7</v>
      </c>
      <c r="H71" s="36">
        <f ca="1">IFERROR(__xludf.DUMMYFUNCTION("""COMPUTED_VALUE"""),20)</f>
        <v>20</v>
      </c>
      <c r="I71" s="39">
        <f ca="1">IFERROR(__xludf.DUMMYFUNCTION("""COMPUTED_VALUE"""),85)</f>
        <v>85</v>
      </c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</row>
    <row r="72" spans="1:26">
      <c r="A72" s="36" t="str">
        <f ca="1">IFERROR(__xludf.DUMMYFUNCTION("""COMPUTED_VALUE"""),"Cercis canadensis 'Ruby Falls'")</f>
        <v>Cercis canadensis 'Ruby Falls'</v>
      </c>
      <c r="B72" s="36">
        <f ca="1">IFERROR(__xludf.DUMMYFUNCTION("""COMPUTED_VALUE"""),15)</f>
        <v>15</v>
      </c>
      <c r="C72" s="36" t="str">
        <f ca="1">IFERROR(__xludf.DUMMYFUNCTION("""COMPUTED_VALUE"""),"Ruby Falls Redbud")</f>
        <v>Ruby Falls Redbud</v>
      </c>
      <c r="D72" s="36" t="str">
        <f ca="1">IFERROR(__xludf.DUMMYFUNCTION("""COMPUTED_VALUE"""),"#15")</f>
        <v>#15</v>
      </c>
      <c r="E72" s="37" t="str">
        <f ca="1">IFERROR(__xludf.DUMMYFUNCTION("""COMPUTED_VALUE"""),"0.75-1""")</f>
        <v>0.75-1"</v>
      </c>
      <c r="F72" s="36" t="str">
        <f ca="1">IFERROR(__xludf.DUMMYFUNCTION("""COMPUTED_VALUE"""),"6-7'")</f>
        <v>6-7'</v>
      </c>
      <c r="G72" s="38">
        <f ca="1">IFERROR(__xludf.DUMMYFUNCTION("""COMPUTED_VALUE"""),6)</f>
        <v>6</v>
      </c>
      <c r="H72" s="36">
        <f ca="1">IFERROR(__xludf.DUMMYFUNCTION("""COMPUTED_VALUE"""),0)</f>
        <v>0</v>
      </c>
      <c r="I72" s="39">
        <f ca="1">IFERROR(__xludf.DUMMYFUNCTION("""COMPUTED_VALUE"""),110)</f>
        <v>110</v>
      </c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</row>
    <row r="73" spans="1:26">
      <c r="A73" s="36" t="str">
        <f ca="1">IFERROR(__xludf.DUMMYFUNCTION("""COMPUTED_VALUE"""),"Cercis canadensis 'Whitebud'")</f>
        <v>Cercis canadensis 'Whitebud'</v>
      </c>
      <c r="B73" s="36">
        <f ca="1">IFERROR(__xludf.DUMMYFUNCTION("""COMPUTED_VALUE"""),15)</f>
        <v>15</v>
      </c>
      <c r="C73" s="36" t="str">
        <f ca="1">IFERROR(__xludf.DUMMYFUNCTION("""COMPUTED_VALUE"""),"Whitebud")</f>
        <v>Whitebud</v>
      </c>
      <c r="D73" s="36" t="str">
        <f ca="1">IFERROR(__xludf.DUMMYFUNCTION("""COMPUTED_VALUE"""),"#15")</f>
        <v>#15</v>
      </c>
      <c r="E73" s="37" t="str">
        <f ca="1">IFERROR(__xludf.DUMMYFUNCTION("""COMPUTED_VALUE"""),"1.25-1.5""")</f>
        <v>1.25-1.5"</v>
      </c>
      <c r="F73" s="36" t="str">
        <f ca="1">IFERROR(__xludf.DUMMYFUNCTION("""COMPUTED_VALUE"""),"9-11'")</f>
        <v>9-11'</v>
      </c>
      <c r="G73" s="38">
        <f ca="1">IFERROR(__xludf.DUMMYFUNCTION("""COMPUTED_VALUE"""),4)</f>
        <v>4</v>
      </c>
      <c r="H73" s="36">
        <f ca="1">IFERROR(__xludf.DUMMYFUNCTION("""COMPUTED_VALUE"""),0)</f>
        <v>0</v>
      </c>
      <c r="I73" s="39">
        <f ca="1">IFERROR(__xludf.DUMMYFUNCTION("""COMPUTED_VALUE"""),110)</f>
        <v>110</v>
      </c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</row>
    <row r="74" spans="1:26">
      <c r="A74" s="36" t="str">
        <f ca="1">IFERROR(__xludf.DUMMYFUNCTION("""COMPUTED_VALUE"""),"Cercis tex. 'Merlot'")</f>
        <v>Cercis tex. 'Merlot'</v>
      </c>
      <c r="B74" s="36">
        <f ca="1">IFERROR(__xludf.DUMMYFUNCTION("""COMPUTED_VALUE"""),10)</f>
        <v>10</v>
      </c>
      <c r="C74" s="36" t="str">
        <f ca="1">IFERROR(__xludf.DUMMYFUNCTION("""COMPUTED_VALUE"""),"Merlot Redbud")</f>
        <v>Merlot Redbud</v>
      </c>
      <c r="D74" s="36" t="str">
        <f ca="1">IFERROR(__xludf.DUMMYFUNCTION("""COMPUTED_VALUE"""),"#10")</f>
        <v>#10</v>
      </c>
      <c r="E74" s="37" t="str">
        <f ca="1">IFERROR(__xludf.DUMMYFUNCTION("""COMPUTED_VALUE"""),"0.5-0.75""")</f>
        <v>0.5-0.75"</v>
      </c>
      <c r="F74" s="36" t="str">
        <f ca="1">IFERROR(__xludf.DUMMYFUNCTION("""COMPUTED_VALUE"""),"3-4'")</f>
        <v>3-4'</v>
      </c>
      <c r="G74" s="38">
        <f ca="1">IFERROR(__xludf.DUMMYFUNCTION("""COMPUTED_VALUE"""),7)</f>
        <v>7</v>
      </c>
      <c r="H74" s="36">
        <f ca="1">IFERROR(__xludf.DUMMYFUNCTION("""COMPUTED_VALUE"""),0)</f>
        <v>0</v>
      </c>
      <c r="I74" s="39">
        <f ca="1">IFERROR(__xludf.DUMMYFUNCTION("""COMPUTED_VALUE"""),85)</f>
        <v>85</v>
      </c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</row>
    <row r="75" spans="1:26">
      <c r="A75" s="36" t="str">
        <f ca="1">IFERROR(__xludf.DUMMYFUNCTION("""COMPUTED_VALUE"""),"Chionanthus retusus")</f>
        <v>Chionanthus retusus</v>
      </c>
      <c r="B75" s="36">
        <f ca="1">IFERROR(__xludf.DUMMYFUNCTION("""COMPUTED_VALUE"""),5)</f>
        <v>5</v>
      </c>
      <c r="C75" s="36" t="str">
        <f ca="1">IFERROR(__xludf.DUMMYFUNCTION("""COMPUTED_VALUE"""),"Chinese Fringe Tree")</f>
        <v>Chinese Fringe Tree</v>
      </c>
      <c r="D75" s="36" t="str">
        <f ca="1">IFERROR(__xludf.DUMMYFUNCTION("""COMPUTED_VALUE"""),"#5")</f>
        <v>#5</v>
      </c>
      <c r="E75" s="37" t="str">
        <f ca="1">IFERROR(__xludf.DUMMYFUNCTION("""COMPUTED_VALUE"""),"0.125-0.25""")</f>
        <v>0.125-0.25"</v>
      </c>
      <c r="F75" s="36" t="str">
        <f ca="1">IFERROR(__xludf.DUMMYFUNCTION("""COMPUTED_VALUE"""),"1-3'")</f>
        <v>1-3'</v>
      </c>
      <c r="G75" s="38">
        <f ca="1">IFERROR(__xludf.DUMMYFUNCTION("""COMPUTED_VALUE"""),5)</f>
        <v>5</v>
      </c>
      <c r="H75" s="36">
        <f ca="1">IFERROR(__xludf.DUMMYFUNCTION("""COMPUTED_VALUE"""),0)</f>
        <v>0</v>
      </c>
      <c r="I75" s="39">
        <f ca="1">IFERROR(__xludf.DUMMYFUNCTION("""COMPUTED_VALUE"""),35)</f>
        <v>35</v>
      </c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</row>
    <row r="76" spans="1:26">
      <c r="A76" s="36" t="str">
        <f ca="1">IFERROR(__xludf.DUMMYFUNCTION("""COMPUTED_VALUE"""),"Chionanthus virginicus")</f>
        <v>Chionanthus virginicus</v>
      </c>
      <c r="B76" s="36">
        <f ca="1">IFERROR(__xludf.DUMMYFUNCTION("""COMPUTED_VALUE"""),7)</f>
        <v>7</v>
      </c>
      <c r="C76" s="36" t="str">
        <f ca="1">IFERROR(__xludf.DUMMYFUNCTION("""COMPUTED_VALUE"""),"White Fringe Tree")</f>
        <v>White Fringe Tree</v>
      </c>
      <c r="D76" s="36" t="str">
        <f ca="1">IFERROR(__xludf.DUMMYFUNCTION("""COMPUTED_VALUE"""),"#7")</f>
        <v>#7</v>
      </c>
      <c r="E76" s="37" t="str">
        <f ca="1">IFERROR(__xludf.DUMMYFUNCTION("""COMPUTED_VALUE"""),"0.125-0.75""")</f>
        <v>0.125-0.75"</v>
      </c>
      <c r="F76" s="36" t="str">
        <f ca="1">IFERROR(__xludf.DUMMYFUNCTION("""COMPUTED_VALUE"""),"2-5'")</f>
        <v>2-5'</v>
      </c>
      <c r="G76" s="38">
        <f ca="1">IFERROR(__xludf.DUMMYFUNCTION("""COMPUTED_VALUE"""),3)</f>
        <v>3</v>
      </c>
      <c r="H76" s="36">
        <f ca="1">IFERROR(__xludf.DUMMYFUNCTION("""COMPUTED_VALUE"""),0)</f>
        <v>0</v>
      </c>
      <c r="I76" s="39">
        <f ca="1">IFERROR(__xludf.DUMMYFUNCTION("""COMPUTED_VALUE"""),50)</f>
        <v>50</v>
      </c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</row>
    <row r="77" spans="1:26">
      <c r="A77" s="36" t="str">
        <f ca="1">IFERROR(__xludf.DUMMYFUNCTION("""COMPUTED_VALUE"""),"Cladrastis kentukea")</f>
        <v>Cladrastis kentukea</v>
      </c>
      <c r="B77" s="36">
        <f ca="1">IFERROR(__xludf.DUMMYFUNCTION("""COMPUTED_VALUE"""),5)</f>
        <v>5</v>
      </c>
      <c r="C77" s="36" t="str">
        <f ca="1">IFERROR(__xludf.DUMMYFUNCTION("""COMPUTED_VALUE"""),"Yellowwood")</f>
        <v>Yellowwood</v>
      </c>
      <c r="D77" s="36" t="str">
        <f ca="1">IFERROR(__xludf.DUMMYFUNCTION("""COMPUTED_VALUE"""),"#5")</f>
        <v>#5</v>
      </c>
      <c r="E77" s="37" t="str">
        <f ca="1">IFERROR(__xludf.DUMMYFUNCTION("""COMPUTED_VALUE"""),"0.375-0.5""")</f>
        <v>0.375-0.5"</v>
      </c>
      <c r="F77" s="36" t="str">
        <f ca="1">IFERROR(__xludf.DUMMYFUNCTION("""COMPUTED_VALUE"""),"2-6'")</f>
        <v>2-6'</v>
      </c>
      <c r="G77" s="38">
        <f ca="1">IFERROR(__xludf.DUMMYFUNCTION("""COMPUTED_VALUE"""),128)</f>
        <v>128</v>
      </c>
      <c r="H77" s="36">
        <f ca="1">IFERROR(__xludf.DUMMYFUNCTION("""COMPUTED_VALUE"""),200)</f>
        <v>200</v>
      </c>
      <c r="I77" s="39">
        <f ca="1">IFERROR(__xludf.DUMMYFUNCTION("""COMPUTED_VALUE"""),35)</f>
        <v>35</v>
      </c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</row>
    <row r="78" spans="1:26">
      <c r="A78" s="36" t="str">
        <f ca="1">IFERROR(__xludf.DUMMYFUNCTION("""COMPUTED_VALUE"""),"Conium maculatum")</f>
        <v>Conium maculatum</v>
      </c>
      <c r="B78" s="36">
        <f ca="1">IFERROR(__xludf.DUMMYFUNCTION("""COMPUTED_VALUE"""),7)</f>
        <v>7</v>
      </c>
      <c r="C78" s="36" t="str">
        <f ca="1">IFERROR(__xludf.DUMMYFUNCTION("""COMPUTED_VALUE"""),"Hemlock")</f>
        <v>Hemlock</v>
      </c>
      <c r="D78" s="36" t="str">
        <f ca="1">IFERROR(__xludf.DUMMYFUNCTION("""COMPUTED_VALUE"""),"#7")</f>
        <v>#7</v>
      </c>
      <c r="E78" s="37" t="str">
        <f ca="1">IFERROR(__xludf.DUMMYFUNCTION("""COMPUTED_VALUE"""),"1-1""")</f>
        <v>1-1"</v>
      </c>
      <c r="F78" s="36" t="str">
        <f ca="1">IFERROR(__xludf.DUMMYFUNCTION("""COMPUTED_VALUE"""),"3-4'")</f>
        <v>3-4'</v>
      </c>
      <c r="G78" s="38">
        <f ca="1">IFERROR(__xludf.DUMMYFUNCTION("""COMPUTED_VALUE"""),4)</f>
        <v>4</v>
      </c>
      <c r="H78" s="36">
        <f ca="1">IFERROR(__xludf.DUMMYFUNCTION("""COMPUTED_VALUE"""),0)</f>
        <v>0</v>
      </c>
      <c r="I78" s="39">
        <f ca="1">IFERROR(__xludf.DUMMYFUNCTION("""COMPUTED_VALUE"""),75)</f>
        <v>75</v>
      </c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</row>
    <row r="79" spans="1:26">
      <c r="A79" s="36" t="str">
        <f ca="1">IFERROR(__xludf.DUMMYFUNCTION("""COMPUTED_VALUE"""),"Cornus 'Cherokee Brave'")</f>
        <v>Cornus 'Cherokee Brave'</v>
      </c>
      <c r="B79" s="36">
        <f ca="1">IFERROR(__xludf.DUMMYFUNCTION("""COMPUTED_VALUE"""),5)</f>
        <v>5</v>
      </c>
      <c r="C79" s="36" t="str">
        <f ca="1">IFERROR(__xludf.DUMMYFUNCTION("""COMPUTED_VALUE"""),"Cherokee Brave Dogwood")</f>
        <v>Cherokee Brave Dogwood</v>
      </c>
      <c r="D79" s="36" t="str">
        <f ca="1">IFERROR(__xludf.DUMMYFUNCTION("""COMPUTED_VALUE"""),"#5")</f>
        <v>#5</v>
      </c>
      <c r="E79" s="37" t="str">
        <f ca="1">IFERROR(__xludf.DUMMYFUNCTION("""COMPUTED_VALUE"""),"0.25-0.5""")</f>
        <v>0.25-0.5"</v>
      </c>
      <c r="F79" s="36" t="str">
        <f ca="1">IFERROR(__xludf.DUMMYFUNCTION("""COMPUTED_VALUE"""),"2-3'")</f>
        <v>2-3'</v>
      </c>
      <c r="G79" s="38">
        <f ca="1">IFERROR(__xludf.DUMMYFUNCTION("""COMPUTED_VALUE"""),0)</f>
        <v>0</v>
      </c>
      <c r="H79" s="36">
        <f ca="1">IFERROR(__xludf.DUMMYFUNCTION("""COMPUTED_VALUE"""),100)</f>
        <v>100</v>
      </c>
      <c r="I79" s="39">
        <f ca="1">IFERROR(__xludf.DUMMYFUNCTION("""COMPUTED_VALUE"""),50)</f>
        <v>50</v>
      </c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</row>
    <row r="80" spans="1:26">
      <c r="A80" s="36" t="str">
        <f ca="1">IFERROR(__xludf.DUMMYFUNCTION("""COMPUTED_VALUE"""),"Cornus 'Cherokee Brave'")</f>
        <v>Cornus 'Cherokee Brave'</v>
      </c>
      <c r="B80" s="36">
        <f ca="1">IFERROR(__xludf.DUMMYFUNCTION("""COMPUTED_VALUE"""),7)</f>
        <v>7</v>
      </c>
      <c r="C80" s="36" t="str">
        <f ca="1">IFERROR(__xludf.DUMMYFUNCTION("""COMPUTED_VALUE"""),"Cherokee Brave Dogwood")</f>
        <v>Cherokee Brave Dogwood</v>
      </c>
      <c r="D80" s="36" t="str">
        <f ca="1">IFERROR(__xludf.DUMMYFUNCTION("""COMPUTED_VALUE"""),"#7")</f>
        <v>#7</v>
      </c>
      <c r="E80" s="37" t="str">
        <f ca="1">IFERROR(__xludf.DUMMYFUNCTION("""COMPUTED_VALUE"""),"0.5-0.75""")</f>
        <v>0.5-0.75"</v>
      </c>
      <c r="F80" s="36" t="str">
        <f ca="1">IFERROR(__xludf.DUMMYFUNCTION("""COMPUTED_VALUE"""),"4-5'")</f>
        <v>4-5'</v>
      </c>
      <c r="G80" s="38">
        <f ca="1">IFERROR(__xludf.DUMMYFUNCTION("""COMPUTED_VALUE"""),11)</f>
        <v>11</v>
      </c>
      <c r="H80" s="36">
        <f ca="1">IFERROR(__xludf.DUMMYFUNCTION("""COMPUTED_VALUE"""),0)</f>
        <v>0</v>
      </c>
      <c r="I80" s="39">
        <f ca="1">IFERROR(__xludf.DUMMYFUNCTION("""COMPUTED_VALUE"""),75)</f>
        <v>75</v>
      </c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</row>
    <row r="81" spans="1:26">
      <c r="A81" s="36" t="str">
        <f ca="1">IFERROR(__xludf.DUMMYFUNCTION("""COMPUTED_VALUE"""),"Cornus 'Cherokee Brave'")</f>
        <v>Cornus 'Cherokee Brave'</v>
      </c>
      <c r="B81" s="36">
        <f ca="1">IFERROR(__xludf.DUMMYFUNCTION("""COMPUTED_VALUE"""),10)</f>
        <v>10</v>
      </c>
      <c r="C81" s="36" t="str">
        <f ca="1">IFERROR(__xludf.DUMMYFUNCTION("""COMPUTED_VALUE"""),"Cherokee Brave Dogwood")</f>
        <v>Cherokee Brave Dogwood</v>
      </c>
      <c r="D81" s="36" t="str">
        <f ca="1">IFERROR(__xludf.DUMMYFUNCTION("""COMPUTED_VALUE"""),"#10")</f>
        <v>#10</v>
      </c>
      <c r="E81" s="37" t="str">
        <f ca="1">IFERROR(__xludf.DUMMYFUNCTION("""COMPUTED_VALUE"""),"0.5-0.75""")</f>
        <v>0.5-0.75"</v>
      </c>
      <c r="F81" s="36" t="str">
        <f ca="1">IFERROR(__xludf.DUMMYFUNCTION("""COMPUTED_VALUE"""),"4-5'")</f>
        <v>4-5'</v>
      </c>
      <c r="G81" s="38">
        <f ca="1">IFERROR(__xludf.DUMMYFUNCTION("""COMPUTED_VALUE"""),30)</f>
        <v>30</v>
      </c>
      <c r="H81" s="36">
        <f ca="1">IFERROR(__xludf.DUMMYFUNCTION("""COMPUTED_VALUE"""),0)</f>
        <v>0</v>
      </c>
      <c r="I81" s="39">
        <f ca="1">IFERROR(__xludf.DUMMYFUNCTION("""COMPUTED_VALUE"""),85)</f>
        <v>85</v>
      </c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</row>
    <row r="82" spans="1:26">
      <c r="A82" s="36" t="str">
        <f ca="1">IFERROR(__xludf.DUMMYFUNCTION("""COMPUTED_VALUE"""),"Cornus 'Constellation'")</f>
        <v>Cornus 'Constellation'</v>
      </c>
      <c r="B82" s="36">
        <f ca="1">IFERROR(__xludf.DUMMYFUNCTION("""COMPUTED_VALUE"""),10)</f>
        <v>10</v>
      </c>
      <c r="C82" s="36" t="str">
        <f ca="1">IFERROR(__xludf.DUMMYFUNCTION("""COMPUTED_VALUE"""),"Constellation Dogwood")</f>
        <v>Constellation Dogwood</v>
      </c>
      <c r="D82" s="36" t="str">
        <f ca="1">IFERROR(__xludf.DUMMYFUNCTION("""COMPUTED_VALUE"""),"#10")</f>
        <v>#10</v>
      </c>
      <c r="E82" s="37" t="str">
        <f ca="1">IFERROR(__xludf.DUMMYFUNCTION("""COMPUTED_VALUE"""),"0.5-0.75""")</f>
        <v>0.5-0.75"</v>
      </c>
      <c r="F82" s="36" t="str">
        <f ca="1">IFERROR(__xludf.DUMMYFUNCTION("""COMPUTED_VALUE"""),"5-8'")</f>
        <v>5-8'</v>
      </c>
      <c r="G82" s="38">
        <f ca="1">IFERROR(__xludf.DUMMYFUNCTION("""COMPUTED_VALUE"""),20)</f>
        <v>20</v>
      </c>
      <c r="H82" s="36">
        <f ca="1">IFERROR(__xludf.DUMMYFUNCTION("""COMPUTED_VALUE"""),0)</f>
        <v>0</v>
      </c>
      <c r="I82" s="39">
        <f ca="1">IFERROR(__xludf.DUMMYFUNCTION("""COMPUTED_VALUE"""),85)</f>
        <v>85</v>
      </c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</row>
    <row r="83" spans="1:26">
      <c r="A83" s="36" t="str">
        <f ca="1">IFERROR(__xludf.DUMMYFUNCTION("""COMPUTED_VALUE"""),"Cornus 'Constellation'")</f>
        <v>Cornus 'Constellation'</v>
      </c>
      <c r="B83" s="36">
        <f ca="1">IFERROR(__xludf.DUMMYFUNCTION("""COMPUTED_VALUE"""),15)</f>
        <v>15</v>
      </c>
      <c r="C83" s="36" t="str">
        <f ca="1">IFERROR(__xludf.DUMMYFUNCTION("""COMPUTED_VALUE"""),"Constellation Dogwood")</f>
        <v>Constellation Dogwood</v>
      </c>
      <c r="D83" s="36" t="str">
        <f ca="1">IFERROR(__xludf.DUMMYFUNCTION("""COMPUTED_VALUE"""),"#15")</f>
        <v>#15</v>
      </c>
      <c r="E83" s="37" t="str">
        <f ca="1">IFERROR(__xludf.DUMMYFUNCTION("""COMPUTED_VALUE"""),"1-1""")</f>
        <v>1-1"</v>
      </c>
      <c r="F83" s="36" t="str">
        <f ca="1">IFERROR(__xludf.DUMMYFUNCTION("""COMPUTED_VALUE"""),"8-8'")</f>
        <v>8-8'</v>
      </c>
      <c r="G83" s="38">
        <f ca="1">IFERROR(__xludf.DUMMYFUNCTION("""COMPUTED_VALUE"""),2)</f>
        <v>2</v>
      </c>
      <c r="H83" s="36">
        <f ca="1">IFERROR(__xludf.DUMMYFUNCTION("""COMPUTED_VALUE"""),20)</f>
        <v>20</v>
      </c>
      <c r="I83" s="39">
        <f ca="1">IFERROR(__xludf.DUMMYFUNCTION("""COMPUTED_VALUE"""),110)</f>
        <v>110</v>
      </c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</row>
    <row r="84" spans="1:26">
      <c r="A84" s="36" t="str">
        <f ca="1">IFERROR(__xludf.DUMMYFUNCTION("""COMPUTED_VALUE"""),"Cornus 'Rutdan' Celestial ")</f>
        <v xml:space="preserve">Cornus 'Rutdan' Celestial </v>
      </c>
      <c r="B84" s="36">
        <f ca="1">IFERROR(__xludf.DUMMYFUNCTION("""COMPUTED_VALUE"""),5)</f>
        <v>5</v>
      </c>
      <c r="C84" s="36" t="str">
        <f ca="1">IFERROR(__xludf.DUMMYFUNCTION("""COMPUTED_VALUE"""),"Celestial Dogwood")</f>
        <v>Celestial Dogwood</v>
      </c>
      <c r="D84" s="36" t="str">
        <f ca="1">IFERROR(__xludf.DUMMYFUNCTION("""COMPUTED_VALUE"""),"#5")</f>
        <v>#5</v>
      </c>
      <c r="E84" s="37" t="str">
        <f ca="1">IFERROR(__xludf.DUMMYFUNCTION("""COMPUTED_VALUE"""),"0.75-1""")</f>
        <v>0.75-1"</v>
      </c>
      <c r="F84" s="36" t="str">
        <f ca="1">IFERROR(__xludf.DUMMYFUNCTION("""COMPUTED_VALUE"""),"5-5'")</f>
        <v>5-5'</v>
      </c>
      <c r="G84" s="38">
        <f ca="1">IFERROR(__xludf.DUMMYFUNCTION("""COMPUTED_VALUE"""),48)</f>
        <v>48</v>
      </c>
      <c r="H84" s="36">
        <f ca="1">IFERROR(__xludf.DUMMYFUNCTION("""COMPUTED_VALUE"""),0)</f>
        <v>0</v>
      </c>
      <c r="I84" s="39">
        <f ca="1">IFERROR(__xludf.DUMMYFUNCTION("""COMPUTED_VALUE"""),45)</f>
        <v>45</v>
      </c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</row>
    <row r="85" spans="1:26">
      <c r="A85" s="36" t="str">
        <f ca="1">IFERROR(__xludf.DUMMYFUNCTION("""COMPUTED_VALUE"""),"Cornus 'Rutgan' Stellar Pink")</f>
        <v>Cornus 'Rutgan' Stellar Pink</v>
      </c>
      <c r="B85" s="36">
        <f ca="1">IFERROR(__xludf.DUMMYFUNCTION("""COMPUTED_VALUE"""),10)</f>
        <v>10</v>
      </c>
      <c r="C85" s="36" t="str">
        <f ca="1">IFERROR(__xludf.DUMMYFUNCTION("""COMPUTED_VALUE"""),"Stellar Pink Dogwood")</f>
        <v>Stellar Pink Dogwood</v>
      </c>
      <c r="D85" s="36" t="str">
        <f ca="1">IFERROR(__xludf.DUMMYFUNCTION("""COMPUTED_VALUE"""),"#10")</f>
        <v>#10</v>
      </c>
      <c r="E85" s="37" t="str">
        <f ca="1">IFERROR(__xludf.DUMMYFUNCTION("""COMPUTED_VALUE"""),"0.75-1""")</f>
        <v>0.75-1"</v>
      </c>
      <c r="F85" s="36" t="str">
        <f ca="1">IFERROR(__xludf.DUMMYFUNCTION("""COMPUTED_VALUE"""),"5-8'")</f>
        <v>5-8'</v>
      </c>
      <c r="G85" s="38">
        <f ca="1">IFERROR(__xludf.DUMMYFUNCTION("""COMPUTED_VALUE"""),66)</f>
        <v>66</v>
      </c>
      <c r="H85" s="36">
        <f ca="1">IFERROR(__xludf.DUMMYFUNCTION("""COMPUTED_VALUE"""),100)</f>
        <v>100</v>
      </c>
      <c r="I85" s="39">
        <f ca="1">IFERROR(__xludf.DUMMYFUNCTION("""COMPUTED_VALUE"""),85)</f>
        <v>85</v>
      </c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</row>
    <row r="86" spans="1:26">
      <c r="A86" s="36" t="str">
        <f ca="1">IFERROR(__xludf.DUMMYFUNCTION("""COMPUTED_VALUE"""),"Cornus 'Rutgan' Stellar Pink")</f>
        <v>Cornus 'Rutgan' Stellar Pink</v>
      </c>
      <c r="B86" s="36">
        <f ca="1">IFERROR(__xludf.DUMMYFUNCTION("""COMPUTED_VALUE"""),15)</f>
        <v>15</v>
      </c>
      <c r="C86" s="36" t="str">
        <f ca="1">IFERROR(__xludf.DUMMYFUNCTION("""COMPUTED_VALUE"""),"Stellar Pink Dogwood")</f>
        <v>Stellar Pink Dogwood</v>
      </c>
      <c r="D86" s="36" t="str">
        <f ca="1">IFERROR(__xludf.DUMMYFUNCTION("""COMPUTED_VALUE"""),"#15")</f>
        <v>#15</v>
      </c>
      <c r="E86" s="37" t="str">
        <f ca="1">IFERROR(__xludf.DUMMYFUNCTION("""COMPUTED_VALUE"""),"0.5-0.75""")</f>
        <v>0.5-0.75"</v>
      </c>
      <c r="F86" s="36" t="str">
        <f ca="1">IFERROR(__xludf.DUMMYFUNCTION("""COMPUTED_VALUE"""),"5-6'")</f>
        <v>5-6'</v>
      </c>
      <c r="G86" s="38">
        <f ca="1">IFERROR(__xludf.DUMMYFUNCTION("""COMPUTED_VALUE"""),0)</f>
        <v>0</v>
      </c>
      <c r="H86" s="36">
        <f ca="1">IFERROR(__xludf.DUMMYFUNCTION("""COMPUTED_VALUE"""),10)</f>
        <v>10</v>
      </c>
      <c r="I86" s="39">
        <f ca="1">IFERROR(__xludf.DUMMYFUNCTION("""COMPUTED_VALUE"""),115)</f>
        <v>115</v>
      </c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</row>
    <row r="87" spans="1:26">
      <c r="A87" s="36" t="str">
        <f ca="1">IFERROR(__xludf.DUMMYFUNCTION("""COMPUTED_VALUE"""),"Cornus florida")</f>
        <v>Cornus florida</v>
      </c>
      <c r="B87" s="36">
        <f ca="1">IFERROR(__xludf.DUMMYFUNCTION("""COMPUTED_VALUE"""),5)</f>
        <v>5</v>
      </c>
      <c r="C87" s="36" t="str">
        <f ca="1">IFERROR(__xludf.DUMMYFUNCTION("""COMPUTED_VALUE"""),"White Dogwood")</f>
        <v>White Dogwood</v>
      </c>
      <c r="D87" s="36" t="str">
        <f ca="1">IFERROR(__xludf.DUMMYFUNCTION("""COMPUTED_VALUE"""),"#5")</f>
        <v>#5</v>
      </c>
      <c r="E87" s="37" t="str">
        <f ca="1">IFERROR(__xludf.DUMMYFUNCTION("""COMPUTED_VALUE"""),"0.25-0.25""")</f>
        <v>0.25-0.25"</v>
      </c>
      <c r="F87" s="36" t="str">
        <f ca="1">IFERROR(__xludf.DUMMYFUNCTION("""COMPUTED_VALUE"""),"3-4'")</f>
        <v>3-4'</v>
      </c>
      <c r="G87" s="38">
        <f ca="1">IFERROR(__xludf.DUMMYFUNCTION("""COMPUTED_VALUE"""),42)</f>
        <v>42</v>
      </c>
      <c r="H87" s="36">
        <f ca="1">IFERROR(__xludf.DUMMYFUNCTION("""COMPUTED_VALUE"""),100)</f>
        <v>100</v>
      </c>
      <c r="I87" s="39">
        <f ca="1">IFERROR(__xludf.DUMMYFUNCTION("""COMPUTED_VALUE"""),35)</f>
        <v>35</v>
      </c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</row>
    <row r="88" spans="1:26">
      <c r="A88" s="36" t="str">
        <f ca="1">IFERROR(__xludf.DUMMYFUNCTION("""COMPUTED_VALUE"""),"Cornus kousa")</f>
        <v>Cornus kousa</v>
      </c>
      <c r="B88" s="36">
        <f ca="1">IFERROR(__xludf.DUMMYFUNCTION("""COMPUTED_VALUE"""),5)</f>
        <v>5</v>
      </c>
      <c r="C88" s="36" t="str">
        <f ca="1">IFERROR(__xludf.DUMMYFUNCTION("""COMPUTED_VALUE"""),"Kousa Dogwood")</f>
        <v>Kousa Dogwood</v>
      </c>
      <c r="D88" s="36" t="str">
        <f ca="1">IFERROR(__xludf.DUMMYFUNCTION("""COMPUTED_VALUE"""),"#5")</f>
        <v>#5</v>
      </c>
      <c r="E88" s="37" t="str">
        <f ca="1">IFERROR(__xludf.DUMMYFUNCTION("""COMPUTED_VALUE"""),"0.5-0.75""")</f>
        <v>0.5-0.75"</v>
      </c>
      <c r="F88" s="36" t="str">
        <f ca="1">IFERROR(__xludf.DUMMYFUNCTION("""COMPUTED_VALUE"""),"3-4.5'")</f>
        <v>3-4.5'</v>
      </c>
      <c r="G88" s="38">
        <f ca="1">IFERROR(__xludf.DUMMYFUNCTION("""COMPUTED_VALUE"""),101)</f>
        <v>101</v>
      </c>
      <c r="H88" s="36">
        <f ca="1">IFERROR(__xludf.DUMMYFUNCTION("""COMPUTED_VALUE"""),0)</f>
        <v>0</v>
      </c>
      <c r="I88" s="39">
        <f ca="1">IFERROR(__xludf.DUMMYFUNCTION("""COMPUTED_VALUE"""),35)</f>
        <v>35</v>
      </c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</row>
    <row r="89" spans="1:26">
      <c r="A89" s="36" t="str">
        <f ca="1">IFERROR(__xludf.DUMMYFUNCTION("""COMPUTED_VALUE"""),"Cornus kousa")</f>
        <v>Cornus kousa</v>
      </c>
      <c r="B89" s="36">
        <f ca="1">IFERROR(__xludf.DUMMYFUNCTION("""COMPUTED_VALUE"""),15)</f>
        <v>15</v>
      </c>
      <c r="C89" s="36" t="str">
        <f ca="1">IFERROR(__xludf.DUMMYFUNCTION("""COMPUTED_VALUE"""),"Kousa Dogwood")</f>
        <v>Kousa Dogwood</v>
      </c>
      <c r="D89" s="36" t="str">
        <f ca="1">IFERROR(__xludf.DUMMYFUNCTION("""COMPUTED_VALUE"""),"#15")</f>
        <v>#15</v>
      </c>
      <c r="E89" s="37" t="str">
        <f ca="1">IFERROR(__xludf.DUMMYFUNCTION("""COMPUTED_VALUE"""),"1-1.25""")</f>
        <v>1-1.25"</v>
      </c>
      <c r="F89" s="36" t="str">
        <f ca="1">IFERROR(__xludf.DUMMYFUNCTION("""COMPUTED_VALUE"""),"6-7'")</f>
        <v>6-7'</v>
      </c>
      <c r="G89" s="38">
        <f ca="1">IFERROR(__xludf.DUMMYFUNCTION("""COMPUTED_VALUE"""),6)</f>
        <v>6</v>
      </c>
      <c r="H89" s="36">
        <f ca="1">IFERROR(__xludf.DUMMYFUNCTION("""COMPUTED_VALUE"""),10)</f>
        <v>10</v>
      </c>
      <c r="I89" s="39">
        <f ca="1">IFERROR(__xludf.DUMMYFUNCTION("""COMPUTED_VALUE"""),115)</f>
        <v>115</v>
      </c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</row>
    <row r="90" spans="1:26">
      <c r="A90" s="36" t="str">
        <f ca="1">IFERROR(__xludf.DUMMYFUNCTION("""COMPUTED_VALUE"""),"Cornus kousa 'Rutpink'")</f>
        <v>Cornus kousa 'Rutpink'</v>
      </c>
      <c r="B90" s="36">
        <f ca="1">IFERROR(__xludf.DUMMYFUNCTION("""COMPUTED_VALUE"""),7)</f>
        <v>7</v>
      </c>
      <c r="C90" s="36" t="str">
        <f ca="1">IFERROR(__xludf.DUMMYFUNCTION("""COMPUTED_VALUE"""),"Scarlet Fire Dogwood")</f>
        <v>Scarlet Fire Dogwood</v>
      </c>
      <c r="D90" s="36" t="str">
        <f ca="1">IFERROR(__xludf.DUMMYFUNCTION("""COMPUTED_VALUE"""),"#7")</f>
        <v>#7</v>
      </c>
      <c r="E90" s="37" t="str">
        <f ca="1">IFERROR(__xludf.DUMMYFUNCTION("""COMPUTED_VALUE"""),"0.5-0.75""")</f>
        <v>0.5-0.75"</v>
      </c>
      <c r="F90" s="36" t="str">
        <f ca="1">IFERROR(__xludf.DUMMYFUNCTION("""COMPUTED_VALUE"""),"3-5'")</f>
        <v>3-5'</v>
      </c>
      <c r="G90" s="38">
        <f ca="1">IFERROR(__xludf.DUMMYFUNCTION("""COMPUTED_VALUE"""),17)</f>
        <v>17</v>
      </c>
      <c r="H90" s="36">
        <f ca="1">IFERROR(__xludf.DUMMYFUNCTION("""COMPUTED_VALUE"""),50)</f>
        <v>50</v>
      </c>
      <c r="I90" s="39">
        <f ca="1">IFERROR(__xludf.DUMMYFUNCTION("""COMPUTED_VALUE"""),60)</f>
        <v>60</v>
      </c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</row>
    <row r="91" spans="1:26">
      <c r="A91" s="36" t="str">
        <f ca="1">IFERROR(__xludf.DUMMYFUNCTION("""COMPUTED_VALUE"""),"Cornus kousa 'Rutpink'")</f>
        <v>Cornus kousa 'Rutpink'</v>
      </c>
      <c r="B91" s="36">
        <f ca="1">IFERROR(__xludf.DUMMYFUNCTION("""COMPUTED_VALUE"""),15)</f>
        <v>15</v>
      </c>
      <c r="C91" s="36" t="str">
        <f ca="1">IFERROR(__xludf.DUMMYFUNCTION("""COMPUTED_VALUE"""),"Scarlet Fire Dogwood")</f>
        <v>Scarlet Fire Dogwood</v>
      </c>
      <c r="D91" s="36" t="str">
        <f ca="1">IFERROR(__xludf.DUMMYFUNCTION("""COMPUTED_VALUE"""),"#15")</f>
        <v>#15</v>
      </c>
      <c r="E91" s="37" t="str">
        <f ca="1">IFERROR(__xludf.DUMMYFUNCTION("""COMPUTED_VALUE"""),"1-1""")</f>
        <v>1-1"</v>
      </c>
      <c r="F91" s="36" t="str">
        <f ca="1">IFERROR(__xludf.DUMMYFUNCTION("""COMPUTED_VALUE"""),"7-7'")</f>
        <v>7-7'</v>
      </c>
      <c r="G91" s="38">
        <f ca="1">IFERROR(__xludf.DUMMYFUNCTION("""COMPUTED_VALUE"""),2)</f>
        <v>2</v>
      </c>
      <c r="H91" s="36">
        <f ca="1">IFERROR(__xludf.DUMMYFUNCTION("""COMPUTED_VALUE"""),0)</f>
        <v>0</v>
      </c>
      <c r="I91" s="39">
        <f ca="1">IFERROR(__xludf.DUMMYFUNCTION("""COMPUTED_VALUE"""),115)</f>
        <v>115</v>
      </c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</row>
    <row r="92" spans="1:26">
      <c r="A92" s="36" t="str">
        <f ca="1">IFERROR(__xludf.DUMMYFUNCTION("""COMPUTED_VALUE"""),"Cornus racemosa")</f>
        <v>Cornus racemosa</v>
      </c>
      <c r="B92" s="36">
        <f ca="1">IFERROR(__xludf.DUMMYFUNCTION("""COMPUTED_VALUE"""),5)</f>
        <v>5</v>
      </c>
      <c r="C92" s="36" t="str">
        <f ca="1">IFERROR(__xludf.DUMMYFUNCTION("""COMPUTED_VALUE"""),"Gray Dogwood")</f>
        <v>Gray Dogwood</v>
      </c>
      <c r="D92" s="36" t="str">
        <f ca="1">IFERROR(__xludf.DUMMYFUNCTION("""COMPUTED_VALUE"""),"#5")</f>
        <v>#5</v>
      </c>
      <c r="E92" s="37" t="str">
        <f ca="1">IFERROR(__xludf.DUMMYFUNCTION("""COMPUTED_VALUE"""),"0.5-0.75""")</f>
        <v>0.5-0.75"</v>
      </c>
      <c r="F92" s="36" t="str">
        <f ca="1">IFERROR(__xludf.DUMMYFUNCTION("""COMPUTED_VALUE"""),"4-5'")</f>
        <v>4-5'</v>
      </c>
      <c r="G92" s="38">
        <f ca="1">IFERROR(__xludf.DUMMYFUNCTION("""COMPUTED_VALUE"""),27)</f>
        <v>27</v>
      </c>
      <c r="H92" s="36">
        <f ca="1">IFERROR(__xludf.DUMMYFUNCTION("""COMPUTED_VALUE"""),0)</f>
        <v>0</v>
      </c>
      <c r="I92" s="39">
        <f ca="1">IFERROR(__xludf.DUMMYFUNCTION("""COMPUTED_VALUE"""),30)</f>
        <v>30</v>
      </c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</row>
    <row r="93" spans="1:26">
      <c r="A93" s="36" t="str">
        <f ca="1">IFERROR(__xludf.DUMMYFUNCTION("""COMPUTED_VALUE"""),"Cornus sericea")</f>
        <v>Cornus sericea</v>
      </c>
      <c r="B93" s="36">
        <f ca="1">IFERROR(__xludf.DUMMYFUNCTION("""COMPUTED_VALUE"""),5)</f>
        <v>5</v>
      </c>
      <c r="C93" s="36" t="str">
        <f ca="1">IFERROR(__xludf.DUMMYFUNCTION("""COMPUTED_VALUE"""),"Red Twig Dogwood")</f>
        <v>Red Twig Dogwood</v>
      </c>
      <c r="D93" s="36" t="str">
        <f ca="1">IFERROR(__xludf.DUMMYFUNCTION("""COMPUTED_VALUE"""),"#5")</f>
        <v>#5</v>
      </c>
      <c r="E93" s="40" t="str">
        <f ca="1">IFERROR(__xludf.DUMMYFUNCTION("""COMPUTED_VALUE"""),"Multi")</f>
        <v>Multi</v>
      </c>
      <c r="F93" s="36" t="str">
        <f ca="1">IFERROR(__xludf.DUMMYFUNCTION("""COMPUTED_VALUE"""),"4-5'")</f>
        <v>4-5'</v>
      </c>
      <c r="G93" s="38">
        <f ca="1">IFERROR(__xludf.DUMMYFUNCTION("""COMPUTED_VALUE"""),42)</f>
        <v>42</v>
      </c>
      <c r="H93" s="36">
        <f ca="1">IFERROR(__xludf.DUMMYFUNCTION("""COMPUTED_VALUE"""),100)</f>
        <v>100</v>
      </c>
      <c r="I93" s="39">
        <f ca="1">IFERROR(__xludf.DUMMYFUNCTION("""COMPUTED_VALUE"""),30)</f>
        <v>30</v>
      </c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</row>
    <row r="94" spans="1:26">
      <c r="A94" s="36" t="str">
        <f ca="1">IFERROR(__xludf.DUMMYFUNCTION("""COMPUTED_VALUE"""),"Cornus sericea 'Baileyi'")</f>
        <v>Cornus sericea 'Baileyi'</v>
      </c>
      <c r="B94" s="36">
        <f ca="1">IFERROR(__xludf.DUMMYFUNCTION("""COMPUTED_VALUE"""),5)</f>
        <v>5</v>
      </c>
      <c r="C94" s="36" t="str">
        <f ca="1">IFERROR(__xludf.DUMMYFUNCTION("""COMPUTED_VALUE"""),"Baileyi Red Twig Dogwood")</f>
        <v>Baileyi Red Twig Dogwood</v>
      </c>
      <c r="D94" s="36" t="str">
        <f ca="1">IFERROR(__xludf.DUMMYFUNCTION("""COMPUTED_VALUE"""),"#5")</f>
        <v>#5</v>
      </c>
      <c r="E94" s="40" t="str">
        <f ca="1">IFERROR(__xludf.DUMMYFUNCTION("""COMPUTED_VALUE"""),"Multi")</f>
        <v>Multi</v>
      </c>
      <c r="F94" s="36" t="str">
        <f ca="1">IFERROR(__xludf.DUMMYFUNCTION("""COMPUTED_VALUE"""),"3-5'")</f>
        <v>3-5'</v>
      </c>
      <c r="G94" s="38">
        <f ca="1">IFERROR(__xludf.DUMMYFUNCTION("""COMPUTED_VALUE"""),11)</f>
        <v>11</v>
      </c>
      <c r="H94" s="36">
        <f ca="1">IFERROR(__xludf.DUMMYFUNCTION("""COMPUTED_VALUE"""),0)</f>
        <v>0</v>
      </c>
      <c r="I94" s="39">
        <f ca="1">IFERROR(__xludf.DUMMYFUNCTION("""COMPUTED_VALUE"""),30)</f>
        <v>30</v>
      </c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</row>
    <row r="95" spans="1:26">
      <c r="A95" s="36" t="str">
        <f ca="1">IFERROR(__xludf.DUMMYFUNCTION("""COMPUTED_VALUE"""),"Corylus americana")</f>
        <v>Corylus americana</v>
      </c>
      <c r="B95" s="36">
        <f ca="1">IFERROR(__xludf.DUMMYFUNCTION("""COMPUTED_VALUE"""),5)</f>
        <v>5</v>
      </c>
      <c r="C95" s="36" t="str">
        <f ca="1">IFERROR(__xludf.DUMMYFUNCTION("""COMPUTED_VALUE"""),"American Hazelnut")</f>
        <v>American Hazelnut</v>
      </c>
      <c r="D95" s="36" t="str">
        <f ca="1">IFERROR(__xludf.DUMMYFUNCTION("""COMPUTED_VALUE"""),"#5")</f>
        <v>#5</v>
      </c>
      <c r="E95" s="37" t="str">
        <f ca="1">IFERROR(__xludf.DUMMYFUNCTION("""COMPUTED_VALUE"""),"Multi")</f>
        <v>Multi</v>
      </c>
      <c r="F95" s="36" t="str">
        <f ca="1">IFERROR(__xludf.DUMMYFUNCTION("""COMPUTED_VALUE"""),"2-4'")</f>
        <v>2-4'</v>
      </c>
      <c r="G95" s="38">
        <f ca="1">IFERROR(__xludf.DUMMYFUNCTION("""COMPUTED_VALUE"""),22)</f>
        <v>22</v>
      </c>
      <c r="H95" s="36">
        <f ca="1">IFERROR(__xludf.DUMMYFUNCTION("""COMPUTED_VALUE"""),0)</f>
        <v>0</v>
      </c>
      <c r="I95" s="39">
        <f ca="1">IFERROR(__xludf.DUMMYFUNCTION("""COMPUTED_VALUE"""),35)</f>
        <v>35</v>
      </c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</row>
    <row r="96" spans="1:26">
      <c r="A96" s="36" t="str">
        <f ca="1">IFERROR(__xludf.DUMMYFUNCTION("""COMPUTED_VALUE"""),"Cotinus 'Grace'")</f>
        <v>Cotinus 'Grace'</v>
      </c>
      <c r="B96" s="36">
        <f ca="1">IFERROR(__xludf.DUMMYFUNCTION("""COMPUTED_VALUE"""),7)</f>
        <v>7</v>
      </c>
      <c r="C96" s="36" t="str">
        <f ca="1">IFERROR(__xludf.DUMMYFUNCTION("""COMPUTED_VALUE"""),"Grace Smokebush")</f>
        <v>Grace Smokebush</v>
      </c>
      <c r="D96" s="36" t="str">
        <f ca="1">IFERROR(__xludf.DUMMYFUNCTION("""COMPUTED_VALUE"""),"#7")</f>
        <v>#7</v>
      </c>
      <c r="E96" s="37" t="str">
        <f ca="1">IFERROR(__xludf.DUMMYFUNCTION("""COMPUTED_VALUE"""),"1.5-1.5""")</f>
        <v>1.5-1.5"</v>
      </c>
      <c r="F96" s="36" t="str">
        <f ca="1">IFERROR(__xludf.DUMMYFUNCTION("""COMPUTED_VALUE"""),"8-8'")</f>
        <v>8-8'</v>
      </c>
      <c r="G96" s="38">
        <f ca="1">IFERROR(__xludf.DUMMYFUNCTION("""COMPUTED_VALUE"""),1)</f>
        <v>1</v>
      </c>
      <c r="H96" s="36">
        <f ca="1">IFERROR(__xludf.DUMMYFUNCTION("""COMPUTED_VALUE"""),0)</f>
        <v>0</v>
      </c>
      <c r="I96" s="39">
        <f ca="1">IFERROR(__xludf.DUMMYFUNCTION("""COMPUTED_VALUE"""),75)</f>
        <v>75</v>
      </c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</row>
    <row r="97" spans="1:26">
      <c r="A97" s="36" t="str">
        <f ca="1">IFERROR(__xludf.DUMMYFUNCTION("""COMPUTED_VALUE"""),"Cotinus coggygria 'Royal Purple'")</f>
        <v>Cotinus coggygria 'Royal Purple'</v>
      </c>
      <c r="B97" s="36">
        <f ca="1">IFERROR(__xludf.DUMMYFUNCTION("""COMPUTED_VALUE"""),5)</f>
        <v>5</v>
      </c>
      <c r="C97" s="36" t="str">
        <f ca="1">IFERROR(__xludf.DUMMYFUNCTION("""COMPUTED_VALUE"""),"Royal Purple Smokebush")</f>
        <v>Royal Purple Smokebush</v>
      </c>
      <c r="D97" s="36" t="str">
        <f ca="1">IFERROR(__xludf.DUMMYFUNCTION("""COMPUTED_VALUE"""),"#5")</f>
        <v>#5</v>
      </c>
      <c r="E97" s="37" t="str">
        <f ca="1">IFERROR(__xludf.DUMMYFUNCTION("""COMPUTED_VALUE"""),"0.25-0.5""")</f>
        <v>0.25-0.5"</v>
      </c>
      <c r="F97" s="36" t="str">
        <f ca="1">IFERROR(__xludf.DUMMYFUNCTION("""COMPUTED_VALUE"""),"3-5'")</f>
        <v>3-5'</v>
      </c>
      <c r="G97" s="38">
        <f ca="1">IFERROR(__xludf.DUMMYFUNCTION("""COMPUTED_VALUE"""),48)</f>
        <v>48</v>
      </c>
      <c r="H97" s="36">
        <f ca="1">IFERROR(__xludf.DUMMYFUNCTION("""COMPUTED_VALUE"""),20)</f>
        <v>20</v>
      </c>
      <c r="I97" s="39">
        <f ca="1">IFERROR(__xludf.DUMMYFUNCTION("""COMPUTED_VALUE"""),35)</f>
        <v>35</v>
      </c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</row>
    <row r="98" spans="1:26">
      <c r="A98" s="36" t="str">
        <f ca="1">IFERROR(__xludf.DUMMYFUNCTION("""COMPUTED_VALUE"""),"Cotinus obovatus")</f>
        <v>Cotinus obovatus</v>
      </c>
      <c r="B98" s="36">
        <f ca="1">IFERROR(__xludf.DUMMYFUNCTION("""COMPUTED_VALUE"""),5)</f>
        <v>5</v>
      </c>
      <c r="C98" s="36" t="str">
        <f ca="1">IFERROR(__xludf.DUMMYFUNCTION("""COMPUTED_VALUE"""),"Smokebush (Native)")</f>
        <v>Smokebush (Native)</v>
      </c>
      <c r="D98" s="36" t="str">
        <f ca="1">IFERROR(__xludf.DUMMYFUNCTION("""COMPUTED_VALUE"""),"#5")</f>
        <v>#5</v>
      </c>
      <c r="E98" s="40" t="str">
        <f ca="1">IFERROR(__xludf.DUMMYFUNCTION("""COMPUTED_VALUE"""),"Multi")</f>
        <v>Multi</v>
      </c>
      <c r="F98" s="36" t="str">
        <f ca="1">IFERROR(__xludf.DUMMYFUNCTION("""COMPUTED_VALUE"""),"4-9'")</f>
        <v>4-9'</v>
      </c>
      <c r="G98" s="38">
        <f ca="1">IFERROR(__xludf.DUMMYFUNCTION("""COMPUTED_VALUE"""),175)</f>
        <v>175</v>
      </c>
      <c r="H98" s="36">
        <f ca="1">IFERROR(__xludf.DUMMYFUNCTION("""COMPUTED_VALUE"""),0)</f>
        <v>0</v>
      </c>
      <c r="I98" s="39">
        <f ca="1">IFERROR(__xludf.DUMMYFUNCTION("""COMPUTED_VALUE"""),35)</f>
        <v>35</v>
      </c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</row>
    <row r="99" spans="1:26">
      <c r="A99" s="36" t="str">
        <f ca="1">IFERROR(__xludf.DUMMYFUNCTION("""COMPUTED_VALUE"""),"Crataegus crus-gali var. inermis")</f>
        <v>Crataegus crus-gali var. inermis</v>
      </c>
      <c r="B99" s="36">
        <f ca="1">IFERROR(__xludf.DUMMYFUNCTION("""COMPUTED_VALUE"""),25)</f>
        <v>25</v>
      </c>
      <c r="C99" s="36" t="str">
        <f ca="1">IFERROR(__xludf.DUMMYFUNCTION("""COMPUTED_VALUE"""),"Thornless Hawthorn")</f>
        <v>Thornless Hawthorn</v>
      </c>
      <c r="D99" s="36" t="str">
        <f ca="1">IFERROR(__xludf.DUMMYFUNCTION("""COMPUTED_VALUE"""),"#25p")</f>
        <v>#25p</v>
      </c>
      <c r="E99" s="37" t="str">
        <f ca="1">IFERROR(__xludf.DUMMYFUNCTION("""COMPUTED_VALUE"""),"1.5-1.5""")</f>
        <v>1.5-1.5"</v>
      </c>
      <c r="F99" s="36" t="str">
        <f ca="1">IFERROR(__xludf.DUMMYFUNCTION("""COMPUTED_VALUE"""),"9-9'")</f>
        <v>9-9'</v>
      </c>
      <c r="G99" s="38">
        <f ca="1">IFERROR(__xludf.DUMMYFUNCTION("""COMPUTED_VALUE"""),1)</f>
        <v>1</v>
      </c>
      <c r="H99" s="36">
        <f ca="1">IFERROR(__xludf.DUMMYFUNCTION("""COMPUTED_VALUE"""),0)</f>
        <v>0</v>
      </c>
      <c r="I99" s="39">
        <f ca="1">IFERROR(__xludf.DUMMYFUNCTION("""COMPUTED_VALUE"""),135)</f>
        <v>135</v>
      </c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</row>
    <row r="100" spans="1:26">
      <c r="A100" s="36" t="str">
        <f ca="1">IFERROR(__xludf.DUMMYFUNCTION("""COMPUTED_VALUE"""),"Crataegus viridis 'Winter King'")</f>
        <v>Crataegus viridis 'Winter King'</v>
      </c>
      <c r="B100" s="36">
        <f ca="1">IFERROR(__xludf.DUMMYFUNCTION("""COMPUTED_VALUE"""),15)</f>
        <v>15</v>
      </c>
      <c r="C100" s="36" t="str">
        <f ca="1">IFERROR(__xludf.DUMMYFUNCTION("""COMPUTED_VALUE"""),"Winter King Hawthorn")</f>
        <v>Winter King Hawthorn</v>
      </c>
      <c r="D100" s="36" t="str">
        <f ca="1">IFERROR(__xludf.DUMMYFUNCTION("""COMPUTED_VALUE"""),"#15")</f>
        <v>#15</v>
      </c>
      <c r="E100" s="37" t="str">
        <f ca="1">IFERROR(__xludf.DUMMYFUNCTION("""COMPUTED_VALUE"""),"1-1.25""")</f>
        <v>1-1.25"</v>
      </c>
      <c r="F100" s="36" t="str">
        <f ca="1">IFERROR(__xludf.DUMMYFUNCTION("""COMPUTED_VALUE"""),"9-10'")</f>
        <v>9-10'</v>
      </c>
      <c r="G100" s="38">
        <f ca="1">IFERROR(__xludf.DUMMYFUNCTION("""COMPUTED_VALUE"""),7)</f>
        <v>7</v>
      </c>
      <c r="H100" s="36">
        <f ca="1">IFERROR(__xludf.DUMMYFUNCTION("""COMPUTED_VALUE"""),25)</f>
        <v>25</v>
      </c>
      <c r="I100" s="39">
        <f ca="1">IFERROR(__xludf.DUMMYFUNCTION("""COMPUTED_VALUE"""),110)</f>
        <v>110</v>
      </c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</row>
    <row r="101" spans="1:26">
      <c r="A101" s="36" t="str">
        <f ca="1">IFERROR(__xludf.DUMMYFUNCTION("""COMPUTED_VALUE"""),"Diospyros virginiana")</f>
        <v>Diospyros virginiana</v>
      </c>
      <c r="B101" s="36">
        <f ca="1">IFERROR(__xludf.DUMMYFUNCTION("""COMPUTED_VALUE"""),5)</f>
        <v>5</v>
      </c>
      <c r="C101" s="36" t="str">
        <f ca="1">IFERROR(__xludf.DUMMYFUNCTION("""COMPUTED_VALUE"""),"American Persimmon")</f>
        <v>American Persimmon</v>
      </c>
      <c r="D101" s="36" t="str">
        <f ca="1">IFERROR(__xludf.DUMMYFUNCTION("""COMPUTED_VALUE"""),"#5")</f>
        <v>#5</v>
      </c>
      <c r="E101" s="37" t="str">
        <f ca="1">IFERROR(__xludf.DUMMYFUNCTION("""COMPUTED_VALUE"""),"0.125-0.75""")</f>
        <v>0.125-0.75"</v>
      </c>
      <c r="F101" s="36" t="str">
        <f ca="1">IFERROR(__xludf.DUMMYFUNCTION("""COMPUTED_VALUE"""),"1-6'")</f>
        <v>1-6'</v>
      </c>
      <c r="G101" s="38">
        <f ca="1">IFERROR(__xludf.DUMMYFUNCTION("""COMPUTED_VALUE"""),68)</f>
        <v>68</v>
      </c>
      <c r="H101" s="36">
        <f ca="1">IFERROR(__xludf.DUMMYFUNCTION("""COMPUTED_VALUE"""),150)</f>
        <v>150</v>
      </c>
      <c r="I101" s="39">
        <f ca="1">IFERROR(__xludf.DUMMYFUNCTION("""COMPUTED_VALUE"""),35)</f>
        <v>35</v>
      </c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</row>
    <row r="102" spans="1:26">
      <c r="A102" s="36" t="str">
        <f ca="1">IFERROR(__xludf.DUMMYFUNCTION("""COMPUTED_VALUE"""),"Diospyros virginiana")</f>
        <v>Diospyros virginiana</v>
      </c>
      <c r="B102" s="36">
        <f ca="1">IFERROR(__xludf.DUMMYFUNCTION("""COMPUTED_VALUE"""),7)</f>
        <v>7</v>
      </c>
      <c r="C102" s="36" t="str">
        <f ca="1">IFERROR(__xludf.DUMMYFUNCTION("""COMPUTED_VALUE"""),"American Persimmon")</f>
        <v>American Persimmon</v>
      </c>
      <c r="D102" s="36" t="str">
        <f ca="1">IFERROR(__xludf.DUMMYFUNCTION("""COMPUTED_VALUE"""),"#7")</f>
        <v>#7</v>
      </c>
      <c r="E102" s="37" t="str">
        <f ca="1">IFERROR(__xludf.DUMMYFUNCTION("""COMPUTED_VALUE"""),"0.25-0.5""")</f>
        <v>0.25-0.5"</v>
      </c>
      <c r="F102" s="36" t="str">
        <f ca="1">IFERROR(__xludf.DUMMYFUNCTION("""COMPUTED_VALUE"""),"1-5'")</f>
        <v>1-5'</v>
      </c>
      <c r="G102" s="38">
        <f ca="1">IFERROR(__xludf.DUMMYFUNCTION("""COMPUTED_VALUE"""),3)</f>
        <v>3</v>
      </c>
      <c r="H102" s="36">
        <f ca="1">IFERROR(__xludf.DUMMYFUNCTION("""COMPUTED_VALUE"""),0)</f>
        <v>0</v>
      </c>
      <c r="I102" s="39">
        <f ca="1">IFERROR(__xludf.DUMMYFUNCTION("""COMPUTED_VALUE"""),45)</f>
        <v>45</v>
      </c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</row>
    <row r="103" spans="1:26">
      <c r="A103" s="36" t="str">
        <f ca="1">IFERROR(__xludf.DUMMYFUNCTION("""COMPUTED_VALUE"""),"Eucommia ulmoides")</f>
        <v>Eucommia ulmoides</v>
      </c>
      <c r="B103" s="36">
        <f ca="1">IFERROR(__xludf.DUMMYFUNCTION("""COMPUTED_VALUE"""),15)</f>
        <v>15</v>
      </c>
      <c r="C103" s="36" t="str">
        <f ca="1">IFERROR(__xludf.DUMMYFUNCTION("""COMPUTED_VALUE"""),"Hardy Rubber Tree")</f>
        <v>Hardy Rubber Tree</v>
      </c>
      <c r="D103" s="36" t="str">
        <f ca="1">IFERROR(__xludf.DUMMYFUNCTION("""COMPUTED_VALUE"""),"#15")</f>
        <v>#15</v>
      </c>
      <c r="E103" s="37" t="str">
        <f ca="1">IFERROR(__xludf.DUMMYFUNCTION("""COMPUTED_VALUE"""),"1.75-2""")</f>
        <v>1.75-2"</v>
      </c>
      <c r="F103" s="36" t="str">
        <f ca="1">IFERROR(__xludf.DUMMYFUNCTION("""COMPUTED_VALUE"""),"12-13'")</f>
        <v>12-13'</v>
      </c>
      <c r="G103" s="38">
        <f ca="1">IFERROR(__xludf.DUMMYFUNCTION("""COMPUTED_VALUE"""),5)</f>
        <v>5</v>
      </c>
      <c r="H103" s="36">
        <f ca="1">IFERROR(__xludf.DUMMYFUNCTION("""COMPUTED_VALUE"""),0)</f>
        <v>0</v>
      </c>
      <c r="I103" s="39">
        <f ca="1">IFERROR(__xludf.DUMMYFUNCTION("""COMPUTED_VALUE"""),110)</f>
        <v>110</v>
      </c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</row>
    <row r="104" spans="1:26">
      <c r="A104" s="36" t="str">
        <f ca="1">IFERROR(__xludf.DUMMYFUNCTION("""COMPUTED_VALUE"""),"Euonymus americanus")</f>
        <v>Euonymus americanus</v>
      </c>
      <c r="B104" s="36">
        <f ca="1">IFERROR(__xludf.DUMMYFUNCTION("""COMPUTED_VALUE"""),5)</f>
        <v>5</v>
      </c>
      <c r="C104" s="36" t="str">
        <f ca="1">IFERROR(__xludf.DUMMYFUNCTION("""COMPUTED_VALUE"""),"Strawberry Bush")</f>
        <v>Strawberry Bush</v>
      </c>
      <c r="D104" s="36" t="str">
        <f ca="1">IFERROR(__xludf.DUMMYFUNCTION("""COMPUTED_VALUE"""),"#5")</f>
        <v>#5</v>
      </c>
      <c r="E104" s="37" t="str">
        <f ca="1">IFERROR(__xludf.DUMMYFUNCTION("""COMPUTED_VALUE"""),"0.38-0.25""")</f>
        <v>0.38-0.25"</v>
      </c>
      <c r="F104" s="36" t="str">
        <f ca="1">IFERROR(__xludf.DUMMYFUNCTION("""COMPUTED_VALUE"""),"1-2'")</f>
        <v>1-2'</v>
      </c>
      <c r="G104" s="38">
        <f ca="1">IFERROR(__xludf.DUMMYFUNCTION("""COMPUTED_VALUE"""),0)</f>
        <v>0</v>
      </c>
      <c r="H104" s="36">
        <f ca="1">IFERROR(__xludf.DUMMYFUNCTION("""COMPUTED_VALUE"""),50)</f>
        <v>50</v>
      </c>
      <c r="I104" s="39">
        <f ca="1">IFERROR(__xludf.DUMMYFUNCTION("""COMPUTED_VALUE"""),40)</f>
        <v>40</v>
      </c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</row>
    <row r="105" spans="1:26">
      <c r="A105" s="36" t="str">
        <f ca="1">IFERROR(__xludf.DUMMYFUNCTION("""COMPUTED_VALUE"""),"Fagus grandiflora")</f>
        <v>Fagus grandiflora</v>
      </c>
      <c r="B105" s="36">
        <f ca="1">IFERROR(__xludf.DUMMYFUNCTION("""COMPUTED_VALUE"""),5)</f>
        <v>5</v>
      </c>
      <c r="C105" s="36" t="str">
        <f ca="1">IFERROR(__xludf.DUMMYFUNCTION("""COMPUTED_VALUE"""),"American Beech")</f>
        <v>American Beech</v>
      </c>
      <c r="D105" s="36" t="str">
        <f ca="1">IFERROR(__xludf.DUMMYFUNCTION("""COMPUTED_VALUE"""),"#5")</f>
        <v>#5</v>
      </c>
      <c r="E105" s="37" t="str">
        <f ca="1">IFERROR(__xludf.DUMMYFUNCTION("""COMPUTED_VALUE"""),"0.25-0.5""")</f>
        <v>0.25-0.5"</v>
      </c>
      <c r="F105" s="36" t="str">
        <f ca="1">IFERROR(__xludf.DUMMYFUNCTION("""COMPUTED_VALUE"""),"3-4'")</f>
        <v>3-4'</v>
      </c>
      <c r="G105" s="38">
        <f ca="1">IFERROR(__xludf.DUMMYFUNCTION("""COMPUTED_VALUE"""),0)</f>
        <v>0</v>
      </c>
      <c r="H105" s="36">
        <f ca="1">IFERROR(__xludf.DUMMYFUNCTION("""COMPUTED_VALUE"""),55)</f>
        <v>55</v>
      </c>
      <c r="I105" s="39">
        <f ca="1">IFERROR(__xludf.DUMMYFUNCTION("""COMPUTED_VALUE"""),75)</f>
        <v>75</v>
      </c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</row>
    <row r="106" spans="1:26">
      <c r="A106" s="36" t="str">
        <f ca="1">IFERROR(__xludf.DUMMYFUNCTION("""COMPUTED_VALUE"""),"Fagus grandiflora")</f>
        <v>Fagus grandiflora</v>
      </c>
      <c r="B106" s="36">
        <f ca="1">IFERROR(__xludf.DUMMYFUNCTION("""COMPUTED_VALUE"""),15)</f>
        <v>15</v>
      </c>
      <c r="C106" s="36" t="str">
        <f ca="1">IFERROR(__xludf.DUMMYFUNCTION("""COMPUTED_VALUE"""),"American Beech")</f>
        <v>American Beech</v>
      </c>
      <c r="D106" s="36" t="str">
        <f ca="1">IFERROR(__xludf.DUMMYFUNCTION("""COMPUTED_VALUE"""),"#15")</f>
        <v>#15</v>
      </c>
      <c r="E106" s="37" t="str">
        <f ca="1">IFERROR(__xludf.DUMMYFUNCTION("""COMPUTED_VALUE"""),"1-1.5""")</f>
        <v>1-1.5"</v>
      </c>
      <c r="F106" s="36" t="str">
        <f ca="1">IFERROR(__xludf.DUMMYFUNCTION("""COMPUTED_VALUE"""),"6-8'")</f>
        <v>6-8'</v>
      </c>
      <c r="G106" s="38">
        <f ca="1">IFERROR(__xludf.DUMMYFUNCTION("""COMPUTED_VALUE"""),5)</f>
        <v>5</v>
      </c>
      <c r="H106" s="36">
        <f ca="1">IFERROR(__xludf.DUMMYFUNCTION("""COMPUTED_VALUE"""),0)</f>
        <v>0</v>
      </c>
      <c r="I106" s="39">
        <f ca="1">IFERROR(__xludf.DUMMYFUNCTION("""COMPUTED_VALUE"""),150)</f>
        <v>150</v>
      </c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</row>
    <row r="107" spans="1:26">
      <c r="A107" s="36" t="str">
        <f ca="1">IFERROR(__xludf.DUMMYFUNCTION("""COMPUTED_VALUE"""),"Fagus sylvatica")</f>
        <v>Fagus sylvatica</v>
      </c>
      <c r="B107" s="36">
        <f ca="1">IFERROR(__xludf.DUMMYFUNCTION("""COMPUTED_VALUE"""),5)</f>
        <v>5</v>
      </c>
      <c r="C107" s="36" t="str">
        <f ca="1">IFERROR(__xludf.DUMMYFUNCTION("""COMPUTED_VALUE"""),"European Beech")</f>
        <v>European Beech</v>
      </c>
      <c r="D107" s="36" t="str">
        <f ca="1">IFERROR(__xludf.DUMMYFUNCTION("""COMPUTED_VALUE"""),"#5")</f>
        <v>#5</v>
      </c>
      <c r="E107" s="37" t="str">
        <f ca="1">IFERROR(__xludf.DUMMYFUNCTION("""COMPUTED_VALUE"""),"1-1""")</f>
        <v>1-1"</v>
      </c>
      <c r="F107" s="36" t="str">
        <f ca="1">IFERROR(__xludf.DUMMYFUNCTION("""COMPUTED_VALUE"""),"6-7'")</f>
        <v>6-7'</v>
      </c>
      <c r="G107" s="38">
        <f ca="1">IFERROR(__xludf.DUMMYFUNCTION("""COMPUTED_VALUE"""),17)</f>
        <v>17</v>
      </c>
      <c r="H107" s="36">
        <f ca="1">IFERROR(__xludf.DUMMYFUNCTION("""COMPUTED_VALUE"""),0)</f>
        <v>0</v>
      </c>
      <c r="I107" s="39">
        <f ca="1">IFERROR(__xludf.DUMMYFUNCTION("""COMPUTED_VALUE"""),40)</f>
        <v>40</v>
      </c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</row>
    <row r="108" spans="1:26">
      <c r="A108" s="36" t="str">
        <f ca="1">IFERROR(__xludf.DUMMYFUNCTION("""COMPUTED_VALUE"""),"Fagus sylvatica")</f>
        <v>Fagus sylvatica</v>
      </c>
      <c r="B108" s="36">
        <f ca="1">IFERROR(__xludf.DUMMYFUNCTION("""COMPUTED_VALUE"""),10)</f>
        <v>10</v>
      </c>
      <c r="C108" s="36" t="str">
        <f ca="1">IFERROR(__xludf.DUMMYFUNCTION("""COMPUTED_VALUE"""),"European Beech")</f>
        <v>European Beech</v>
      </c>
      <c r="D108" s="36" t="str">
        <f ca="1">IFERROR(__xludf.DUMMYFUNCTION("""COMPUTED_VALUE"""),"#10")</f>
        <v>#10</v>
      </c>
      <c r="E108" s="37" t="str">
        <f ca="1">IFERROR(__xludf.DUMMYFUNCTION("""COMPUTED_VALUE"""),"1.25-1.25""")</f>
        <v>1.25-1.25"</v>
      </c>
      <c r="F108" s="36" t="str">
        <f ca="1">IFERROR(__xludf.DUMMYFUNCTION("""COMPUTED_VALUE"""),"9-13'")</f>
        <v>9-13'</v>
      </c>
      <c r="G108" s="38">
        <f ca="1">IFERROR(__xludf.DUMMYFUNCTION("""COMPUTED_VALUE"""),1)</f>
        <v>1</v>
      </c>
      <c r="H108" s="36">
        <f ca="1">IFERROR(__xludf.DUMMYFUNCTION("""COMPUTED_VALUE"""),0)</f>
        <v>0</v>
      </c>
      <c r="I108" s="39">
        <f ca="1">IFERROR(__xludf.DUMMYFUNCTION("""COMPUTED_VALUE"""),100)</f>
        <v>100</v>
      </c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</row>
    <row r="109" spans="1:26">
      <c r="A109" s="36" t="str">
        <f ca="1">IFERROR(__xludf.DUMMYFUNCTION("""COMPUTED_VALUE"""),"Fagus sylvatica f. purpurea")</f>
        <v>Fagus sylvatica f. purpurea</v>
      </c>
      <c r="B109" s="36">
        <f ca="1">IFERROR(__xludf.DUMMYFUNCTION("""COMPUTED_VALUE"""),10)</f>
        <v>10</v>
      </c>
      <c r="C109" s="36" t="str">
        <f ca="1">IFERROR(__xludf.DUMMYFUNCTION("""COMPUTED_VALUE"""),"Purple Beech")</f>
        <v>Purple Beech</v>
      </c>
      <c r="D109" s="36" t="str">
        <f ca="1">IFERROR(__xludf.DUMMYFUNCTION("""COMPUTED_VALUE"""),"#10")</f>
        <v>#10</v>
      </c>
      <c r="E109" s="37" t="str">
        <f ca="1">IFERROR(__xludf.DUMMYFUNCTION("""COMPUTED_VALUE"""),"0.75-1""")</f>
        <v>0.75-1"</v>
      </c>
      <c r="F109" s="36" t="str">
        <f ca="1">IFERROR(__xludf.DUMMYFUNCTION("""COMPUTED_VALUE"""),"4-5'")</f>
        <v>4-5'</v>
      </c>
      <c r="G109" s="38">
        <f ca="1">IFERROR(__xludf.DUMMYFUNCTION("""COMPUTED_VALUE"""),3)</f>
        <v>3</v>
      </c>
      <c r="H109" s="36">
        <f ca="1">IFERROR(__xludf.DUMMYFUNCTION("""COMPUTED_VALUE"""),0)</f>
        <v>0</v>
      </c>
      <c r="I109" s="39">
        <f ca="1">IFERROR(__xludf.DUMMYFUNCTION("""COMPUTED_VALUE"""),80)</f>
        <v>80</v>
      </c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</row>
    <row r="110" spans="1:26">
      <c r="A110" s="36" t="str">
        <f ca="1">IFERROR(__xludf.DUMMYFUNCTION("""COMPUTED_VALUE"""),"Fothergilla x 'Mt. Airy'")</f>
        <v>Fothergilla x 'Mt. Airy'</v>
      </c>
      <c r="B110" s="36">
        <f ca="1">IFERROR(__xludf.DUMMYFUNCTION("""COMPUTED_VALUE"""),5)</f>
        <v>5</v>
      </c>
      <c r="C110" s="36" t="str">
        <f ca="1">IFERROR(__xludf.DUMMYFUNCTION("""COMPUTED_VALUE"""),"Mt. Airy Fothergilla")</f>
        <v>Mt. Airy Fothergilla</v>
      </c>
      <c r="D110" s="36" t="str">
        <f ca="1">IFERROR(__xludf.DUMMYFUNCTION("""COMPUTED_VALUE"""),"#5")</f>
        <v>#5</v>
      </c>
      <c r="E110" s="37" t="str">
        <f ca="1">IFERROR(__xludf.DUMMYFUNCTION("""COMPUTED_VALUE"""),"0.38-0.25""")</f>
        <v>0.38-0.25"</v>
      </c>
      <c r="F110" s="36" t="str">
        <f ca="1">IFERROR(__xludf.DUMMYFUNCTION("""COMPUTED_VALUE"""),"1-2'")</f>
        <v>1-2'</v>
      </c>
      <c r="G110" s="38">
        <f ca="1">IFERROR(__xludf.DUMMYFUNCTION("""COMPUTED_VALUE"""),0)</f>
        <v>0</v>
      </c>
      <c r="H110" s="36">
        <f ca="1">IFERROR(__xludf.DUMMYFUNCTION("""COMPUTED_VALUE"""),30)</f>
        <v>30</v>
      </c>
      <c r="I110" s="39">
        <f ca="1">IFERROR(__xludf.DUMMYFUNCTION("""COMPUTED_VALUE"""),30)</f>
        <v>30</v>
      </c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</row>
    <row r="111" spans="1:26">
      <c r="A111" s="36" t="str">
        <f ca="1">IFERROR(__xludf.DUMMYFUNCTION("""COMPUTED_VALUE"""),"Franklinia alatamaha")</f>
        <v>Franklinia alatamaha</v>
      </c>
      <c r="B111" s="36">
        <f ca="1">IFERROR(__xludf.DUMMYFUNCTION("""COMPUTED_VALUE"""),5)</f>
        <v>5</v>
      </c>
      <c r="C111" s="36" t="str">
        <f ca="1">IFERROR(__xludf.DUMMYFUNCTION("""COMPUTED_VALUE"""),"Franklinia")</f>
        <v>Franklinia</v>
      </c>
      <c r="D111" s="36" t="str">
        <f ca="1">IFERROR(__xludf.DUMMYFUNCTION("""COMPUTED_VALUE"""),"#5")</f>
        <v>#5</v>
      </c>
      <c r="E111" s="37" t="str">
        <f ca="1">IFERROR(__xludf.DUMMYFUNCTION("""COMPUTED_VALUE"""),"0.75-1""")</f>
        <v>0.75-1"</v>
      </c>
      <c r="F111" s="36" t="str">
        <f ca="1">IFERROR(__xludf.DUMMYFUNCTION("""COMPUTED_VALUE"""),"5-6'")</f>
        <v>5-6'</v>
      </c>
      <c r="G111" s="38">
        <f ca="1">IFERROR(__xludf.DUMMYFUNCTION("""COMPUTED_VALUE"""),13)</f>
        <v>13</v>
      </c>
      <c r="H111" s="36">
        <f ca="1">IFERROR(__xludf.DUMMYFUNCTION("""COMPUTED_VALUE"""),0)</f>
        <v>0</v>
      </c>
      <c r="I111" s="39">
        <f ca="1">IFERROR(__xludf.DUMMYFUNCTION("""COMPUTED_VALUE"""),50)</f>
        <v>50</v>
      </c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</row>
    <row r="112" spans="1:26">
      <c r="A112" s="36" t="str">
        <f ca="1">IFERROR(__xludf.DUMMYFUNCTION("""COMPUTED_VALUE"""),"Ginkgo biloba 'Autumn Gold'")</f>
        <v>Ginkgo biloba 'Autumn Gold'</v>
      </c>
      <c r="B112" s="36">
        <f ca="1">IFERROR(__xludf.DUMMYFUNCTION("""COMPUTED_VALUE"""),7)</f>
        <v>7</v>
      </c>
      <c r="C112" s="36" t="str">
        <f ca="1">IFERROR(__xludf.DUMMYFUNCTION("""COMPUTED_VALUE"""),"Autumn Gold Ginkgo")</f>
        <v>Autumn Gold Ginkgo</v>
      </c>
      <c r="D112" s="36" t="str">
        <f ca="1">IFERROR(__xludf.DUMMYFUNCTION("""COMPUTED_VALUE"""),"#7")</f>
        <v>#7</v>
      </c>
      <c r="E112" s="37" t="str">
        <f ca="1">IFERROR(__xludf.DUMMYFUNCTION("""COMPUTED_VALUE"""),"0.5-0.75""")</f>
        <v>0.5-0.75"</v>
      </c>
      <c r="F112" s="36" t="str">
        <f ca="1">IFERROR(__xludf.DUMMYFUNCTION("""COMPUTED_VALUE"""),"3-4'")</f>
        <v>3-4'</v>
      </c>
      <c r="G112" s="38">
        <f ca="1">IFERROR(__xludf.DUMMYFUNCTION("""COMPUTED_VALUE"""),0)</f>
        <v>0</v>
      </c>
      <c r="H112" s="36">
        <f ca="1">IFERROR(__xludf.DUMMYFUNCTION("""COMPUTED_VALUE"""),20)</f>
        <v>20</v>
      </c>
      <c r="I112" s="39">
        <f ca="1">IFERROR(__xludf.DUMMYFUNCTION("""COMPUTED_VALUE"""),50)</f>
        <v>50</v>
      </c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</row>
    <row r="113" spans="1:26">
      <c r="A113" s="36" t="str">
        <f ca="1">IFERROR(__xludf.DUMMYFUNCTION("""COMPUTED_VALUE"""),"Ginkgo biloba 'Autumn Gold'")</f>
        <v>Ginkgo biloba 'Autumn Gold'</v>
      </c>
      <c r="B113" s="36">
        <f ca="1">IFERROR(__xludf.DUMMYFUNCTION("""COMPUTED_VALUE"""),10)</f>
        <v>10</v>
      </c>
      <c r="C113" s="36" t="str">
        <f ca="1">IFERROR(__xludf.DUMMYFUNCTION("""COMPUTED_VALUE"""),"Autumn Gold Ginkgo")</f>
        <v>Autumn Gold Ginkgo</v>
      </c>
      <c r="D113" s="36" t="str">
        <f ca="1">IFERROR(__xludf.DUMMYFUNCTION("""COMPUTED_VALUE"""),"#10")</f>
        <v>#10</v>
      </c>
      <c r="E113" s="37" t="str">
        <f ca="1">IFERROR(__xludf.DUMMYFUNCTION("""COMPUTED_VALUE"""),"0.25-0.5""")</f>
        <v>0.25-0.5"</v>
      </c>
      <c r="F113" s="36" t="str">
        <f ca="1">IFERROR(__xludf.DUMMYFUNCTION("""COMPUTED_VALUE"""),"2-3'")</f>
        <v>2-3'</v>
      </c>
      <c r="G113" s="38">
        <f ca="1">IFERROR(__xludf.DUMMYFUNCTION("""COMPUTED_VALUE"""),0)</f>
        <v>0</v>
      </c>
      <c r="H113" s="36">
        <f ca="1">IFERROR(__xludf.DUMMYFUNCTION("""COMPUTED_VALUE"""),20)</f>
        <v>20</v>
      </c>
      <c r="I113" s="39">
        <f ca="1">IFERROR(__xludf.DUMMYFUNCTION("""COMPUTED_VALUE"""),50)</f>
        <v>50</v>
      </c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</row>
    <row r="114" spans="1:26">
      <c r="A114" s="36" t="str">
        <f ca="1">IFERROR(__xludf.DUMMYFUNCTION("""COMPUTED_VALUE"""),"Ginkgo biloba 'Princeton Sentry'")</f>
        <v>Ginkgo biloba 'Princeton Sentry'</v>
      </c>
      <c r="B114" s="36">
        <f ca="1">IFERROR(__xludf.DUMMYFUNCTION("""COMPUTED_VALUE"""),15)</f>
        <v>15</v>
      </c>
      <c r="C114" s="36" t="str">
        <f ca="1">IFERROR(__xludf.DUMMYFUNCTION("""COMPUTED_VALUE"""),"Princeton Sentry Ginkgo biloba")</f>
        <v>Princeton Sentry Ginkgo biloba</v>
      </c>
      <c r="D114" s="36" t="str">
        <f ca="1">IFERROR(__xludf.DUMMYFUNCTION("""COMPUTED_VALUE"""),"#15")</f>
        <v>#15</v>
      </c>
      <c r="E114" s="37" t="str">
        <f ca="1">IFERROR(__xludf.DUMMYFUNCTION("""COMPUTED_VALUE"""),"1.25-1.25""")</f>
        <v>1.25-1.25"</v>
      </c>
      <c r="F114" s="36" t="str">
        <f ca="1">IFERROR(__xludf.DUMMYFUNCTION("""COMPUTED_VALUE"""),"9-9'")</f>
        <v>9-9'</v>
      </c>
      <c r="G114" s="38">
        <f ca="1">IFERROR(__xludf.DUMMYFUNCTION("""COMPUTED_VALUE"""),2)</f>
        <v>2</v>
      </c>
      <c r="H114" s="36">
        <f ca="1">IFERROR(__xludf.DUMMYFUNCTION("""COMPUTED_VALUE"""),0)</f>
        <v>0</v>
      </c>
      <c r="I114" s="39">
        <f ca="1">IFERROR(__xludf.DUMMYFUNCTION("""COMPUTED_VALUE"""),110)</f>
        <v>110</v>
      </c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</row>
    <row r="115" spans="1:26">
      <c r="A115" s="36" t="str">
        <f ca="1">IFERROR(__xludf.DUMMYFUNCTION("""COMPUTED_VALUE"""),"Ginkgo biloba 'Windover Gold'")</f>
        <v>Ginkgo biloba 'Windover Gold'</v>
      </c>
      <c r="B115" s="36">
        <f ca="1">IFERROR(__xludf.DUMMYFUNCTION("""COMPUTED_VALUE"""),25)</f>
        <v>25</v>
      </c>
      <c r="C115" s="36" t="str">
        <f ca="1">IFERROR(__xludf.DUMMYFUNCTION("""COMPUTED_VALUE"""),"Windover Gold Ginkgo")</f>
        <v>Windover Gold Ginkgo</v>
      </c>
      <c r="D115" s="36" t="str">
        <f ca="1">IFERROR(__xludf.DUMMYFUNCTION("""COMPUTED_VALUE"""),"#25")</f>
        <v>#25</v>
      </c>
      <c r="E115" s="37" t="str">
        <f ca="1">IFERROR(__xludf.DUMMYFUNCTION("""COMPUTED_VALUE"""),"1.5-1.5""")</f>
        <v>1.5-1.5"</v>
      </c>
      <c r="F115" s="36" t="str">
        <f ca="1">IFERROR(__xludf.DUMMYFUNCTION("""COMPUTED_VALUE"""),"10-11'")</f>
        <v>10-11'</v>
      </c>
      <c r="G115" s="38">
        <f ca="1">IFERROR(__xludf.DUMMYFUNCTION("""COMPUTED_VALUE"""),3)</f>
        <v>3</v>
      </c>
      <c r="H115" s="36">
        <f ca="1">IFERROR(__xludf.DUMMYFUNCTION("""COMPUTED_VALUE"""),0)</f>
        <v>0</v>
      </c>
      <c r="I115" s="39">
        <f ca="1">IFERROR(__xludf.DUMMYFUNCTION("""COMPUTED_VALUE"""),135)</f>
        <v>135</v>
      </c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</row>
    <row r="116" spans="1:26">
      <c r="A116" s="36" t="str">
        <f ca="1">IFERROR(__xludf.DUMMYFUNCTION("""COMPUTED_VALUE"""),"Gledistia triacanthos 'Sunset Gold'")</f>
        <v>Gledistia triacanthos 'Sunset Gold'</v>
      </c>
      <c r="B116" s="36">
        <f ca="1">IFERROR(__xludf.DUMMYFUNCTION("""COMPUTED_VALUE"""),15)</f>
        <v>15</v>
      </c>
      <c r="C116" s="36" t="str">
        <f ca="1">IFERROR(__xludf.DUMMYFUNCTION("""COMPUTED_VALUE"""),"Sunset Gold Honeylocust")</f>
        <v>Sunset Gold Honeylocust</v>
      </c>
      <c r="D116" s="36" t="str">
        <f ca="1">IFERROR(__xludf.DUMMYFUNCTION("""COMPUTED_VALUE"""),"#15")</f>
        <v>#15</v>
      </c>
      <c r="E116" s="37" t="str">
        <f ca="1">IFERROR(__xludf.DUMMYFUNCTION("""COMPUTED_VALUE"""),"1.25-1.5""")</f>
        <v>1.25-1.5"</v>
      </c>
      <c r="F116" s="36" t="str">
        <f ca="1">IFERROR(__xludf.DUMMYFUNCTION("""COMPUTED_VALUE"""),"8-10'")</f>
        <v>8-10'</v>
      </c>
      <c r="G116" s="38">
        <f ca="1">IFERROR(__xludf.DUMMYFUNCTION("""COMPUTED_VALUE"""),8)</f>
        <v>8</v>
      </c>
      <c r="H116" s="36">
        <f ca="1">IFERROR(__xludf.DUMMYFUNCTION("""COMPUTED_VALUE"""),0)</f>
        <v>0</v>
      </c>
      <c r="I116" s="39">
        <f ca="1">IFERROR(__xludf.DUMMYFUNCTION("""COMPUTED_VALUE"""),110)</f>
        <v>110</v>
      </c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</row>
    <row r="117" spans="1:26">
      <c r="A117" s="36" t="str">
        <f ca="1">IFERROR(__xludf.DUMMYFUNCTION("""COMPUTED_VALUE"""),"Gledistia triacanthos 'Sunset Gold'")</f>
        <v>Gledistia triacanthos 'Sunset Gold'</v>
      </c>
      <c r="B117" s="36">
        <f ca="1">IFERROR(__xludf.DUMMYFUNCTION("""COMPUTED_VALUE"""),25)</f>
        <v>25</v>
      </c>
      <c r="C117" s="36" t="str">
        <f ca="1">IFERROR(__xludf.DUMMYFUNCTION("""COMPUTED_VALUE"""),"Sunset Gold Honeylocust")</f>
        <v>Sunset Gold Honeylocust</v>
      </c>
      <c r="D117" s="36" t="str">
        <f ca="1">IFERROR(__xludf.DUMMYFUNCTION("""COMPUTED_VALUE"""),"#25")</f>
        <v>#25</v>
      </c>
      <c r="E117" s="37" t="str">
        <f ca="1">IFERROR(__xludf.DUMMYFUNCTION("""COMPUTED_VALUE"""),"1.25-1.25""")</f>
        <v>1.25-1.25"</v>
      </c>
      <c r="F117" s="36" t="str">
        <f ca="1">IFERROR(__xludf.DUMMYFUNCTION("""COMPUTED_VALUE"""),"10-10'")</f>
        <v>10-10'</v>
      </c>
      <c r="G117" s="38">
        <f ca="1">IFERROR(__xludf.DUMMYFUNCTION("""COMPUTED_VALUE"""),1)</f>
        <v>1</v>
      </c>
      <c r="H117" s="36">
        <f ca="1">IFERROR(__xludf.DUMMYFUNCTION("""COMPUTED_VALUE"""),0)</f>
        <v>0</v>
      </c>
      <c r="I117" s="39">
        <f ca="1">IFERROR(__xludf.DUMMYFUNCTION("""COMPUTED_VALUE"""),135)</f>
        <v>135</v>
      </c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</row>
    <row r="118" spans="1:26">
      <c r="A118" s="36" t="str">
        <f ca="1">IFERROR(__xludf.DUMMYFUNCTION("""COMPUTED_VALUE"""),"Gleditsia triacanthos 'Shademaster'")</f>
        <v>Gleditsia triacanthos 'Shademaster'</v>
      </c>
      <c r="B118" s="36">
        <f ca="1">IFERROR(__xludf.DUMMYFUNCTION("""COMPUTED_VALUE"""),15)</f>
        <v>15</v>
      </c>
      <c r="C118" s="36" t="str">
        <f ca="1">IFERROR(__xludf.DUMMYFUNCTION("""COMPUTED_VALUE"""),"Shademaster Honeylocust")</f>
        <v>Shademaster Honeylocust</v>
      </c>
      <c r="D118" s="36" t="str">
        <f ca="1">IFERROR(__xludf.DUMMYFUNCTION("""COMPUTED_VALUE"""),"#15")</f>
        <v>#15</v>
      </c>
      <c r="E118" s="37" t="str">
        <f ca="1">IFERROR(__xludf.DUMMYFUNCTION("""COMPUTED_VALUE"""),"1.25-1.5""")</f>
        <v>1.25-1.5"</v>
      </c>
      <c r="F118" s="36" t="str">
        <f ca="1">IFERROR(__xludf.DUMMYFUNCTION("""COMPUTED_VALUE"""),"10-11'")</f>
        <v>10-11'</v>
      </c>
      <c r="G118" s="38">
        <f ca="1">IFERROR(__xludf.DUMMYFUNCTION("""COMPUTED_VALUE"""),8)</f>
        <v>8</v>
      </c>
      <c r="H118" s="36">
        <f ca="1">IFERROR(__xludf.DUMMYFUNCTION("""COMPUTED_VALUE"""),15)</f>
        <v>15</v>
      </c>
      <c r="I118" s="39">
        <f ca="1">IFERROR(__xludf.DUMMYFUNCTION("""COMPUTED_VALUE"""),110)</f>
        <v>110</v>
      </c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</row>
    <row r="119" spans="1:26">
      <c r="A119" s="36" t="str">
        <f ca="1">IFERROR(__xludf.DUMMYFUNCTION("""COMPUTED_VALUE"""),"Gleditsia triacanthos 'Shademaster'")</f>
        <v>Gleditsia triacanthos 'Shademaster'</v>
      </c>
      <c r="B119" s="36">
        <f ca="1">IFERROR(__xludf.DUMMYFUNCTION("""COMPUTED_VALUE"""),25)</f>
        <v>25</v>
      </c>
      <c r="C119" s="36" t="str">
        <f ca="1">IFERROR(__xludf.DUMMYFUNCTION("""COMPUTED_VALUE"""),"Shademaster Honeylocust")</f>
        <v>Shademaster Honeylocust</v>
      </c>
      <c r="D119" s="36" t="str">
        <f ca="1">IFERROR(__xludf.DUMMYFUNCTION("""COMPUTED_VALUE"""),"#25")</f>
        <v>#25</v>
      </c>
      <c r="E119" s="37" t="str">
        <f ca="1">IFERROR(__xludf.DUMMYFUNCTION("""COMPUTED_VALUE"""),"1.25-1.5""")</f>
        <v>1.25-1.5"</v>
      </c>
      <c r="F119" s="36" t="str">
        <f ca="1">IFERROR(__xludf.DUMMYFUNCTION("""COMPUTED_VALUE"""),"10-11'")</f>
        <v>10-11'</v>
      </c>
      <c r="G119" s="38">
        <f ca="1">IFERROR(__xludf.DUMMYFUNCTION("""COMPUTED_VALUE"""),3)</f>
        <v>3</v>
      </c>
      <c r="H119" s="36">
        <f ca="1">IFERROR(__xludf.DUMMYFUNCTION("""COMPUTED_VALUE"""),0)</f>
        <v>0</v>
      </c>
      <c r="I119" s="39">
        <f ca="1">IFERROR(__xludf.DUMMYFUNCTION("""COMPUTED_VALUE"""),135)</f>
        <v>135</v>
      </c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</row>
    <row r="120" spans="1:26">
      <c r="A120" s="36" t="str">
        <f ca="1">IFERROR(__xludf.DUMMYFUNCTION("""COMPUTED_VALUE"""),"Gleditsia triacanthos 'Skyline'")</f>
        <v>Gleditsia triacanthos 'Skyline'</v>
      </c>
      <c r="B120" s="36">
        <f ca="1">IFERROR(__xludf.DUMMYFUNCTION("""COMPUTED_VALUE"""),15)</f>
        <v>15</v>
      </c>
      <c r="C120" s="36" t="str">
        <f ca="1">IFERROR(__xludf.DUMMYFUNCTION("""COMPUTED_VALUE"""),"Skyline Honeylocust")</f>
        <v>Skyline Honeylocust</v>
      </c>
      <c r="D120" s="36" t="str">
        <f ca="1">IFERROR(__xludf.DUMMYFUNCTION("""COMPUTED_VALUE"""),"#15")</f>
        <v>#15</v>
      </c>
      <c r="E120" s="37" t="str">
        <f ca="1">IFERROR(__xludf.DUMMYFUNCTION("""COMPUTED_VALUE"""),"1-1""")</f>
        <v>1-1"</v>
      </c>
      <c r="F120" s="36" t="str">
        <f ca="1">IFERROR(__xludf.DUMMYFUNCTION("""COMPUTED_VALUE"""),"8-9'")</f>
        <v>8-9'</v>
      </c>
      <c r="G120" s="38">
        <f ca="1">IFERROR(__xludf.DUMMYFUNCTION("""COMPUTED_VALUE"""),0)</f>
        <v>0</v>
      </c>
      <c r="H120" s="36">
        <f ca="1">IFERROR(__xludf.DUMMYFUNCTION("""COMPUTED_VALUE"""),15)</f>
        <v>15</v>
      </c>
      <c r="I120" s="39">
        <f ca="1">IFERROR(__xludf.DUMMYFUNCTION("""COMPUTED_VALUE"""),110)</f>
        <v>110</v>
      </c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</row>
    <row r="121" spans="1:26">
      <c r="A121" s="36" t="str">
        <f ca="1">IFERROR(__xludf.DUMMYFUNCTION("""COMPUTED_VALUE"""),"Gleditsia triacanthos 'Skyline'")</f>
        <v>Gleditsia triacanthos 'Skyline'</v>
      </c>
      <c r="B121" s="36">
        <f ca="1">IFERROR(__xludf.DUMMYFUNCTION("""COMPUTED_VALUE"""),25)</f>
        <v>25</v>
      </c>
      <c r="C121" s="36" t="str">
        <f ca="1">IFERROR(__xludf.DUMMYFUNCTION("""COMPUTED_VALUE"""),"Skyline Honeylocust")</f>
        <v>Skyline Honeylocust</v>
      </c>
      <c r="D121" s="36" t="str">
        <f ca="1">IFERROR(__xludf.DUMMYFUNCTION("""COMPUTED_VALUE"""),"#25")</f>
        <v>#25</v>
      </c>
      <c r="E121" s="37" t="str">
        <f ca="1">IFERROR(__xludf.DUMMYFUNCTION("""COMPUTED_VALUE"""),"0-1.5""")</f>
        <v>0-1.5"</v>
      </c>
      <c r="F121" s="36" t="str">
        <f ca="1">IFERROR(__xludf.DUMMYFUNCTION("""COMPUTED_VALUE"""),"0-10'")</f>
        <v>0-10'</v>
      </c>
      <c r="G121" s="38">
        <f ca="1">IFERROR(__xludf.DUMMYFUNCTION("""COMPUTED_VALUE"""),0)</f>
        <v>0</v>
      </c>
      <c r="H121" s="36">
        <f ca="1">IFERROR(__xludf.DUMMYFUNCTION("""COMPUTED_VALUE"""),5)</f>
        <v>5</v>
      </c>
      <c r="I121" s="39">
        <f ca="1">IFERROR(__xludf.DUMMYFUNCTION("""COMPUTED_VALUE"""),135)</f>
        <v>135</v>
      </c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</row>
    <row r="122" spans="1:26">
      <c r="A122" s="36" t="str">
        <f ca="1">IFERROR(__xludf.DUMMYFUNCTION("""COMPUTED_VALUE"""),"Gymnocladus dioicus")</f>
        <v>Gymnocladus dioicus</v>
      </c>
      <c r="B122" s="36">
        <f ca="1">IFERROR(__xludf.DUMMYFUNCTION("""COMPUTED_VALUE"""),5)</f>
        <v>5</v>
      </c>
      <c r="C122" s="36" t="str">
        <f ca="1">IFERROR(__xludf.DUMMYFUNCTION("""COMPUTED_VALUE"""),"Kentucky Coffeetree")</f>
        <v>Kentucky Coffeetree</v>
      </c>
      <c r="D122" s="36" t="str">
        <f ca="1">IFERROR(__xludf.DUMMYFUNCTION("""COMPUTED_VALUE"""),"#5")</f>
        <v>#5</v>
      </c>
      <c r="E122" s="37" t="str">
        <f ca="1">IFERROR(__xludf.DUMMYFUNCTION("""COMPUTED_VALUE"""),"0.25-0.75""")</f>
        <v>0.25-0.75"</v>
      </c>
      <c r="F122" s="36" t="str">
        <f ca="1">IFERROR(__xludf.DUMMYFUNCTION("""COMPUTED_VALUE"""),"1-5'")</f>
        <v>1-5'</v>
      </c>
      <c r="G122" s="38">
        <f ca="1">IFERROR(__xludf.DUMMYFUNCTION("""COMPUTED_VALUE"""),180)</f>
        <v>180</v>
      </c>
      <c r="H122" s="36">
        <f ca="1">IFERROR(__xludf.DUMMYFUNCTION("""COMPUTED_VALUE"""),50)</f>
        <v>50</v>
      </c>
      <c r="I122" s="39">
        <f ca="1">IFERROR(__xludf.DUMMYFUNCTION("""COMPUTED_VALUE"""),35)</f>
        <v>35</v>
      </c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</row>
    <row r="123" spans="1:26">
      <c r="A123" s="36" t="str">
        <f ca="1">IFERROR(__xludf.DUMMYFUNCTION("""COMPUTED_VALUE"""),"Gymnocladus dioicus")</f>
        <v>Gymnocladus dioicus</v>
      </c>
      <c r="B123" s="36">
        <f ca="1">IFERROR(__xludf.DUMMYFUNCTION("""COMPUTED_VALUE"""),15)</f>
        <v>15</v>
      </c>
      <c r="C123" s="36" t="str">
        <f ca="1">IFERROR(__xludf.DUMMYFUNCTION("""COMPUTED_VALUE"""),"Kentucky Coffeetree")</f>
        <v>Kentucky Coffeetree</v>
      </c>
      <c r="D123" s="36" t="str">
        <f ca="1">IFERROR(__xludf.DUMMYFUNCTION("""COMPUTED_VALUE"""),"#15")</f>
        <v>#15</v>
      </c>
      <c r="E123" s="37" t="str">
        <f ca="1">IFERROR(__xludf.DUMMYFUNCTION("""COMPUTED_VALUE"""),"0.75-1""")</f>
        <v>0.75-1"</v>
      </c>
      <c r="F123" s="36" t="str">
        <f ca="1">IFERROR(__xludf.DUMMYFUNCTION("""COMPUTED_VALUE"""),"8-9'")</f>
        <v>8-9'</v>
      </c>
      <c r="G123" s="38">
        <f ca="1">IFERROR(__xludf.DUMMYFUNCTION("""COMPUTED_VALUE"""),0)</f>
        <v>0</v>
      </c>
      <c r="H123" s="36">
        <f ca="1">IFERROR(__xludf.DUMMYFUNCTION("""COMPUTED_VALUE"""),10)</f>
        <v>10</v>
      </c>
      <c r="I123" s="39">
        <f ca="1">IFERROR(__xludf.DUMMYFUNCTION("""COMPUTED_VALUE"""),110)</f>
        <v>110</v>
      </c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</row>
    <row r="124" spans="1:26">
      <c r="A124" s="36" t="str">
        <f ca="1">IFERROR(__xludf.DUMMYFUNCTION("""COMPUTED_VALUE"""),"Gymnocladus dioicus 'Espresso'")</f>
        <v>Gymnocladus dioicus 'Espresso'</v>
      </c>
      <c r="B124" s="36">
        <f ca="1">IFERROR(__xludf.DUMMYFUNCTION("""COMPUTED_VALUE"""),15)</f>
        <v>15</v>
      </c>
      <c r="C124" s="36" t="str">
        <f ca="1">IFERROR(__xludf.DUMMYFUNCTION("""COMPUTED_VALUE"""),"Espresso Kentucky Coffeetree")</f>
        <v>Espresso Kentucky Coffeetree</v>
      </c>
      <c r="D124" s="36" t="str">
        <f ca="1">IFERROR(__xludf.DUMMYFUNCTION("""COMPUTED_VALUE"""),"#15")</f>
        <v>#15</v>
      </c>
      <c r="E124" s="37" t="str">
        <f ca="1">IFERROR(__xludf.DUMMYFUNCTION("""COMPUTED_VALUE"""),"1-1""")</f>
        <v>1-1"</v>
      </c>
      <c r="F124" s="36" t="str">
        <f ca="1">IFERROR(__xludf.DUMMYFUNCTION("""COMPUTED_VALUE"""),"7-10'")</f>
        <v>7-10'</v>
      </c>
      <c r="G124" s="38">
        <f ca="1">IFERROR(__xludf.DUMMYFUNCTION("""COMPUTED_VALUE"""),5)</f>
        <v>5</v>
      </c>
      <c r="H124" s="36">
        <f ca="1">IFERROR(__xludf.DUMMYFUNCTION("""COMPUTED_VALUE"""),0)</f>
        <v>0</v>
      </c>
      <c r="I124" s="39">
        <f ca="1">IFERROR(__xludf.DUMMYFUNCTION("""COMPUTED_VALUE"""),110)</f>
        <v>110</v>
      </c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</row>
    <row r="125" spans="1:26">
      <c r="A125" s="36" t="str">
        <f ca="1">IFERROR(__xludf.DUMMYFUNCTION("""COMPUTED_VALUE"""),"Gymnocladus dioicus 'Espresso'")</f>
        <v>Gymnocladus dioicus 'Espresso'</v>
      </c>
      <c r="B125" s="36">
        <f ca="1">IFERROR(__xludf.DUMMYFUNCTION("""COMPUTED_VALUE"""),25)</f>
        <v>25</v>
      </c>
      <c r="C125" s="36" t="str">
        <f ca="1">IFERROR(__xludf.DUMMYFUNCTION("""COMPUTED_VALUE"""),"Espresso Kentucky Coffeetree")</f>
        <v>Espresso Kentucky Coffeetree</v>
      </c>
      <c r="D125" s="36" t="str">
        <f ca="1">IFERROR(__xludf.DUMMYFUNCTION("""COMPUTED_VALUE"""),"#25")</f>
        <v>#25</v>
      </c>
      <c r="E125" s="37" t="str">
        <f ca="1">IFERROR(__xludf.DUMMYFUNCTION("""COMPUTED_VALUE"""),"1-1""")</f>
        <v>1-1"</v>
      </c>
      <c r="F125" s="36" t="str">
        <f ca="1">IFERROR(__xludf.DUMMYFUNCTION("""COMPUTED_VALUE"""),"7-10'")</f>
        <v>7-10'</v>
      </c>
      <c r="G125" s="38">
        <f ca="1">IFERROR(__xludf.DUMMYFUNCTION("""COMPUTED_VALUE"""),4)</f>
        <v>4</v>
      </c>
      <c r="H125" s="36">
        <f ca="1">IFERROR(__xludf.DUMMYFUNCTION("""COMPUTED_VALUE"""),0)</f>
        <v>0</v>
      </c>
      <c r="I125" s="39">
        <f ca="1">IFERROR(__xludf.DUMMYFUNCTION("""COMPUTED_VALUE"""),135)</f>
        <v>135</v>
      </c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</row>
    <row r="126" spans="1:26">
      <c r="A126" s="36" t="str">
        <f ca="1">IFERROR(__xludf.DUMMYFUNCTION("""COMPUTED_VALUE"""),"Hamamelis virginiana")</f>
        <v>Hamamelis virginiana</v>
      </c>
      <c r="B126" s="36">
        <f ca="1">IFERROR(__xludf.DUMMYFUNCTION("""COMPUTED_VALUE"""),5)</f>
        <v>5</v>
      </c>
      <c r="C126" s="36" t="str">
        <f ca="1">IFERROR(__xludf.DUMMYFUNCTION("""COMPUTED_VALUE"""),"Witch Hazel")</f>
        <v>Witch Hazel</v>
      </c>
      <c r="D126" s="36" t="str">
        <f ca="1">IFERROR(__xludf.DUMMYFUNCTION("""COMPUTED_VALUE"""),"#5")</f>
        <v>#5</v>
      </c>
      <c r="E126" s="40" t="str">
        <f ca="1">IFERROR(__xludf.DUMMYFUNCTION("""COMPUTED_VALUE"""),"Multi")</f>
        <v>Multi</v>
      </c>
      <c r="F126" s="36" t="str">
        <f ca="1">IFERROR(__xludf.DUMMYFUNCTION("""COMPUTED_VALUE"""),"1-4.5'")</f>
        <v>1-4.5'</v>
      </c>
      <c r="G126" s="38">
        <f ca="1">IFERROR(__xludf.DUMMYFUNCTION("""COMPUTED_VALUE"""),120)</f>
        <v>120</v>
      </c>
      <c r="H126" s="36">
        <f ca="1">IFERROR(__xludf.DUMMYFUNCTION("""COMPUTED_VALUE"""),200)</f>
        <v>200</v>
      </c>
      <c r="I126" s="39">
        <f ca="1">IFERROR(__xludf.DUMMYFUNCTION("""COMPUTED_VALUE"""),35)</f>
        <v>35</v>
      </c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</row>
    <row r="127" spans="1:26">
      <c r="A127" s="36" t="str">
        <f ca="1">IFERROR(__xludf.DUMMYFUNCTION("""COMPUTED_VALUE"""),"Hamamelis x 'Diane'")</f>
        <v>Hamamelis x 'Diane'</v>
      </c>
      <c r="B127" s="36">
        <f ca="1">IFERROR(__xludf.DUMMYFUNCTION("""COMPUTED_VALUE"""),5)</f>
        <v>5</v>
      </c>
      <c r="C127" s="36" t="str">
        <f ca="1">IFERROR(__xludf.DUMMYFUNCTION("""COMPUTED_VALUE"""),"Diane Witch Hazel")</f>
        <v>Diane Witch Hazel</v>
      </c>
      <c r="D127" s="36" t="str">
        <f ca="1">IFERROR(__xludf.DUMMYFUNCTION("""COMPUTED_VALUE"""),"#5")</f>
        <v>#5</v>
      </c>
      <c r="E127" s="37" t="str">
        <f ca="1">IFERROR(__xludf.DUMMYFUNCTION("""COMPUTED_VALUE"""),"Multi")</f>
        <v>Multi</v>
      </c>
      <c r="F127" s="36" t="str">
        <f ca="1">IFERROR(__xludf.DUMMYFUNCTION("""COMPUTED_VALUE"""),"1-2'")</f>
        <v>1-2'</v>
      </c>
      <c r="G127" s="38">
        <f ca="1">IFERROR(__xludf.DUMMYFUNCTION("""COMPUTED_VALUE"""),1)</f>
        <v>1</v>
      </c>
      <c r="H127" s="36">
        <f ca="1">IFERROR(__xludf.DUMMYFUNCTION("""COMPUTED_VALUE"""),10)</f>
        <v>10</v>
      </c>
      <c r="I127" s="39">
        <f ca="1">IFERROR(__xludf.DUMMYFUNCTION("""COMPUTED_VALUE"""),35)</f>
        <v>35</v>
      </c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</row>
    <row r="128" spans="1:26">
      <c r="A128" s="36" t="str">
        <f ca="1">IFERROR(__xludf.DUMMYFUNCTION("""COMPUTED_VALUE"""),"Hydrangea qu. 'Ruby slippers'")</f>
        <v>Hydrangea qu. 'Ruby slippers'</v>
      </c>
      <c r="B128" s="36">
        <f ca="1">IFERROR(__xludf.DUMMYFUNCTION("""COMPUTED_VALUE"""),5)</f>
        <v>5</v>
      </c>
      <c r="C128" s="36" t="str">
        <f ca="1">IFERROR(__xludf.DUMMYFUNCTION("""COMPUTED_VALUE"""),"Ruby Slippers Oakleaf Hydrangea")</f>
        <v>Ruby Slippers Oakleaf Hydrangea</v>
      </c>
      <c r="D128" s="36" t="str">
        <f ca="1">IFERROR(__xludf.DUMMYFUNCTION("""COMPUTED_VALUE"""),"#5")</f>
        <v>#5</v>
      </c>
      <c r="E128" s="37" t="str">
        <f ca="1">IFERROR(__xludf.DUMMYFUNCTION("""COMPUTED_VALUE"""),"Multi")</f>
        <v>Multi</v>
      </c>
      <c r="F128" s="36" t="str">
        <f ca="1">IFERROR(__xludf.DUMMYFUNCTION("""COMPUTED_VALUE"""),"1-3'")</f>
        <v>1-3'</v>
      </c>
      <c r="G128" s="38">
        <f ca="1">IFERROR(__xludf.DUMMYFUNCTION("""COMPUTED_VALUE"""),9)</f>
        <v>9</v>
      </c>
      <c r="H128" s="36">
        <f ca="1">IFERROR(__xludf.DUMMYFUNCTION("""COMPUTED_VALUE"""),100)</f>
        <v>100</v>
      </c>
      <c r="I128" s="39">
        <f ca="1">IFERROR(__xludf.DUMMYFUNCTION("""COMPUTED_VALUE"""),30)</f>
        <v>30</v>
      </c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</row>
    <row r="129" spans="1:26">
      <c r="A129" s="36" t="str">
        <f ca="1">IFERROR(__xludf.DUMMYFUNCTION("""COMPUTED_VALUE"""),"Hydrangea que. 'Munchkin'")</f>
        <v>Hydrangea que. 'Munchkin'</v>
      </c>
      <c r="B129" s="36">
        <f ca="1">IFERROR(__xludf.DUMMYFUNCTION("""COMPUTED_VALUE"""),5)</f>
        <v>5</v>
      </c>
      <c r="C129" s="36" t="str">
        <f ca="1">IFERROR(__xludf.DUMMYFUNCTION("""COMPUTED_VALUE"""),"Munchkin Oakleaf Hydrangea")</f>
        <v>Munchkin Oakleaf Hydrangea</v>
      </c>
      <c r="D129" s="36" t="str">
        <f ca="1">IFERROR(__xludf.DUMMYFUNCTION("""COMPUTED_VALUE"""),"#5")</f>
        <v>#5</v>
      </c>
      <c r="E129" s="37" t="str">
        <f ca="1">IFERROR(__xludf.DUMMYFUNCTION("""COMPUTED_VALUE"""),"Multi")</f>
        <v>Multi</v>
      </c>
      <c r="F129" s="36" t="str">
        <f ca="1">IFERROR(__xludf.DUMMYFUNCTION("""COMPUTED_VALUE"""),"1-1'")</f>
        <v>1-1'</v>
      </c>
      <c r="G129" s="38">
        <f ca="1">IFERROR(__xludf.DUMMYFUNCTION("""COMPUTED_VALUE"""),2)</f>
        <v>2</v>
      </c>
      <c r="H129" s="36">
        <f ca="1">IFERROR(__xludf.DUMMYFUNCTION("""COMPUTED_VALUE"""),0)</f>
        <v>0</v>
      </c>
      <c r="I129" s="39">
        <f ca="1">IFERROR(__xludf.DUMMYFUNCTION("""COMPUTED_VALUE"""),30)</f>
        <v>30</v>
      </c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</row>
    <row r="130" spans="1:26">
      <c r="A130" s="36" t="str">
        <f ca="1">IFERROR(__xludf.DUMMYFUNCTION("""COMPUTED_VALUE"""),"Hydrangea que. 'Pee Wee'")</f>
        <v>Hydrangea que. 'Pee Wee'</v>
      </c>
      <c r="B130" s="36">
        <f ca="1">IFERROR(__xludf.DUMMYFUNCTION("""COMPUTED_VALUE"""),5)</f>
        <v>5</v>
      </c>
      <c r="C130" s="36" t="str">
        <f ca="1">IFERROR(__xludf.DUMMYFUNCTION("""COMPUTED_VALUE"""),"Pee Wee Oakleaf Hydrangea")</f>
        <v>Pee Wee Oakleaf Hydrangea</v>
      </c>
      <c r="D130" s="36" t="str">
        <f ca="1">IFERROR(__xludf.DUMMYFUNCTION("""COMPUTED_VALUE"""),"#5")</f>
        <v>#5</v>
      </c>
      <c r="E130" s="40" t="str">
        <f ca="1">IFERROR(__xludf.DUMMYFUNCTION("""COMPUTED_VALUE"""),"Multi")</f>
        <v>Multi</v>
      </c>
      <c r="F130" s="36" t="str">
        <f ca="1">IFERROR(__xludf.DUMMYFUNCTION("""COMPUTED_VALUE"""),"1-2'")</f>
        <v>1-2'</v>
      </c>
      <c r="G130" s="38">
        <f ca="1">IFERROR(__xludf.DUMMYFUNCTION("""COMPUTED_VALUE"""),26)</f>
        <v>26</v>
      </c>
      <c r="H130" s="36">
        <f ca="1">IFERROR(__xludf.DUMMYFUNCTION("""COMPUTED_VALUE"""),50)</f>
        <v>50</v>
      </c>
      <c r="I130" s="39">
        <f ca="1">IFERROR(__xludf.DUMMYFUNCTION("""COMPUTED_VALUE"""),30)</f>
        <v>30</v>
      </c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</row>
    <row r="131" spans="1:26">
      <c r="A131" s="36" t="str">
        <f ca="1">IFERROR(__xludf.DUMMYFUNCTION("""COMPUTED_VALUE"""),"Hydrangea que. 'Snow Queen'")</f>
        <v>Hydrangea que. 'Snow Queen'</v>
      </c>
      <c r="B131" s="36">
        <f ca="1">IFERROR(__xludf.DUMMYFUNCTION("""COMPUTED_VALUE"""),5)</f>
        <v>5</v>
      </c>
      <c r="C131" s="36" t="str">
        <f ca="1">IFERROR(__xludf.DUMMYFUNCTION("""COMPUTED_VALUE"""),"Snow Queen Oakleaf Hydrangea")</f>
        <v>Snow Queen Oakleaf Hydrangea</v>
      </c>
      <c r="D131" s="36" t="str">
        <f ca="1">IFERROR(__xludf.DUMMYFUNCTION("""COMPUTED_VALUE"""),"#5")</f>
        <v>#5</v>
      </c>
      <c r="E131" s="37" t="str">
        <f ca="1">IFERROR(__xludf.DUMMYFUNCTION("""COMPUTED_VALUE"""),"Multi")</f>
        <v>Multi</v>
      </c>
      <c r="F131" s="36" t="str">
        <f ca="1">IFERROR(__xludf.DUMMYFUNCTION("""COMPUTED_VALUE"""),"2-3'")</f>
        <v>2-3'</v>
      </c>
      <c r="G131" s="38">
        <f ca="1">IFERROR(__xludf.DUMMYFUNCTION("""COMPUTED_VALUE"""),43)</f>
        <v>43</v>
      </c>
      <c r="H131" s="36">
        <f ca="1">IFERROR(__xludf.DUMMYFUNCTION("""COMPUTED_VALUE"""),50)</f>
        <v>50</v>
      </c>
      <c r="I131" s="39">
        <f ca="1">IFERROR(__xludf.DUMMYFUNCTION("""COMPUTED_VALUE"""),30)</f>
        <v>30</v>
      </c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</row>
    <row r="132" spans="1:26">
      <c r="A132" s="36" t="str">
        <f ca="1">IFERROR(__xludf.DUMMYFUNCTION("""COMPUTED_VALUE"""),"Hydrangea quercifolia 'Alice'")</f>
        <v>Hydrangea quercifolia 'Alice'</v>
      </c>
      <c r="B132" s="36">
        <f ca="1">IFERROR(__xludf.DUMMYFUNCTION("""COMPUTED_VALUE"""),5)</f>
        <v>5</v>
      </c>
      <c r="C132" s="36" t="str">
        <f ca="1">IFERROR(__xludf.DUMMYFUNCTION("""COMPUTED_VALUE"""),"Alice Oakleaf Hydrangea")</f>
        <v>Alice Oakleaf Hydrangea</v>
      </c>
      <c r="D132" s="36" t="str">
        <f ca="1">IFERROR(__xludf.DUMMYFUNCTION("""COMPUTED_VALUE"""),"#5")</f>
        <v>#5</v>
      </c>
      <c r="E132" s="40" t="str">
        <f ca="1">IFERROR(__xludf.DUMMYFUNCTION("""COMPUTED_VALUE"""),"Multi")</f>
        <v>Multi</v>
      </c>
      <c r="F132" s="36" t="str">
        <f ca="1">IFERROR(__xludf.DUMMYFUNCTION("""COMPUTED_VALUE"""),"1-2'")</f>
        <v>1-2'</v>
      </c>
      <c r="G132" s="38">
        <f ca="1">IFERROR(__xludf.DUMMYFUNCTION("""COMPUTED_VALUE"""),3)</f>
        <v>3</v>
      </c>
      <c r="H132" s="36">
        <f ca="1">IFERROR(__xludf.DUMMYFUNCTION("""COMPUTED_VALUE"""),0)</f>
        <v>0</v>
      </c>
      <c r="I132" s="39">
        <f ca="1">IFERROR(__xludf.DUMMYFUNCTION("""COMPUTED_VALUE"""),30)</f>
        <v>30</v>
      </c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</row>
    <row r="133" spans="1:26">
      <c r="A133" s="36" t="str">
        <f ca="1">IFERROR(__xludf.DUMMYFUNCTION("""COMPUTED_VALUE"""),"Hypericum calycinum 'Fiesta'")</f>
        <v>Hypericum calycinum 'Fiesta'</v>
      </c>
      <c r="B133" s="36">
        <f ca="1">IFERROR(__xludf.DUMMYFUNCTION("""COMPUTED_VALUE"""),5)</f>
        <v>5</v>
      </c>
      <c r="C133" s="36" t="str">
        <f ca="1">IFERROR(__xludf.DUMMYFUNCTION("""COMPUTED_VALUE"""),"Fiesta St. John's wort")</f>
        <v>Fiesta St. John's wort</v>
      </c>
      <c r="D133" s="36" t="str">
        <f ca="1">IFERROR(__xludf.DUMMYFUNCTION("""COMPUTED_VALUE"""),"#5")</f>
        <v>#5</v>
      </c>
      <c r="E133" s="40" t="str">
        <f ca="1">IFERROR(__xludf.DUMMYFUNCTION("""COMPUTED_VALUE"""),"Multi")</f>
        <v>Multi</v>
      </c>
      <c r="F133" s="36" t="str">
        <f ca="1">IFERROR(__xludf.DUMMYFUNCTION("""COMPUTED_VALUE"""),"0.5-1'")</f>
        <v>0.5-1'</v>
      </c>
      <c r="G133" s="38">
        <f ca="1">IFERROR(__xludf.DUMMYFUNCTION("""COMPUTED_VALUE"""),4)</f>
        <v>4</v>
      </c>
      <c r="H133" s="36">
        <f ca="1">IFERROR(__xludf.DUMMYFUNCTION("""COMPUTED_VALUE"""),0)</f>
        <v>0</v>
      </c>
      <c r="I133" s="39">
        <f ca="1">IFERROR(__xludf.DUMMYFUNCTION("""COMPUTED_VALUE"""),30)</f>
        <v>30</v>
      </c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</row>
    <row r="134" spans="1:26">
      <c r="A134" s="36" t="str">
        <f ca="1">IFERROR(__xludf.DUMMYFUNCTION("""COMPUTED_VALUE"""),"Ilex opaca")</f>
        <v>Ilex opaca</v>
      </c>
      <c r="B134" s="36">
        <f ca="1">IFERROR(__xludf.DUMMYFUNCTION("""COMPUTED_VALUE"""),7)</f>
        <v>7</v>
      </c>
      <c r="C134" s="36" t="str">
        <f ca="1">IFERROR(__xludf.DUMMYFUNCTION("""COMPUTED_VALUE"""),"Satyr Hill American Holly")</f>
        <v>Satyr Hill American Holly</v>
      </c>
      <c r="D134" s="36" t="str">
        <f ca="1">IFERROR(__xludf.DUMMYFUNCTION("""COMPUTED_VALUE"""),"#7")</f>
        <v>#7</v>
      </c>
      <c r="E134" s="37" t="str">
        <f ca="1">IFERROR(__xludf.DUMMYFUNCTION("""COMPUTED_VALUE"""),"1-1""")</f>
        <v>1-1"</v>
      </c>
      <c r="F134" s="36" t="str">
        <f ca="1">IFERROR(__xludf.DUMMYFUNCTION("""COMPUTED_VALUE"""),"7-7'")</f>
        <v>7-7'</v>
      </c>
      <c r="G134" s="38">
        <f ca="1">IFERROR(__xludf.DUMMYFUNCTION("""COMPUTED_VALUE"""),1)</f>
        <v>1</v>
      </c>
      <c r="H134" s="36">
        <f ca="1">IFERROR(__xludf.DUMMYFUNCTION("""COMPUTED_VALUE"""),0)</f>
        <v>0</v>
      </c>
      <c r="I134" s="39">
        <f ca="1">IFERROR(__xludf.DUMMYFUNCTION("""COMPUTED_VALUE"""),85)</f>
        <v>85</v>
      </c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</row>
    <row r="135" spans="1:26">
      <c r="A135" s="36" t="str">
        <f ca="1">IFERROR(__xludf.DUMMYFUNCTION("""COMPUTED_VALUE"""),"Ilex verticillata 'Southern Gentleman'")</f>
        <v>Ilex verticillata 'Southern Gentleman'</v>
      </c>
      <c r="B135" s="36">
        <f ca="1">IFERROR(__xludf.DUMMYFUNCTION("""COMPUTED_VALUE"""),5)</f>
        <v>5</v>
      </c>
      <c r="C135" s="36" t="str">
        <f ca="1">IFERROR(__xludf.DUMMYFUNCTION("""COMPUTED_VALUE"""),"Southern Gentleman Winterberry Holly")</f>
        <v>Southern Gentleman Winterberry Holly</v>
      </c>
      <c r="D135" s="36" t="str">
        <f ca="1">IFERROR(__xludf.DUMMYFUNCTION("""COMPUTED_VALUE"""),"#5")</f>
        <v>#5</v>
      </c>
      <c r="E135" s="37" t="str">
        <f ca="1">IFERROR(__xludf.DUMMYFUNCTION("""COMPUTED_VALUE"""),"Multi")</f>
        <v>Multi</v>
      </c>
      <c r="F135" s="36" t="str">
        <f ca="1">IFERROR(__xludf.DUMMYFUNCTION("""COMPUTED_VALUE"""),"1-2'")</f>
        <v>1-2'</v>
      </c>
      <c r="G135" s="38">
        <f ca="1">IFERROR(__xludf.DUMMYFUNCTION("""COMPUTED_VALUE"""),0)</f>
        <v>0</v>
      </c>
      <c r="H135" s="36">
        <f ca="1">IFERROR(__xludf.DUMMYFUNCTION("""COMPUTED_VALUE"""),50)</f>
        <v>50</v>
      </c>
      <c r="I135" s="39">
        <f ca="1">IFERROR(__xludf.DUMMYFUNCTION("""COMPUTED_VALUE"""),30)</f>
        <v>30</v>
      </c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</row>
    <row r="136" spans="1:26">
      <c r="A136" s="36" t="str">
        <f ca="1">IFERROR(__xludf.DUMMYFUNCTION("""COMPUTED_VALUE"""),"Ilex verticillata 'Winter Gold'")</f>
        <v>Ilex verticillata 'Winter Gold'</v>
      </c>
      <c r="B136" s="36">
        <f ca="1">IFERROR(__xludf.DUMMYFUNCTION("""COMPUTED_VALUE"""),5)</f>
        <v>5</v>
      </c>
      <c r="C136" s="36" t="str">
        <f ca="1">IFERROR(__xludf.DUMMYFUNCTION("""COMPUTED_VALUE"""),"Winter Gold Holly")</f>
        <v>Winter Gold Holly</v>
      </c>
      <c r="D136" s="36" t="str">
        <f ca="1">IFERROR(__xludf.DUMMYFUNCTION("""COMPUTED_VALUE"""),"#2")</f>
        <v>#2</v>
      </c>
      <c r="E136" s="40" t="str">
        <f ca="1">IFERROR(__xludf.DUMMYFUNCTION("""COMPUTED_VALUE"""),"Multi")</f>
        <v>Multi</v>
      </c>
      <c r="F136" s="36" t="str">
        <f ca="1">IFERROR(__xludf.DUMMYFUNCTION("""COMPUTED_VALUE"""),"2-3'")</f>
        <v>2-3'</v>
      </c>
      <c r="G136" s="38">
        <f ca="1">IFERROR(__xludf.DUMMYFUNCTION("""COMPUTED_VALUE"""),2)</f>
        <v>2</v>
      </c>
      <c r="H136" s="36">
        <f ca="1">IFERROR(__xludf.DUMMYFUNCTION("""COMPUTED_VALUE"""),50)</f>
        <v>50</v>
      </c>
      <c r="I136" s="39">
        <f ca="1">IFERROR(__xludf.DUMMYFUNCTION("""COMPUTED_VALUE"""),15)</f>
        <v>15</v>
      </c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</row>
    <row r="137" spans="1:26">
      <c r="A137" s="36" t="str">
        <f ca="1">IFERROR(__xludf.DUMMYFUNCTION("""COMPUTED_VALUE"""),"Ilex verticillata 'Winter Red'")</f>
        <v>Ilex verticillata 'Winter Red'</v>
      </c>
      <c r="B137" s="36">
        <f ca="1">IFERROR(__xludf.DUMMYFUNCTION("""COMPUTED_VALUE"""),5)</f>
        <v>5</v>
      </c>
      <c r="C137" s="36" t="str">
        <f ca="1">IFERROR(__xludf.DUMMYFUNCTION("""COMPUTED_VALUE"""),"Winter Red Winterberry Holly")</f>
        <v>Winter Red Winterberry Holly</v>
      </c>
      <c r="D137" s="36" t="str">
        <f ca="1">IFERROR(__xludf.DUMMYFUNCTION("""COMPUTED_VALUE"""),"#5")</f>
        <v>#5</v>
      </c>
      <c r="E137" s="37" t="str">
        <f ca="1">IFERROR(__xludf.DUMMYFUNCTION("""COMPUTED_VALUE"""),"Multi")</f>
        <v>Multi</v>
      </c>
      <c r="F137" s="36" t="str">
        <f ca="1">IFERROR(__xludf.DUMMYFUNCTION("""COMPUTED_VALUE"""),"2-2'")</f>
        <v>2-2'</v>
      </c>
      <c r="G137" s="38">
        <f ca="1">IFERROR(__xludf.DUMMYFUNCTION("""COMPUTED_VALUE"""),17)</f>
        <v>17</v>
      </c>
      <c r="H137" s="36">
        <f ca="1">IFERROR(__xludf.DUMMYFUNCTION("""COMPUTED_VALUE"""),100)</f>
        <v>100</v>
      </c>
      <c r="I137" s="39">
        <f ca="1">IFERROR(__xludf.DUMMYFUNCTION("""COMPUTED_VALUE"""),30)</f>
        <v>30</v>
      </c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</row>
    <row r="138" spans="1:26">
      <c r="A138" s="36" t="str">
        <f ca="1">IFERROR(__xludf.DUMMYFUNCTION("""COMPUTED_VALUE"""),"Juglans cinerea")</f>
        <v>Juglans cinerea</v>
      </c>
      <c r="B138" s="36">
        <f ca="1">IFERROR(__xludf.DUMMYFUNCTION("""COMPUTED_VALUE"""),5)</f>
        <v>5</v>
      </c>
      <c r="C138" s="36" t="str">
        <f ca="1">IFERROR(__xludf.DUMMYFUNCTION("""COMPUTED_VALUE"""),"Butternut")</f>
        <v>Butternut</v>
      </c>
      <c r="D138" s="36" t="str">
        <f ca="1">IFERROR(__xludf.DUMMYFUNCTION("""COMPUTED_VALUE"""),"#5")</f>
        <v>#5</v>
      </c>
      <c r="E138" s="37" t="str">
        <f ca="1">IFERROR(__xludf.DUMMYFUNCTION("""COMPUTED_VALUE"""),"0.5-0.75""")</f>
        <v>0.5-0.75"</v>
      </c>
      <c r="F138" s="36" t="str">
        <f ca="1">IFERROR(__xludf.DUMMYFUNCTION("""COMPUTED_VALUE"""),"3-5'")</f>
        <v>3-5'</v>
      </c>
      <c r="G138" s="38">
        <f ca="1">IFERROR(__xludf.DUMMYFUNCTION("""COMPUTED_VALUE"""),62)</f>
        <v>62</v>
      </c>
      <c r="H138" s="36">
        <f ca="1">IFERROR(__xludf.DUMMYFUNCTION("""COMPUTED_VALUE"""),0)</f>
        <v>0</v>
      </c>
      <c r="I138" s="39">
        <f ca="1">IFERROR(__xludf.DUMMYFUNCTION("""COMPUTED_VALUE"""),35)</f>
        <v>35</v>
      </c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</row>
    <row r="139" spans="1:26">
      <c r="A139" s="36" t="str">
        <f ca="1">IFERROR(__xludf.DUMMYFUNCTION("""COMPUTED_VALUE"""),"Juglans nigra")</f>
        <v>Juglans nigra</v>
      </c>
      <c r="B139" s="36">
        <f ca="1">IFERROR(__xludf.DUMMYFUNCTION("""COMPUTED_VALUE"""),15)</f>
        <v>15</v>
      </c>
      <c r="C139" s="36" t="str">
        <f ca="1">IFERROR(__xludf.DUMMYFUNCTION("""COMPUTED_VALUE"""),"Black Walnut")</f>
        <v>Black Walnut</v>
      </c>
      <c r="D139" s="36" t="str">
        <f ca="1">IFERROR(__xludf.DUMMYFUNCTION("""COMPUTED_VALUE"""),"#15")</f>
        <v>#15</v>
      </c>
      <c r="E139" s="37" t="str">
        <f ca="1">IFERROR(__xludf.DUMMYFUNCTION("""COMPUTED_VALUE"""),"1.25-1.75""")</f>
        <v>1.25-1.75"</v>
      </c>
      <c r="F139" s="36" t="str">
        <f ca="1">IFERROR(__xludf.DUMMYFUNCTION("""COMPUTED_VALUE"""),"8-9'")</f>
        <v>8-9'</v>
      </c>
      <c r="G139" s="38">
        <f ca="1">IFERROR(__xludf.DUMMYFUNCTION("""COMPUTED_VALUE"""),2)</f>
        <v>2</v>
      </c>
      <c r="H139" s="36">
        <f ca="1">IFERROR(__xludf.DUMMYFUNCTION("""COMPUTED_VALUE"""),0)</f>
        <v>0</v>
      </c>
      <c r="I139" s="39">
        <f ca="1">IFERROR(__xludf.DUMMYFUNCTION("""COMPUTED_VALUE"""),110)</f>
        <v>110</v>
      </c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</row>
    <row r="140" spans="1:26">
      <c r="A140" s="36" t="str">
        <f ca="1">IFERROR(__xludf.DUMMYFUNCTION("""COMPUTED_VALUE"""),"Koelreuteria paniculata")</f>
        <v>Koelreuteria paniculata</v>
      </c>
      <c r="B140" s="36">
        <f ca="1">IFERROR(__xludf.DUMMYFUNCTION("""COMPUTED_VALUE"""),5)</f>
        <v>5</v>
      </c>
      <c r="C140" s="36" t="str">
        <f ca="1">IFERROR(__xludf.DUMMYFUNCTION("""COMPUTED_VALUE"""),"Golden Rain Tree")</f>
        <v>Golden Rain Tree</v>
      </c>
      <c r="D140" s="36" t="str">
        <f ca="1">IFERROR(__xludf.DUMMYFUNCTION("""COMPUTED_VALUE"""),"#5")</f>
        <v>#5</v>
      </c>
      <c r="E140" s="37" t="str">
        <f ca="1">IFERROR(__xludf.DUMMYFUNCTION("""COMPUTED_VALUE"""),"0.75-1""")</f>
        <v>0.75-1"</v>
      </c>
      <c r="F140" s="36" t="str">
        <f ca="1">IFERROR(__xludf.DUMMYFUNCTION("""COMPUTED_VALUE"""),"6-9'")</f>
        <v>6-9'</v>
      </c>
      <c r="G140" s="38">
        <f ca="1">IFERROR(__xludf.DUMMYFUNCTION("""COMPUTED_VALUE"""),16)</f>
        <v>16</v>
      </c>
      <c r="H140" s="36">
        <f ca="1">IFERROR(__xludf.DUMMYFUNCTION("""COMPUTED_VALUE"""),0)</f>
        <v>0</v>
      </c>
      <c r="I140" s="39">
        <f ca="1">IFERROR(__xludf.DUMMYFUNCTION("""COMPUTED_VALUE"""),35)</f>
        <v>35</v>
      </c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</row>
    <row r="141" spans="1:26">
      <c r="A141" s="36" t="str">
        <f ca="1">IFERROR(__xludf.DUMMYFUNCTION("""COMPUTED_VALUE"""),"Laburnum anagyroides")</f>
        <v>Laburnum anagyroides</v>
      </c>
      <c r="B141" s="36">
        <f ca="1">IFERROR(__xludf.DUMMYFUNCTION("""COMPUTED_VALUE"""),5)</f>
        <v>5</v>
      </c>
      <c r="C141" s="36" t="str">
        <f ca="1">IFERROR(__xludf.DUMMYFUNCTION("""COMPUTED_VALUE"""),"Golden Chain Tree")</f>
        <v>Golden Chain Tree</v>
      </c>
      <c r="D141" s="36" t="str">
        <f ca="1">IFERROR(__xludf.DUMMYFUNCTION("""COMPUTED_VALUE"""),"#5")</f>
        <v>#5</v>
      </c>
      <c r="E141" s="40" t="str">
        <f ca="1">IFERROR(__xludf.DUMMYFUNCTION("""COMPUTED_VALUE"""),"Multi")</f>
        <v>Multi</v>
      </c>
      <c r="F141" s="36" t="str">
        <f ca="1">IFERROR(__xludf.DUMMYFUNCTION("""COMPUTED_VALUE"""),"2-7'")</f>
        <v>2-7'</v>
      </c>
      <c r="G141" s="38">
        <f ca="1">IFERROR(__xludf.DUMMYFUNCTION("""COMPUTED_VALUE"""),36)</f>
        <v>36</v>
      </c>
      <c r="H141" s="36">
        <f ca="1">IFERROR(__xludf.DUMMYFUNCTION("""COMPUTED_VALUE"""),0)</f>
        <v>0</v>
      </c>
      <c r="I141" s="39">
        <f ca="1">IFERROR(__xludf.DUMMYFUNCTION("""COMPUTED_VALUE"""),40)</f>
        <v>40</v>
      </c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</row>
    <row r="142" spans="1:26">
      <c r="A142" s="36" t="str">
        <f ca="1">IFERROR(__xludf.DUMMYFUNCTION("""COMPUTED_VALUE"""),"Lindera benzoin")</f>
        <v>Lindera benzoin</v>
      </c>
      <c r="B142" s="36">
        <f ca="1">IFERROR(__xludf.DUMMYFUNCTION("""COMPUTED_VALUE"""),5)</f>
        <v>5</v>
      </c>
      <c r="C142" s="36" t="str">
        <f ca="1">IFERROR(__xludf.DUMMYFUNCTION("""COMPUTED_VALUE"""),"Spice Bush")</f>
        <v>Spice Bush</v>
      </c>
      <c r="D142" s="36" t="str">
        <f ca="1">IFERROR(__xludf.DUMMYFUNCTION("""COMPUTED_VALUE"""),"#5")</f>
        <v>#5</v>
      </c>
      <c r="E142" s="37" t="str">
        <f ca="1">IFERROR(__xludf.DUMMYFUNCTION("""COMPUTED_VALUE"""),"Multi")</f>
        <v>Multi</v>
      </c>
      <c r="F142" s="36" t="str">
        <f ca="1">IFERROR(__xludf.DUMMYFUNCTION("""COMPUTED_VALUE"""),"1-2'")</f>
        <v>1-2'</v>
      </c>
      <c r="G142" s="38">
        <f ca="1">IFERROR(__xludf.DUMMYFUNCTION("""COMPUTED_VALUE"""),0)</f>
        <v>0</v>
      </c>
      <c r="H142" s="36">
        <f ca="1">IFERROR(__xludf.DUMMYFUNCTION("""COMPUTED_VALUE"""),300)</f>
        <v>300</v>
      </c>
      <c r="I142" s="39">
        <f ca="1">IFERROR(__xludf.DUMMYFUNCTION("""COMPUTED_VALUE"""),30)</f>
        <v>30</v>
      </c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</row>
    <row r="143" spans="1:26">
      <c r="A143" s="36" t="str">
        <f ca="1">IFERROR(__xludf.DUMMYFUNCTION("""COMPUTED_VALUE"""),"Liquidambar styraciflua")</f>
        <v>Liquidambar styraciflua</v>
      </c>
      <c r="B143" s="36">
        <f ca="1">IFERROR(__xludf.DUMMYFUNCTION("""COMPUTED_VALUE"""),5)</f>
        <v>5</v>
      </c>
      <c r="C143" s="36" t="str">
        <f ca="1">IFERROR(__xludf.DUMMYFUNCTION("""COMPUTED_VALUE"""),"Sweet Gum")</f>
        <v>Sweet Gum</v>
      </c>
      <c r="D143" s="36" t="str">
        <f ca="1">IFERROR(__xludf.DUMMYFUNCTION("""COMPUTED_VALUE"""),"#5")</f>
        <v>#5</v>
      </c>
      <c r="E143" s="37" t="str">
        <f ca="1">IFERROR(__xludf.DUMMYFUNCTION("""COMPUTED_VALUE"""),"0.25-1""")</f>
        <v>0.25-1"</v>
      </c>
      <c r="F143" s="36" t="str">
        <f ca="1">IFERROR(__xludf.DUMMYFUNCTION("""COMPUTED_VALUE"""),"2-6.5'")</f>
        <v>2-6.5'</v>
      </c>
      <c r="G143" s="38">
        <f ca="1">IFERROR(__xludf.DUMMYFUNCTION("""COMPUTED_VALUE"""),78)</f>
        <v>78</v>
      </c>
      <c r="H143" s="36">
        <f ca="1">IFERROR(__xludf.DUMMYFUNCTION("""COMPUTED_VALUE"""),0)</f>
        <v>0</v>
      </c>
      <c r="I143" s="39">
        <f ca="1">IFERROR(__xludf.DUMMYFUNCTION("""COMPUTED_VALUE"""),35)</f>
        <v>35</v>
      </c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</row>
    <row r="144" spans="1:26">
      <c r="A144" s="36" t="str">
        <f ca="1">IFERROR(__xludf.DUMMYFUNCTION("""COMPUTED_VALUE"""),"Liquidambar styraciflua")</f>
        <v>Liquidambar styraciflua</v>
      </c>
      <c r="B144" s="36">
        <f ca="1">IFERROR(__xludf.DUMMYFUNCTION("""COMPUTED_VALUE"""),7)</f>
        <v>7</v>
      </c>
      <c r="C144" s="36" t="str">
        <f ca="1">IFERROR(__xludf.DUMMYFUNCTION("""COMPUTED_VALUE"""),"Sweet Gum")</f>
        <v>Sweet Gum</v>
      </c>
      <c r="D144" s="36" t="str">
        <f ca="1">IFERROR(__xludf.DUMMYFUNCTION("""COMPUTED_VALUE"""),"#7")</f>
        <v>#7</v>
      </c>
      <c r="E144" s="37" t="str">
        <f ca="1">IFERROR(__xludf.DUMMYFUNCTION("""COMPUTED_VALUE"""),"0.5-0.5""")</f>
        <v>0.5-0.5"</v>
      </c>
      <c r="F144" s="36" t="str">
        <f ca="1">IFERROR(__xludf.DUMMYFUNCTION("""COMPUTED_VALUE"""),"3-4'")</f>
        <v>3-4'</v>
      </c>
      <c r="G144" s="38">
        <f ca="1">IFERROR(__xludf.DUMMYFUNCTION("""COMPUTED_VALUE"""),8)</f>
        <v>8</v>
      </c>
      <c r="H144" s="36">
        <f ca="1">IFERROR(__xludf.DUMMYFUNCTION("""COMPUTED_VALUE"""),0)</f>
        <v>0</v>
      </c>
      <c r="I144" s="39">
        <f ca="1">IFERROR(__xludf.DUMMYFUNCTION("""COMPUTED_VALUE"""),45)</f>
        <v>45</v>
      </c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</row>
    <row r="145" spans="1:26">
      <c r="A145" s="36" t="str">
        <f ca="1">IFERROR(__xludf.DUMMYFUNCTION("""COMPUTED_VALUE"""),"Liquidambar styraciflua 'Rotundaloba'")</f>
        <v>Liquidambar styraciflua 'Rotundaloba'</v>
      </c>
      <c r="B145" s="36">
        <f ca="1">IFERROR(__xludf.DUMMYFUNCTION("""COMPUTED_VALUE"""),7)</f>
        <v>7</v>
      </c>
      <c r="C145" s="36" t="str">
        <f ca="1">IFERROR(__xludf.DUMMYFUNCTION("""COMPUTED_VALUE"""),"Rotundaloba Sweet Gum")</f>
        <v>Rotundaloba Sweet Gum</v>
      </c>
      <c r="D145" s="36" t="str">
        <f ca="1">IFERROR(__xludf.DUMMYFUNCTION("""COMPUTED_VALUE"""),"#7")</f>
        <v>#7</v>
      </c>
      <c r="E145" s="37" t="str">
        <f ca="1">IFERROR(__xludf.DUMMYFUNCTION("""COMPUTED_VALUE"""),"1-1.25""")</f>
        <v>1-1.25"</v>
      </c>
      <c r="F145" s="36" t="str">
        <f ca="1">IFERROR(__xludf.DUMMYFUNCTION("""COMPUTED_VALUE"""),"6-8'")</f>
        <v>6-8'</v>
      </c>
      <c r="G145" s="38">
        <f ca="1">IFERROR(__xludf.DUMMYFUNCTION("""COMPUTED_VALUE"""),18)</f>
        <v>18</v>
      </c>
      <c r="H145" s="36">
        <f ca="1">IFERROR(__xludf.DUMMYFUNCTION("""COMPUTED_VALUE"""),0)</f>
        <v>0</v>
      </c>
      <c r="I145" s="39">
        <f ca="1">IFERROR(__xludf.DUMMYFUNCTION("""COMPUTED_VALUE"""),55)</f>
        <v>55</v>
      </c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</row>
    <row r="146" spans="1:26">
      <c r="A146" s="36" t="str">
        <f ca="1">IFERROR(__xludf.DUMMYFUNCTION("""COMPUTED_VALUE"""),"Liquidambar styraciflua 'Slender Silhouette'")</f>
        <v>Liquidambar styraciflua 'Slender Silhouette'</v>
      </c>
      <c r="B146" s="36">
        <f ca="1">IFERROR(__xludf.DUMMYFUNCTION("""COMPUTED_VALUE"""),15)</f>
        <v>15</v>
      </c>
      <c r="C146" s="36" t="str">
        <f ca="1">IFERROR(__xludf.DUMMYFUNCTION("""COMPUTED_VALUE"""),"Slender Silhouette Sweet Gum")</f>
        <v>Slender Silhouette Sweet Gum</v>
      </c>
      <c r="D146" s="36" t="str">
        <f ca="1">IFERROR(__xludf.DUMMYFUNCTION("""COMPUTED_VALUE"""),"#15")</f>
        <v>#15</v>
      </c>
      <c r="E146" s="37" t="str">
        <f ca="1">IFERROR(__xludf.DUMMYFUNCTION("""COMPUTED_VALUE"""),"2.25-2.25""")</f>
        <v>2.25-2.25"</v>
      </c>
      <c r="F146" s="36" t="str">
        <f ca="1">IFERROR(__xludf.DUMMYFUNCTION("""COMPUTED_VALUE"""),"10-10'")</f>
        <v>10-10'</v>
      </c>
      <c r="G146" s="38">
        <f ca="1">IFERROR(__xludf.DUMMYFUNCTION("""COMPUTED_VALUE"""),1)</f>
        <v>1</v>
      </c>
      <c r="H146" s="36">
        <f ca="1">IFERROR(__xludf.DUMMYFUNCTION("""COMPUTED_VALUE"""),0)</f>
        <v>0</v>
      </c>
      <c r="I146" s="39">
        <f ca="1">IFERROR(__xludf.DUMMYFUNCTION("""COMPUTED_VALUE"""),110)</f>
        <v>110</v>
      </c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</row>
    <row r="147" spans="1:26">
      <c r="A147" s="36" t="str">
        <f ca="1">IFERROR(__xludf.DUMMYFUNCTION("""COMPUTED_VALUE"""),"Liriodendron tulipifera")</f>
        <v>Liriodendron tulipifera</v>
      </c>
      <c r="B147" s="36">
        <f ca="1">IFERROR(__xludf.DUMMYFUNCTION("""COMPUTED_VALUE"""),5)</f>
        <v>5</v>
      </c>
      <c r="C147" s="36" t="str">
        <f ca="1">IFERROR(__xludf.DUMMYFUNCTION("""COMPUTED_VALUE"""),"Tulip Poplar")</f>
        <v>Tulip Poplar</v>
      </c>
      <c r="D147" s="36" t="str">
        <f ca="1">IFERROR(__xludf.DUMMYFUNCTION("""COMPUTED_VALUE"""),"#5")</f>
        <v>#5</v>
      </c>
      <c r="E147" s="37" t="str">
        <f ca="1">IFERROR(__xludf.DUMMYFUNCTION("""COMPUTED_VALUE"""),"0.5-1.25""")</f>
        <v>0.5-1.25"</v>
      </c>
      <c r="F147" s="36" t="str">
        <f ca="1">IFERROR(__xludf.DUMMYFUNCTION("""COMPUTED_VALUE"""),"5-10'")</f>
        <v>5-10'</v>
      </c>
      <c r="G147" s="38">
        <f ca="1">IFERROR(__xludf.DUMMYFUNCTION("""COMPUTED_VALUE"""),42)</f>
        <v>42</v>
      </c>
      <c r="H147" s="36">
        <f ca="1">IFERROR(__xludf.DUMMYFUNCTION("""COMPUTED_VALUE"""),50)</f>
        <v>50</v>
      </c>
      <c r="I147" s="39">
        <f ca="1">IFERROR(__xludf.DUMMYFUNCTION("""COMPUTED_VALUE"""),35)</f>
        <v>35</v>
      </c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</row>
    <row r="148" spans="1:26">
      <c r="A148" s="36" t="str">
        <f ca="1">IFERROR(__xludf.DUMMYFUNCTION("""COMPUTED_VALUE"""),"Liriodendron tulipifera")</f>
        <v>Liriodendron tulipifera</v>
      </c>
      <c r="B148" s="36">
        <f ca="1">IFERROR(__xludf.DUMMYFUNCTION("""COMPUTED_VALUE"""),15)</f>
        <v>15</v>
      </c>
      <c r="C148" s="36" t="str">
        <f ca="1">IFERROR(__xludf.DUMMYFUNCTION("""COMPUTED_VALUE"""),"Tulip Poplar")</f>
        <v>Tulip Poplar</v>
      </c>
      <c r="D148" s="36" t="str">
        <f ca="1">IFERROR(__xludf.DUMMYFUNCTION("""COMPUTED_VALUE"""),"#15")</f>
        <v>#15</v>
      </c>
      <c r="E148" s="37" t="str">
        <f ca="1">IFERROR(__xludf.DUMMYFUNCTION("""COMPUTED_VALUE"""),"0.75-1""")</f>
        <v>0.75-1"</v>
      </c>
      <c r="F148" s="36" t="str">
        <f ca="1">IFERROR(__xludf.DUMMYFUNCTION("""COMPUTED_VALUE"""),"5-8'")</f>
        <v>5-8'</v>
      </c>
      <c r="G148" s="38">
        <f ca="1">IFERROR(__xludf.DUMMYFUNCTION("""COMPUTED_VALUE"""),5)</f>
        <v>5</v>
      </c>
      <c r="H148" s="36">
        <f ca="1">IFERROR(__xludf.DUMMYFUNCTION("""COMPUTED_VALUE"""),10)</f>
        <v>10</v>
      </c>
      <c r="I148" s="39">
        <f ca="1">IFERROR(__xludf.DUMMYFUNCTION("""COMPUTED_VALUE"""),110)</f>
        <v>110</v>
      </c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</row>
    <row r="149" spans="1:26">
      <c r="A149" s="36" t="str">
        <f ca="1">IFERROR(__xludf.DUMMYFUNCTION("""COMPUTED_VALUE"""),"Maackia amurensis")</f>
        <v>Maackia amurensis</v>
      </c>
      <c r="B149" s="36">
        <f ca="1">IFERROR(__xludf.DUMMYFUNCTION("""COMPUTED_VALUE"""),5)</f>
        <v>5</v>
      </c>
      <c r="C149" s="36" t="str">
        <f ca="1">IFERROR(__xludf.DUMMYFUNCTION("""COMPUTED_VALUE"""),"Amur Maackia")</f>
        <v>Amur Maackia</v>
      </c>
      <c r="D149" s="36" t="str">
        <f ca="1">IFERROR(__xludf.DUMMYFUNCTION("""COMPUTED_VALUE"""),"#5")</f>
        <v>#5</v>
      </c>
      <c r="E149" s="37" t="str">
        <f ca="1">IFERROR(__xludf.DUMMYFUNCTION("""COMPUTED_VALUE"""),"0.25-1""")</f>
        <v>0.25-1"</v>
      </c>
      <c r="F149" s="36" t="str">
        <f ca="1">IFERROR(__xludf.DUMMYFUNCTION("""COMPUTED_VALUE"""),"2-9'")</f>
        <v>2-9'</v>
      </c>
      <c r="G149" s="38">
        <f ca="1">IFERROR(__xludf.DUMMYFUNCTION("""COMPUTED_VALUE"""),70)</f>
        <v>70</v>
      </c>
      <c r="H149" s="36">
        <f ca="1">IFERROR(__xludf.DUMMYFUNCTION("""COMPUTED_VALUE"""),0)</f>
        <v>0</v>
      </c>
      <c r="I149" s="39">
        <f ca="1">IFERROR(__xludf.DUMMYFUNCTION("""COMPUTED_VALUE"""),35)</f>
        <v>35</v>
      </c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</row>
    <row r="150" spans="1:26">
      <c r="A150" s="36" t="str">
        <f ca="1">IFERROR(__xludf.DUMMYFUNCTION("""COMPUTED_VALUE"""),"Maackia amurensis")</f>
        <v>Maackia amurensis</v>
      </c>
      <c r="B150" s="36">
        <f ca="1">IFERROR(__xludf.DUMMYFUNCTION("""COMPUTED_VALUE"""),15)</f>
        <v>15</v>
      </c>
      <c r="C150" s="36" t="str">
        <f ca="1">IFERROR(__xludf.DUMMYFUNCTION("""COMPUTED_VALUE"""),"Amur Maackia")</f>
        <v>Amur Maackia</v>
      </c>
      <c r="D150" s="36" t="str">
        <f ca="1">IFERROR(__xludf.DUMMYFUNCTION("""COMPUTED_VALUE"""),"#15")</f>
        <v>#15</v>
      </c>
      <c r="E150" s="37" t="str">
        <f ca="1">IFERROR(__xludf.DUMMYFUNCTION("""COMPUTED_VALUE"""),"1.25-1.25""")</f>
        <v>1.25-1.25"</v>
      </c>
      <c r="F150" s="36" t="str">
        <f ca="1">IFERROR(__xludf.DUMMYFUNCTION("""COMPUTED_VALUE"""),"11-11'")</f>
        <v>11-11'</v>
      </c>
      <c r="G150" s="38">
        <f ca="1">IFERROR(__xludf.DUMMYFUNCTION("""COMPUTED_VALUE"""),2)</f>
        <v>2</v>
      </c>
      <c r="H150" s="36">
        <f ca="1">IFERROR(__xludf.DUMMYFUNCTION("""COMPUTED_VALUE"""),0)</f>
        <v>0</v>
      </c>
      <c r="I150" s="39">
        <f ca="1">IFERROR(__xludf.DUMMYFUNCTION("""COMPUTED_VALUE"""),110)</f>
        <v>110</v>
      </c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</row>
    <row r="151" spans="1:26">
      <c r="A151" s="36" t="str">
        <f ca="1">IFERROR(__xludf.DUMMYFUNCTION("""COMPUTED_VALUE"""),"Magnolia 'Black Tulip'")</f>
        <v>Magnolia 'Black Tulip'</v>
      </c>
      <c r="B151" s="36">
        <f ca="1">IFERROR(__xludf.DUMMYFUNCTION("""COMPUTED_VALUE"""),5)</f>
        <v>5</v>
      </c>
      <c r="C151" s="36" t="str">
        <f ca="1">IFERROR(__xludf.DUMMYFUNCTION("""COMPUTED_VALUE"""),"Black Tulip Magnolia")</f>
        <v>Black Tulip Magnolia</v>
      </c>
      <c r="D151" s="36" t="str">
        <f ca="1">IFERROR(__xludf.DUMMYFUNCTION("""COMPUTED_VALUE"""),"#5")</f>
        <v>#5</v>
      </c>
      <c r="E151" s="37" t="str">
        <f ca="1">IFERROR(__xludf.DUMMYFUNCTION("""COMPUTED_VALUE"""),"0.5-0.75""")</f>
        <v>0.5-0.75"</v>
      </c>
      <c r="F151" s="36" t="str">
        <f ca="1">IFERROR(__xludf.DUMMYFUNCTION("""COMPUTED_VALUE"""),"3-4.5'")</f>
        <v>3-4.5'</v>
      </c>
      <c r="G151" s="38">
        <f ca="1">IFERROR(__xludf.DUMMYFUNCTION("""COMPUTED_VALUE"""),13)</f>
        <v>13</v>
      </c>
      <c r="H151" s="36">
        <f ca="1">IFERROR(__xludf.DUMMYFUNCTION("""COMPUTED_VALUE"""),0)</f>
        <v>0</v>
      </c>
      <c r="I151" s="39">
        <f ca="1">IFERROR(__xludf.DUMMYFUNCTION("""COMPUTED_VALUE"""),50)</f>
        <v>50</v>
      </c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</row>
    <row r="152" spans="1:26">
      <c r="A152" s="36" t="str">
        <f ca="1">IFERROR(__xludf.DUMMYFUNCTION("""COMPUTED_VALUE"""),"Magnolia 'Galaxy'")</f>
        <v>Magnolia 'Galaxy'</v>
      </c>
      <c r="B152" s="36">
        <f ca="1">IFERROR(__xludf.DUMMYFUNCTION("""COMPUTED_VALUE"""),5)</f>
        <v>5</v>
      </c>
      <c r="C152" s="36" t="str">
        <f ca="1">IFERROR(__xludf.DUMMYFUNCTION("""COMPUTED_VALUE"""),"Galaxy Magnolia")</f>
        <v>Galaxy Magnolia</v>
      </c>
      <c r="D152" s="36" t="str">
        <f ca="1">IFERROR(__xludf.DUMMYFUNCTION("""COMPUTED_VALUE"""),"#5")</f>
        <v>#5</v>
      </c>
      <c r="E152" s="40" t="str">
        <f ca="1">IFERROR(__xludf.DUMMYFUNCTION("""COMPUTED_VALUE"""),"Multi")</f>
        <v>Multi</v>
      </c>
      <c r="F152" s="36" t="str">
        <f ca="1">IFERROR(__xludf.DUMMYFUNCTION("""COMPUTED_VALUE"""),"4-5'")</f>
        <v>4-5'</v>
      </c>
      <c r="G152" s="38">
        <f ca="1">IFERROR(__xludf.DUMMYFUNCTION("""COMPUTED_VALUE"""),28)</f>
        <v>28</v>
      </c>
      <c r="H152" s="36">
        <f ca="1">IFERROR(__xludf.DUMMYFUNCTION("""COMPUTED_VALUE"""),20)</f>
        <v>20</v>
      </c>
      <c r="I152" s="39">
        <f ca="1">IFERROR(__xludf.DUMMYFUNCTION("""COMPUTED_VALUE"""),50)</f>
        <v>50</v>
      </c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</row>
    <row r="153" spans="1:26">
      <c r="A153" s="36" t="str">
        <f ca="1">IFERROR(__xludf.DUMMYFUNCTION("""COMPUTED_VALUE"""),"Magnolia 'Leonard Messel'")</f>
        <v>Magnolia 'Leonard Messel'</v>
      </c>
      <c r="B153" s="36">
        <f ca="1">IFERROR(__xludf.DUMMYFUNCTION("""COMPUTED_VALUE"""),15)</f>
        <v>15</v>
      </c>
      <c r="C153" s="36" t="str">
        <f ca="1">IFERROR(__xludf.DUMMYFUNCTION("""COMPUTED_VALUE"""),"Leonard Messel Magnolia")</f>
        <v>Leonard Messel Magnolia</v>
      </c>
      <c r="D153" s="36" t="str">
        <f ca="1">IFERROR(__xludf.DUMMYFUNCTION("""COMPUTED_VALUE"""),"#15")</f>
        <v>#15</v>
      </c>
      <c r="E153" s="40" t="str">
        <f ca="1">IFERROR(__xludf.DUMMYFUNCTION("""COMPUTED_VALUE"""),"Multi")</f>
        <v>Multi</v>
      </c>
      <c r="F153" s="36" t="str">
        <f ca="1">IFERROR(__xludf.DUMMYFUNCTION("""COMPUTED_VALUE"""),"5-6'")</f>
        <v>5-6'</v>
      </c>
      <c r="G153" s="38">
        <f ca="1">IFERROR(__xludf.DUMMYFUNCTION("""COMPUTED_VALUE"""),3)</f>
        <v>3</v>
      </c>
      <c r="H153" s="36">
        <f ca="1">IFERROR(__xludf.DUMMYFUNCTION("""COMPUTED_VALUE"""),0)</f>
        <v>0</v>
      </c>
      <c r="I153" s="39">
        <f ca="1">IFERROR(__xludf.DUMMYFUNCTION("""COMPUTED_VALUE"""),110)</f>
        <v>110</v>
      </c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</row>
    <row r="154" spans="1:26">
      <c r="A154" s="36" t="str">
        <f ca="1">IFERROR(__xludf.DUMMYFUNCTION("""COMPUTED_VALUE"""),"Magnolia 'Northern Belle'")</f>
        <v>Magnolia 'Northern Belle'</v>
      </c>
      <c r="B154" s="36">
        <f ca="1">IFERROR(__xludf.DUMMYFUNCTION("""COMPUTED_VALUE"""),5)</f>
        <v>5</v>
      </c>
      <c r="C154" s="36" t="str">
        <f ca="1">IFERROR(__xludf.DUMMYFUNCTION("""COMPUTED_VALUE"""),"Northern Belle Magnolia")</f>
        <v>Northern Belle Magnolia</v>
      </c>
      <c r="D154" s="36" t="str">
        <f ca="1">IFERROR(__xludf.DUMMYFUNCTION("""COMPUTED_VALUE"""),"#5")</f>
        <v>#5</v>
      </c>
      <c r="E154" s="37" t="str">
        <f ca="1">IFERROR(__xludf.DUMMYFUNCTION("""COMPUTED_VALUE"""),"0.25-0.5""")</f>
        <v>0.25-0.5"</v>
      </c>
      <c r="F154" s="36" t="str">
        <f ca="1">IFERROR(__xludf.DUMMYFUNCTION("""COMPUTED_VALUE"""),"3-4'")</f>
        <v>3-4'</v>
      </c>
      <c r="G154" s="38">
        <f ca="1">IFERROR(__xludf.DUMMYFUNCTION("""COMPUTED_VALUE"""),10)</f>
        <v>10</v>
      </c>
      <c r="H154" s="36">
        <f ca="1">IFERROR(__xludf.DUMMYFUNCTION("""COMPUTED_VALUE"""),0)</f>
        <v>0</v>
      </c>
      <c r="I154" s="39">
        <f ca="1">IFERROR(__xludf.DUMMYFUNCTION("""COMPUTED_VALUE"""),50)</f>
        <v>50</v>
      </c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</row>
    <row r="155" spans="1:26">
      <c r="A155" s="36" t="str">
        <f ca="1">IFERROR(__xludf.DUMMYFUNCTION("""COMPUTED_VALUE"""),"Magnolia 'Sunsation'")</f>
        <v>Magnolia 'Sunsation'</v>
      </c>
      <c r="B155" s="36">
        <f ca="1">IFERROR(__xludf.DUMMYFUNCTION("""COMPUTED_VALUE"""),5)</f>
        <v>5</v>
      </c>
      <c r="C155" s="36" t="str">
        <f ca="1">IFERROR(__xludf.DUMMYFUNCTION("""COMPUTED_VALUE"""),"Sunsation Magnolia")</f>
        <v>Sunsation Magnolia</v>
      </c>
      <c r="D155" s="36" t="str">
        <f ca="1">IFERROR(__xludf.DUMMYFUNCTION("""COMPUTED_VALUE"""),"#5")</f>
        <v>#5</v>
      </c>
      <c r="E155" s="37" t="str">
        <f ca="1">IFERROR(__xludf.DUMMYFUNCTION("""COMPUTED_VALUE"""),"Multi")</f>
        <v>Multi</v>
      </c>
      <c r="F155" s="36" t="str">
        <f ca="1">IFERROR(__xludf.DUMMYFUNCTION("""COMPUTED_VALUE"""),"3-4.5'")</f>
        <v>3-4.5'</v>
      </c>
      <c r="G155" s="38">
        <f ca="1">IFERROR(__xludf.DUMMYFUNCTION("""COMPUTED_VALUE"""),8)</f>
        <v>8</v>
      </c>
      <c r="H155" s="36">
        <f ca="1">IFERROR(__xludf.DUMMYFUNCTION("""COMPUTED_VALUE"""),0)</f>
        <v>0</v>
      </c>
      <c r="I155" s="39">
        <f ca="1">IFERROR(__xludf.DUMMYFUNCTION("""COMPUTED_VALUE"""),45)</f>
        <v>45</v>
      </c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</row>
    <row r="156" spans="1:26">
      <c r="A156" s="36" t="str">
        <f ca="1">IFERROR(__xludf.DUMMYFUNCTION("""COMPUTED_VALUE"""),"Magnolia 'Yellow Bird'")</f>
        <v>Magnolia 'Yellow Bird'</v>
      </c>
      <c r="B156" s="36">
        <f ca="1">IFERROR(__xludf.DUMMYFUNCTION("""COMPUTED_VALUE"""),5)</f>
        <v>5</v>
      </c>
      <c r="C156" s="36" t="str">
        <f ca="1">IFERROR(__xludf.DUMMYFUNCTION("""COMPUTED_VALUE"""),"Yellow Bird Magnolia")</f>
        <v>Yellow Bird Magnolia</v>
      </c>
      <c r="D156" s="36" t="str">
        <f ca="1">IFERROR(__xludf.DUMMYFUNCTION("""COMPUTED_VALUE"""),"#5")</f>
        <v>#5</v>
      </c>
      <c r="E156" s="40" t="str">
        <f ca="1">IFERROR(__xludf.DUMMYFUNCTION("""COMPUTED_VALUE"""),"Multi")</f>
        <v>Multi</v>
      </c>
      <c r="F156" s="36" t="str">
        <f ca="1">IFERROR(__xludf.DUMMYFUNCTION("""COMPUTED_VALUE"""),"4-5'")</f>
        <v>4-5'</v>
      </c>
      <c r="G156" s="38">
        <f ca="1">IFERROR(__xludf.DUMMYFUNCTION("""COMPUTED_VALUE"""),25)</f>
        <v>25</v>
      </c>
      <c r="H156" s="36">
        <f ca="1">IFERROR(__xludf.DUMMYFUNCTION("""COMPUTED_VALUE"""),0)</f>
        <v>0</v>
      </c>
      <c r="I156" s="39">
        <f ca="1">IFERROR(__xludf.DUMMYFUNCTION("""COMPUTED_VALUE"""),50)</f>
        <v>50</v>
      </c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</row>
    <row r="157" spans="1:26">
      <c r="A157" s="36" t="str">
        <f ca="1">IFERROR(__xludf.DUMMYFUNCTION("""COMPUTED_VALUE"""),"Magnolia ashei")</f>
        <v>Magnolia ashei</v>
      </c>
      <c r="B157" s="36">
        <f ca="1">IFERROR(__xludf.DUMMYFUNCTION("""COMPUTED_VALUE"""),5)</f>
        <v>5</v>
      </c>
      <c r="C157" s="36" t="str">
        <f ca="1">IFERROR(__xludf.DUMMYFUNCTION("""COMPUTED_VALUE"""),"Ashe's Magnolia")</f>
        <v>Ashe's Magnolia</v>
      </c>
      <c r="D157" s="36" t="str">
        <f ca="1">IFERROR(__xludf.DUMMYFUNCTION("""COMPUTED_VALUE"""),"#5")</f>
        <v>#5</v>
      </c>
      <c r="E157" s="37" t="str">
        <f ca="1">IFERROR(__xludf.DUMMYFUNCTION("""COMPUTED_VALUE"""),"0.25-0.5""")</f>
        <v>0.25-0.5"</v>
      </c>
      <c r="F157" s="36" t="str">
        <f ca="1">IFERROR(__xludf.DUMMYFUNCTION("""COMPUTED_VALUE"""),"2-3'")</f>
        <v>2-3'</v>
      </c>
      <c r="G157" s="38">
        <f ca="1">IFERROR(__xludf.DUMMYFUNCTION("""COMPUTED_VALUE"""),30)</f>
        <v>30</v>
      </c>
      <c r="H157" s="36">
        <f ca="1">IFERROR(__xludf.DUMMYFUNCTION("""COMPUTED_VALUE"""),50)</f>
        <v>50</v>
      </c>
      <c r="I157" s="39">
        <f ca="1">IFERROR(__xludf.DUMMYFUNCTION("""COMPUTED_VALUE"""),35)</f>
        <v>35</v>
      </c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</row>
    <row r="158" spans="1:26">
      <c r="A158" s="36" t="str">
        <f ca="1">IFERROR(__xludf.DUMMYFUNCTION("""COMPUTED_VALUE"""),"Magnolia virginiana")</f>
        <v>Magnolia virginiana</v>
      </c>
      <c r="B158" s="36">
        <f ca="1">IFERROR(__xludf.DUMMYFUNCTION("""COMPUTED_VALUE"""),5)</f>
        <v>5</v>
      </c>
      <c r="C158" s="36" t="str">
        <f ca="1">IFERROR(__xludf.DUMMYFUNCTION("""COMPUTED_VALUE"""),"Sweet Bay Magnolia")</f>
        <v>Sweet Bay Magnolia</v>
      </c>
      <c r="D158" s="36" t="str">
        <f ca="1">IFERROR(__xludf.DUMMYFUNCTION("""COMPUTED_VALUE"""),"#5")</f>
        <v>#5</v>
      </c>
      <c r="E158" s="37" t="str">
        <f ca="1">IFERROR(__xludf.DUMMYFUNCTION("""COMPUTED_VALUE"""),"0.25-0.5""")</f>
        <v>0.25-0.5"</v>
      </c>
      <c r="F158" s="36" t="str">
        <f ca="1">IFERROR(__xludf.DUMMYFUNCTION("""COMPUTED_VALUE"""),"2-3'")</f>
        <v>2-3'</v>
      </c>
      <c r="G158" s="38">
        <f ca="1">IFERROR(__xludf.DUMMYFUNCTION("""COMPUTED_VALUE"""),180)</f>
        <v>180</v>
      </c>
      <c r="H158" s="36">
        <f ca="1">IFERROR(__xludf.DUMMYFUNCTION("""COMPUTED_VALUE"""),200)</f>
        <v>200</v>
      </c>
      <c r="I158" s="39">
        <f ca="1">IFERROR(__xludf.DUMMYFUNCTION("""COMPUTED_VALUE"""),35)</f>
        <v>35</v>
      </c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</row>
    <row r="159" spans="1:26">
      <c r="A159" s="36" t="str">
        <f ca="1">IFERROR(__xludf.DUMMYFUNCTION("""COMPUTED_VALUE"""),"Magnolia virginiana")</f>
        <v>Magnolia virginiana</v>
      </c>
      <c r="B159" s="36">
        <f ca="1">IFERROR(__xludf.DUMMYFUNCTION("""COMPUTED_VALUE"""),15)</f>
        <v>15</v>
      </c>
      <c r="C159" s="36" t="str">
        <f ca="1">IFERROR(__xludf.DUMMYFUNCTION("""COMPUTED_VALUE"""),"Sweet Bay Magnolia")</f>
        <v>Sweet Bay Magnolia</v>
      </c>
      <c r="D159" s="36" t="str">
        <f ca="1">IFERROR(__xludf.DUMMYFUNCTION("""COMPUTED_VALUE"""),"#15")</f>
        <v>#15</v>
      </c>
      <c r="E159" s="37" t="str">
        <f ca="1">IFERROR(__xludf.DUMMYFUNCTION("""COMPUTED_VALUE"""),"Multi")</f>
        <v>Multi</v>
      </c>
      <c r="F159" s="36" t="str">
        <f ca="1">IFERROR(__xludf.DUMMYFUNCTION("""COMPUTED_VALUE"""),"3-7'")</f>
        <v>3-7'</v>
      </c>
      <c r="G159" s="38">
        <f ca="1">IFERROR(__xludf.DUMMYFUNCTION("""COMPUTED_VALUE"""),25)</f>
        <v>25</v>
      </c>
      <c r="H159" s="36">
        <f ca="1">IFERROR(__xludf.DUMMYFUNCTION("""COMPUTED_VALUE"""),0)</f>
        <v>0</v>
      </c>
      <c r="I159" s="39">
        <f ca="1">IFERROR(__xludf.DUMMYFUNCTION("""COMPUTED_VALUE"""),115)</f>
        <v>115</v>
      </c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</row>
    <row r="160" spans="1:26">
      <c r="A160" s="36" t="str">
        <f ca="1">IFERROR(__xludf.DUMMYFUNCTION("""COMPUTED_VALUE"""),"Magnolia virginiana")</f>
        <v>Magnolia virginiana</v>
      </c>
      <c r="B160" s="36">
        <f ca="1">IFERROR(__xludf.DUMMYFUNCTION("""COMPUTED_VALUE"""),15)</f>
        <v>15</v>
      </c>
      <c r="C160" s="36" t="str">
        <f ca="1">IFERROR(__xludf.DUMMYFUNCTION("""COMPUTED_VALUE"""),"Sweet Bay Magnolia (Single Stem)")</f>
        <v>Sweet Bay Magnolia (Single Stem)</v>
      </c>
      <c r="D160" s="36" t="str">
        <f ca="1">IFERROR(__xludf.DUMMYFUNCTION("""COMPUTED_VALUE"""),"#15")</f>
        <v>#15</v>
      </c>
      <c r="E160" s="37" t="str">
        <f ca="1">IFERROR(__xludf.DUMMYFUNCTION("""COMPUTED_VALUE"""),"1-1.25""")</f>
        <v>1-1.25"</v>
      </c>
      <c r="F160" s="36" t="str">
        <f ca="1">IFERROR(__xludf.DUMMYFUNCTION("""COMPUTED_VALUE"""),"7-7'")</f>
        <v>7-7'</v>
      </c>
      <c r="G160" s="38">
        <f ca="1">IFERROR(__xludf.DUMMYFUNCTION("""COMPUTED_VALUE"""),2)</f>
        <v>2</v>
      </c>
      <c r="H160" s="36">
        <f ca="1">IFERROR(__xludf.DUMMYFUNCTION("""COMPUTED_VALUE"""),0)</f>
        <v>0</v>
      </c>
      <c r="I160" s="39">
        <f ca="1">IFERROR(__xludf.DUMMYFUNCTION("""COMPUTED_VALUE"""),115)</f>
        <v>115</v>
      </c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</row>
    <row r="161" spans="1:26">
      <c r="A161" s="36" t="str">
        <f ca="1">IFERROR(__xludf.DUMMYFUNCTION("""COMPUTED_VALUE"""),"Magnolia virginiana 'Moonglow'")</f>
        <v>Magnolia virginiana 'Moonglow'</v>
      </c>
      <c r="B161" s="36">
        <f ca="1">IFERROR(__xludf.DUMMYFUNCTION("""COMPUTED_VALUE"""),5)</f>
        <v>5</v>
      </c>
      <c r="C161" s="36" t="str">
        <f ca="1">IFERROR(__xludf.DUMMYFUNCTION("""COMPUTED_VALUE"""),"Moonglow Magnolia")</f>
        <v>Moonglow Magnolia</v>
      </c>
      <c r="D161" s="36" t="str">
        <f ca="1">IFERROR(__xludf.DUMMYFUNCTION("""COMPUTED_VALUE"""),"#5")</f>
        <v>#5</v>
      </c>
      <c r="E161" s="37" t="str">
        <f ca="1">IFERROR(__xludf.DUMMYFUNCTION("""COMPUTED_VALUE"""),"0.25-0.5""")</f>
        <v>0.25-0.5"</v>
      </c>
      <c r="F161" s="36" t="str">
        <f ca="1">IFERROR(__xludf.DUMMYFUNCTION("""COMPUTED_VALUE"""),"3-4'")</f>
        <v>3-4'</v>
      </c>
      <c r="G161" s="38">
        <f ca="1">IFERROR(__xludf.DUMMYFUNCTION("""COMPUTED_VALUE"""),70)</f>
        <v>70</v>
      </c>
      <c r="H161" s="36">
        <f ca="1">IFERROR(__xludf.DUMMYFUNCTION("""COMPUTED_VALUE"""),100)</f>
        <v>100</v>
      </c>
      <c r="I161" s="39">
        <f ca="1">IFERROR(__xludf.DUMMYFUNCTION("""COMPUTED_VALUE"""),35)</f>
        <v>35</v>
      </c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</row>
    <row r="162" spans="1:26">
      <c r="A162" s="36" t="str">
        <f ca="1">IFERROR(__xludf.DUMMYFUNCTION("""COMPUTED_VALUE"""),"Magnolia x 'Ann'")</f>
        <v>Magnolia x 'Ann'</v>
      </c>
      <c r="B162" s="36">
        <f ca="1">IFERROR(__xludf.DUMMYFUNCTION("""COMPUTED_VALUE"""),5)</f>
        <v>5</v>
      </c>
      <c r="C162" s="36" t="str">
        <f ca="1">IFERROR(__xludf.DUMMYFUNCTION("""COMPUTED_VALUE"""),"Ann Magnolia")</f>
        <v>Ann Magnolia</v>
      </c>
      <c r="D162" s="36" t="str">
        <f ca="1">IFERROR(__xludf.DUMMYFUNCTION("""COMPUTED_VALUE"""),"#5")</f>
        <v>#5</v>
      </c>
      <c r="E162" s="40" t="str">
        <f ca="1">IFERROR(__xludf.DUMMYFUNCTION("""COMPUTED_VALUE"""),"Multi")</f>
        <v>Multi</v>
      </c>
      <c r="F162" s="36" t="str">
        <f ca="1">IFERROR(__xludf.DUMMYFUNCTION("""COMPUTED_VALUE"""),"2-3'")</f>
        <v>2-3'</v>
      </c>
      <c r="G162" s="38">
        <f ca="1">IFERROR(__xludf.DUMMYFUNCTION("""COMPUTED_VALUE"""),25)</f>
        <v>25</v>
      </c>
      <c r="H162" s="36">
        <f ca="1">IFERROR(__xludf.DUMMYFUNCTION("""COMPUTED_VALUE"""),0)</f>
        <v>0</v>
      </c>
      <c r="I162" s="39">
        <f ca="1">IFERROR(__xludf.DUMMYFUNCTION("""COMPUTED_VALUE"""),45)</f>
        <v>45</v>
      </c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</row>
    <row r="163" spans="1:26">
      <c r="A163" s="36" t="str">
        <f ca="1">IFERROR(__xludf.DUMMYFUNCTION("""COMPUTED_VALUE"""),"Magnolia x 'Jane'")</f>
        <v>Magnolia x 'Jane'</v>
      </c>
      <c r="B163" s="36">
        <f ca="1">IFERROR(__xludf.DUMMYFUNCTION("""COMPUTED_VALUE"""),5)</f>
        <v>5</v>
      </c>
      <c r="C163" s="36" t="str">
        <f ca="1">IFERROR(__xludf.DUMMYFUNCTION("""COMPUTED_VALUE"""),"Jane Magnolia")</f>
        <v>Jane Magnolia</v>
      </c>
      <c r="D163" s="36" t="str">
        <f ca="1">IFERROR(__xludf.DUMMYFUNCTION("""COMPUTED_VALUE"""),"#5")</f>
        <v>#5</v>
      </c>
      <c r="E163" s="37" t="str">
        <f ca="1">IFERROR(__xludf.DUMMYFUNCTION("""COMPUTED_VALUE"""),"0.25-0.5""")</f>
        <v>0.25-0.5"</v>
      </c>
      <c r="F163" s="36" t="str">
        <f ca="1">IFERROR(__xludf.DUMMYFUNCTION("""COMPUTED_VALUE"""),"2-3.5'")</f>
        <v>2-3.5'</v>
      </c>
      <c r="G163" s="38">
        <f ca="1">IFERROR(__xludf.DUMMYFUNCTION("""COMPUTED_VALUE"""),19)</f>
        <v>19</v>
      </c>
      <c r="H163" s="36">
        <f ca="1">IFERROR(__xludf.DUMMYFUNCTION("""COMPUTED_VALUE"""),0)</f>
        <v>0</v>
      </c>
      <c r="I163" s="39">
        <f ca="1">IFERROR(__xludf.DUMMYFUNCTION("""COMPUTED_VALUE"""),45)</f>
        <v>45</v>
      </c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</row>
    <row r="164" spans="1:26">
      <c r="A164" s="36" t="str">
        <f ca="1">IFERROR(__xludf.DUMMYFUNCTION("""COMPUTED_VALUE"""),"Malus 'Prariefire'")</f>
        <v>Malus 'Prariefire'</v>
      </c>
      <c r="B164" s="36">
        <f ca="1">IFERROR(__xludf.DUMMYFUNCTION("""COMPUTED_VALUE"""),5)</f>
        <v>5</v>
      </c>
      <c r="C164" s="36" t="str">
        <f ca="1">IFERROR(__xludf.DUMMYFUNCTION("""COMPUTED_VALUE"""),"Prairifire Crabapple")</f>
        <v>Prairifire Crabapple</v>
      </c>
      <c r="D164" s="36" t="str">
        <f ca="1">IFERROR(__xludf.DUMMYFUNCTION("""COMPUTED_VALUE"""),"#5")</f>
        <v>#5</v>
      </c>
      <c r="E164" s="37" t="str">
        <f ca="1">IFERROR(__xludf.DUMMYFUNCTION("""COMPUTED_VALUE"""),"0.5-0.75""")</f>
        <v>0.5-0.75"</v>
      </c>
      <c r="F164" s="36" t="str">
        <f ca="1">IFERROR(__xludf.DUMMYFUNCTION("""COMPUTED_VALUE"""),"5-6'")</f>
        <v>5-6'</v>
      </c>
      <c r="G164" s="38">
        <f ca="1">IFERROR(__xludf.DUMMYFUNCTION("""COMPUTED_VALUE"""),47)</f>
        <v>47</v>
      </c>
      <c r="H164" s="36">
        <f ca="1">IFERROR(__xludf.DUMMYFUNCTION("""COMPUTED_VALUE"""),100)</f>
        <v>100</v>
      </c>
      <c r="I164" s="39">
        <f ca="1">IFERROR(__xludf.DUMMYFUNCTION("""COMPUTED_VALUE"""),35)</f>
        <v>35</v>
      </c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</row>
    <row r="165" spans="1:26">
      <c r="A165" s="36" t="str">
        <f ca="1">IFERROR(__xludf.DUMMYFUNCTION("""COMPUTED_VALUE"""),"Malus 'Prariefire'")</f>
        <v>Malus 'Prariefire'</v>
      </c>
      <c r="B165" s="36">
        <f ca="1">IFERROR(__xludf.DUMMYFUNCTION("""COMPUTED_VALUE"""),7)</f>
        <v>7</v>
      </c>
      <c r="C165" s="36" t="str">
        <f ca="1">IFERROR(__xludf.DUMMYFUNCTION("""COMPUTED_VALUE"""),"Prairifire Crabapple")</f>
        <v>Prairifire Crabapple</v>
      </c>
      <c r="D165" s="36" t="str">
        <f ca="1">IFERROR(__xludf.DUMMYFUNCTION("""COMPUTED_VALUE"""),"#7")</f>
        <v>#7</v>
      </c>
      <c r="E165" s="37" t="str">
        <f ca="1">IFERROR(__xludf.DUMMYFUNCTION("""COMPUTED_VALUE"""),"0.5-0.75""")</f>
        <v>0.5-0.75"</v>
      </c>
      <c r="F165" s="36" t="str">
        <f ca="1">IFERROR(__xludf.DUMMYFUNCTION("""COMPUTED_VALUE"""),"5-6'")</f>
        <v>5-6'</v>
      </c>
      <c r="G165" s="38">
        <f ca="1">IFERROR(__xludf.DUMMYFUNCTION("""COMPUTED_VALUE"""),41)</f>
        <v>41</v>
      </c>
      <c r="H165" s="36">
        <f ca="1">IFERROR(__xludf.DUMMYFUNCTION("""COMPUTED_VALUE"""),0)</f>
        <v>0</v>
      </c>
      <c r="I165" s="39">
        <f ca="1">IFERROR(__xludf.DUMMYFUNCTION("""COMPUTED_VALUE"""),55)</f>
        <v>55</v>
      </c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</row>
    <row r="166" spans="1:26">
      <c r="A166" s="36" t="str">
        <f ca="1">IFERROR(__xludf.DUMMYFUNCTION("""COMPUTED_VALUE"""),"Malus 'Prariefire'")</f>
        <v>Malus 'Prariefire'</v>
      </c>
      <c r="B166" s="36">
        <f ca="1">IFERROR(__xludf.DUMMYFUNCTION("""COMPUTED_VALUE"""),15)</f>
        <v>15</v>
      </c>
      <c r="C166" s="36" t="str">
        <f ca="1">IFERROR(__xludf.DUMMYFUNCTION("""COMPUTED_VALUE"""),"Prairifire Crabapple")</f>
        <v>Prairifire Crabapple</v>
      </c>
      <c r="D166" s="36" t="str">
        <f ca="1">IFERROR(__xludf.DUMMYFUNCTION("""COMPUTED_VALUE"""),"#15")</f>
        <v>#15</v>
      </c>
      <c r="E166" s="37" t="str">
        <f ca="1">IFERROR(__xludf.DUMMYFUNCTION("""COMPUTED_VALUE"""),"1-1""")</f>
        <v>1-1"</v>
      </c>
      <c r="F166" s="36" t="str">
        <f ca="1">IFERROR(__xludf.DUMMYFUNCTION("""COMPUTED_VALUE"""),"10-10'")</f>
        <v>10-10'</v>
      </c>
      <c r="G166" s="38">
        <f ca="1">IFERROR(__xludf.DUMMYFUNCTION("""COMPUTED_VALUE"""),1)</f>
        <v>1</v>
      </c>
      <c r="H166" s="36">
        <f ca="1">IFERROR(__xludf.DUMMYFUNCTION("""COMPUTED_VALUE"""),30)</f>
        <v>30</v>
      </c>
      <c r="I166" s="39">
        <f ca="1">IFERROR(__xludf.DUMMYFUNCTION("""COMPUTED_VALUE"""),110)</f>
        <v>110</v>
      </c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</row>
    <row r="167" spans="1:26">
      <c r="A167" s="36" t="str">
        <f ca="1">IFERROR(__xludf.DUMMYFUNCTION("""COMPUTED_VALUE"""),"Malus 'Sargent Tina'")</f>
        <v>Malus 'Sargent Tina'</v>
      </c>
      <c r="B167" s="36">
        <f ca="1">IFERROR(__xludf.DUMMYFUNCTION("""COMPUTED_VALUE"""),15)</f>
        <v>15</v>
      </c>
      <c r="C167" s="36" t="str">
        <f ca="1">IFERROR(__xludf.DUMMYFUNCTION("""COMPUTED_VALUE"""),"Sargent Tina Crabapple")</f>
        <v>Sargent Tina Crabapple</v>
      </c>
      <c r="D167" s="36" t="str">
        <f ca="1">IFERROR(__xludf.DUMMYFUNCTION("""COMPUTED_VALUE"""),"#15")</f>
        <v>#15</v>
      </c>
      <c r="E167" s="37" t="str">
        <f ca="1">IFERROR(__xludf.DUMMYFUNCTION("""COMPUTED_VALUE"""),"1-1.25""")</f>
        <v>1-1.25"</v>
      </c>
      <c r="F167" s="36" t="str">
        <f ca="1">IFERROR(__xludf.DUMMYFUNCTION("""COMPUTED_VALUE"""),"5-6'")</f>
        <v>5-6'</v>
      </c>
      <c r="G167" s="38">
        <f ca="1">IFERROR(__xludf.DUMMYFUNCTION("""COMPUTED_VALUE"""),2)</f>
        <v>2</v>
      </c>
      <c r="H167" s="36">
        <f ca="1">IFERROR(__xludf.DUMMYFUNCTION("""COMPUTED_VALUE"""),0)</f>
        <v>0</v>
      </c>
      <c r="I167" s="39">
        <f ca="1">IFERROR(__xludf.DUMMYFUNCTION("""COMPUTED_VALUE"""),110)</f>
        <v>110</v>
      </c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</row>
    <row r="168" spans="1:26">
      <c r="A168" s="36" t="str">
        <f ca="1">IFERROR(__xludf.DUMMYFUNCTION("""COMPUTED_VALUE"""),"Malus 'Snowdrift'")</f>
        <v>Malus 'Snowdrift'</v>
      </c>
      <c r="B168" s="36">
        <f ca="1">IFERROR(__xludf.DUMMYFUNCTION("""COMPUTED_VALUE"""),5)</f>
        <v>5</v>
      </c>
      <c r="C168" s="36" t="str">
        <f ca="1">IFERROR(__xludf.DUMMYFUNCTION("""COMPUTED_VALUE"""),"Snowdrift Crabapple")</f>
        <v>Snowdrift Crabapple</v>
      </c>
      <c r="D168" s="36" t="str">
        <f ca="1">IFERROR(__xludf.DUMMYFUNCTION("""COMPUTED_VALUE"""),"#5")</f>
        <v>#5</v>
      </c>
      <c r="E168" s="37" t="str">
        <f ca="1">IFERROR(__xludf.DUMMYFUNCTION("""COMPUTED_VALUE"""),"0.75-1""")</f>
        <v>0.75-1"</v>
      </c>
      <c r="F168" s="36" t="str">
        <f ca="1">IFERROR(__xludf.DUMMYFUNCTION("""COMPUTED_VALUE"""),"5-6'")</f>
        <v>5-6'</v>
      </c>
      <c r="G168" s="38">
        <f ca="1">IFERROR(__xludf.DUMMYFUNCTION("""COMPUTED_VALUE"""),27)</f>
        <v>27</v>
      </c>
      <c r="H168" s="36">
        <f ca="1">IFERROR(__xludf.DUMMYFUNCTION("""COMPUTED_VALUE"""),0)</f>
        <v>0</v>
      </c>
      <c r="I168" s="39">
        <f ca="1">IFERROR(__xludf.DUMMYFUNCTION("""COMPUTED_VALUE"""),35)</f>
        <v>35</v>
      </c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</row>
    <row r="169" spans="1:26">
      <c r="A169" s="36" t="str">
        <f ca="1">IFERROR(__xludf.DUMMYFUNCTION("""COMPUTED_VALUE"""),"Malus dolgo")</f>
        <v>Malus dolgo</v>
      </c>
      <c r="B169" s="36">
        <f ca="1">IFERROR(__xludf.DUMMYFUNCTION("""COMPUTED_VALUE"""),5)</f>
        <v>5</v>
      </c>
      <c r="C169" s="36" t="str">
        <f ca="1">IFERROR(__xludf.DUMMYFUNCTION("""COMPUTED_VALUE"""),"Dolgo Crabapple")</f>
        <v>Dolgo Crabapple</v>
      </c>
      <c r="D169" s="36" t="str">
        <f ca="1">IFERROR(__xludf.DUMMYFUNCTION("""COMPUTED_VALUE"""),"#5")</f>
        <v>#5</v>
      </c>
      <c r="E169" s="40" t="str">
        <f ca="1">IFERROR(__xludf.DUMMYFUNCTION("""COMPUTED_VALUE"""),"Multi")</f>
        <v>Multi</v>
      </c>
      <c r="F169" s="36" t="str">
        <f ca="1">IFERROR(__xludf.DUMMYFUNCTION("""COMPUTED_VALUE"""),"4-5'")</f>
        <v>4-5'</v>
      </c>
      <c r="G169" s="38">
        <f ca="1">IFERROR(__xludf.DUMMYFUNCTION("""COMPUTED_VALUE"""),5)</f>
        <v>5</v>
      </c>
      <c r="H169" s="36">
        <f ca="1">IFERROR(__xludf.DUMMYFUNCTION("""COMPUTED_VALUE"""),0)</f>
        <v>0</v>
      </c>
      <c r="I169" s="39">
        <f ca="1">IFERROR(__xludf.DUMMYFUNCTION("""COMPUTED_VALUE"""),35)</f>
        <v>35</v>
      </c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</row>
    <row r="170" spans="1:26">
      <c r="A170" s="36" t="str">
        <f ca="1">IFERROR(__xludf.DUMMYFUNCTION("""COMPUTED_VALUE"""),"Malus domestica")</f>
        <v>Malus domestica</v>
      </c>
      <c r="B170" s="36">
        <f ca="1">IFERROR(__xludf.DUMMYFUNCTION("""COMPUTED_VALUE"""),5)</f>
        <v>5</v>
      </c>
      <c r="C170" s="36" t="str">
        <f ca="1">IFERROR(__xludf.DUMMYFUNCTION("""COMPUTED_VALUE"""),"Common Apple")</f>
        <v>Common Apple</v>
      </c>
      <c r="D170" s="36" t="str">
        <f ca="1">IFERROR(__xludf.DUMMYFUNCTION("""COMPUTED_VALUE"""),"#5")</f>
        <v>#5</v>
      </c>
      <c r="E170" s="37" t="str">
        <f ca="1">IFERROR(__xludf.DUMMYFUNCTION("""COMPUTED_VALUE"""),"0.75-0.5""")</f>
        <v>0.75-0.5"</v>
      </c>
      <c r="F170" s="36" t="str">
        <f ca="1">IFERROR(__xludf.DUMMYFUNCTION("""COMPUTED_VALUE"""),"4-5'")</f>
        <v>4-5'</v>
      </c>
      <c r="G170" s="38">
        <f ca="1">IFERROR(__xludf.DUMMYFUNCTION("""COMPUTED_VALUE"""),38)</f>
        <v>38</v>
      </c>
      <c r="H170" s="36">
        <f ca="1">IFERROR(__xludf.DUMMYFUNCTION("""COMPUTED_VALUE"""),0)</f>
        <v>0</v>
      </c>
      <c r="I170" s="39">
        <f ca="1">IFERROR(__xludf.DUMMYFUNCTION("""COMPUTED_VALUE"""),30)</f>
        <v>30</v>
      </c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</row>
    <row r="171" spans="1:26">
      <c r="A171" s="36" t="str">
        <f ca="1">IFERROR(__xludf.DUMMYFUNCTION("""COMPUTED_VALUE"""),"Metasequoia glyptostroboides")</f>
        <v>Metasequoia glyptostroboides</v>
      </c>
      <c r="B171" s="36">
        <f ca="1">IFERROR(__xludf.DUMMYFUNCTION("""COMPUTED_VALUE"""),5)</f>
        <v>5</v>
      </c>
      <c r="C171" s="36" t="str">
        <f ca="1">IFERROR(__xludf.DUMMYFUNCTION("""COMPUTED_VALUE"""),"Dawn Redwood")</f>
        <v>Dawn Redwood</v>
      </c>
      <c r="D171" s="36" t="str">
        <f ca="1">IFERROR(__xludf.DUMMYFUNCTION("""COMPUTED_VALUE"""),"#5")</f>
        <v>#5</v>
      </c>
      <c r="E171" s="37" t="str">
        <f ca="1">IFERROR(__xludf.DUMMYFUNCTION("""COMPUTED_VALUE"""),"0.5-1.5""")</f>
        <v>0.5-1.5"</v>
      </c>
      <c r="F171" s="36" t="str">
        <f ca="1">IFERROR(__xludf.DUMMYFUNCTION("""COMPUTED_VALUE"""),"4-10'")</f>
        <v>4-10'</v>
      </c>
      <c r="G171" s="38">
        <f ca="1">IFERROR(__xludf.DUMMYFUNCTION("""COMPUTED_VALUE"""),59)</f>
        <v>59</v>
      </c>
      <c r="H171" s="36">
        <f ca="1">IFERROR(__xludf.DUMMYFUNCTION("""COMPUTED_VALUE"""),50)</f>
        <v>50</v>
      </c>
      <c r="I171" s="39">
        <f ca="1">IFERROR(__xludf.DUMMYFUNCTION("""COMPUTED_VALUE"""),35)</f>
        <v>35</v>
      </c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</row>
    <row r="172" spans="1:26">
      <c r="A172" s="36" t="str">
        <f ca="1">IFERROR(__xludf.DUMMYFUNCTION("""COMPUTED_VALUE"""),"Myrica pennsylvanica")</f>
        <v>Myrica pennsylvanica</v>
      </c>
      <c r="B172" s="36">
        <f ca="1">IFERROR(__xludf.DUMMYFUNCTION("""COMPUTED_VALUE"""),5)</f>
        <v>5</v>
      </c>
      <c r="C172" s="36" t="str">
        <f ca="1">IFERROR(__xludf.DUMMYFUNCTION("""COMPUTED_VALUE"""),"Bayberry")</f>
        <v>Bayberry</v>
      </c>
      <c r="D172" s="36" t="str">
        <f ca="1">IFERROR(__xludf.DUMMYFUNCTION("""COMPUTED_VALUE"""),"#5")</f>
        <v>#5</v>
      </c>
      <c r="E172" s="40" t="str">
        <f ca="1">IFERROR(__xludf.DUMMYFUNCTION("""COMPUTED_VALUE"""),"Multi")</f>
        <v>Multi</v>
      </c>
      <c r="F172" s="36" t="str">
        <f ca="1">IFERROR(__xludf.DUMMYFUNCTION("""COMPUTED_VALUE"""),"0-2'")</f>
        <v>0-2'</v>
      </c>
      <c r="G172" s="38">
        <f ca="1">IFERROR(__xludf.DUMMYFUNCTION("""COMPUTED_VALUE"""),0)</f>
        <v>0</v>
      </c>
      <c r="H172" s="36">
        <f ca="1">IFERROR(__xludf.DUMMYFUNCTION("""COMPUTED_VALUE"""),100)</f>
        <v>100</v>
      </c>
      <c r="I172" s="39">
        <f ca="1">IFERROR(__xludf.DUMMYFUNCTION("""COMPUTED_VALUE"""),30)</f>
        <v>30</v>
      </c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</row>
    <row r="173" spans="1:26">
      <c r="A173" s="36" t="str">
        <f ca="1">IFERROR(__xludf.DUMMYFUNCTION("""COMPUTED_VALUE"""),"Nandina domestica")</f>
        <v>Nandina domestica</v>
      </c>
      <c r="B173" s="36">
        <f ca="1">IFERROR(__xludf.DUMMYFUNCTION("""COMPUTED_VALUE"""),5)</f>
        <v>5</v>
      </c>
      <c r="C173" s="36" t="str">
        <f ca="1">IFERROR(__xludf.DUMMYFUNCTION("""COMPUTED_VALUE"""),"Nandina")</f>
        <v>Nandina</v>
      </c>
      <c r="D173" s="36" t="str">
        <f ca="1">IFERROR(__xludf.DUMMYFUNCTION("""COMPUTED_VALUE"""),"#5")</f>
        <v>#5</v>
      </c>
      <c r="E173" s="37" t="str">
        <f ca="1">IFERROR(__xludf.DUMMYFUNCTION("""COMPUTED_VALUE"""),"Multi")</f>
        <v>Multi</v>
      </c>
      <c r="F173" s="36" t="str">
        <f ca="1">IFERROR(__xludf.DUMMYFUNCTION("""COMPUTED_VALUE"""),"0.25-1'")</f>
        <v>0.25-1'</v>
      </c>
      <c r="G173" s="38">
        <f ca="1">IFERROR(__xludf.DUMMYFUNCTION("""COMPUTED_VALUE"""),14)</f>
        <v>14</v>
      </c>
      <c r="H173" s="36">
        <f ca="1">IFERROR(__xludf.DUMMYFUNCTION("""COMPUTED_VALUE"""),0)</f>
        <v>0</v>
      </c>
      <c r="I173" s="39">
        <f ca="1">IFERROR(__xludf.DUMMYFUNCTION("""COMPUTED_VALUE"""),30)</f>
        <v>30</v>
      </c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</row>
    <row r="174" spans="1:26">
      <c r="A174" s="36" t="str">
        <f ca="1">IFERROR(__xludf.DUMMYFUNCTION("""COMPUTED_VALUE"""),"Nyssa sylvatica")</f>
        <v>Nyssa sylvatica</v>
      </c>
      <c r="B174" s="36">
        <f ca="1">IFERROR(__xludf.DUMMYFUNCTION("""COMPUTED_VALUE"""),7)</f>
        <v>7</v>
      </c>
      <c r="C174" s="36" t="str">
        <f ca="1">IFERROR(__xludf.DUMMYFUNCTION("""COMPUTED_VALUE"""),"Black Gum")</f>
        <v>Black Gum</v>
      </c>
      <c r="D174" s="36" t="str">
        <f ca="1">IFERROR(__xludf.DUMMYFUNCTION("""COMPUTED_VALUE"""),"#7")</f>
        <v>#7</v>
      </c>
      <c r="E174" s="37" t="str">
        <f ca="1">IFERROR(__xludf.DUMMYFUNCTION("""COMPUTED_VALUE"""),"0.5-0.75""")</f>
        <v>0.5-0.75"</v>
      </c>
      <c r="F174" s="36" t="str">
        <f ca="1">IFERROR(__xludf.DUMMYFUNCTION("""COMPUTED_VALUE"""),"4-5'")</f>
        <v>4-5'</v>
      </c>
      <c r="G174" s="38">
        <f ca="1">IFERROR(__xludf.DUMMYFUNCTION("""COMPUTED_VALUE"""),80)</f>
        <v>80</v>
      </c>
      <c r="H174" s="36">
        <f ca="1">IFERROR(__xludf.DUMMYFUNCTION("""COMPUTED_VALUE"""),0)</f>
        <v>0</v>
      </c>
      <c r="I174" s="39">
        <f ca="1">IFERROR(__xludf.DUMMYFUNCTION("""COMPUTED_VALUE"""),40)</f>
        <v>40</v>
      </c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</row>
    <row r="175" spans="1:26">
      <c r="A175" s="36" t="str">
        <f ca="1">IFERROR(__xludf.DUMMYFUNCTION("""COMPUTED_VALUE"""),"Nyssa sylvatica 'Green Gable'")</f>
        <v>Nyssa sylvatica 'Green Gable'</v>
      </c>
      <c r="B175" s="36">
        <f ca="1">IFERROR(__xludf.DUMMYFUNCTION("""COMPUTED_VALUE"""),5)</f>
        <v>5</v>
      </c>
      <c r="C175" s="36" t="str">
        <f ca="1">IFERROR(__xludf.DUMMYFUNCTION("""COMPUTED_VALUE"""),"Green Gable Black Gum")</f>
        <v>Green Gable Black Gum</v>
      </c>
      <c r="D175" s="36" t="str">
        <f ca="1">IFERROR(__xludf.DUMMYFUNCTION("""COMPUTED_VALUE"""),"#5")</f>
        <v>#5</v>
      </c>
      <c r="E175" s="37" t="str">
        <f ca="1">IFERROR(__xludf.DUMMYFUNCTION("""COMPUTED_VALUE"""),"0.5-0.5""")</f>
        <v>0.5-0.5"</v>
      </c>
      <c r="F175" s="36" t="str">
        <f ca="1">IFERROR(__xludf.DUMMYFUNCTION("""COMPUTED_VALUE"""),"3-5'")</f>
        <v>3-5'</v>
      </c>
      <c r="G175" s="38">
        <f ca="1">IFERROR(__xludf.DUMMYFUNCTION("""COMPUTED_VALUE"""),7)</f>
        <v>7</v>
      </c>
      <c r="H175" s="36">
        <f ca="1">IFERROR(__xludf.DUMMYFUNCTION("""COMPUTED_VALUE"""),10)</f>
        <v>10</v>
      </c>
      <c r="I175" s="39">
        <f ca="1">IFERROR(__xludf.DUMMYFUNCTION("""COMPUTED_VALUE"""),45)</f>
        <v>45</v>
      </c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</row>
    <row r="176" spans="1:26">
      <c r="A176" s="36" t="str">
        <f ca="1">IFERROR(__xludf.DUMMYFUNCTION("""COMPUTED_VALUE"""),"Nyssa sylvatica 'Tupelo Tower'")</f>
        <v>Nyssa sylvatica 'Tupelo Tower'</v>
      </c>
      <c r="B176" s="36">
        <f ca="1">IFERROR(__xludf.DUMMYFUNCTION("""COMPUTED_VALUE"""),5)</f>
        <v>5</v>
      </c>
      <c r="C176" s="36" t="str">
        <f ca="1">IFERROR(__xludf.DUMMYFUNCTION("""COMPUTED_VALUE"""),"Tupelo Tower Black Gum")</f>
        <v>Tupelo Tower Black Gum</v>
      </c>
      <c r="D176" s="36" t="str">
        <f ca="1">IFERROR(__xludf.DUMMYFUNCTION("""COMPUTED_VALUE"""),"#5")</f>
        <v>#5</v>
      </c>
      <c r="E176" s="37" t="str">
        <f ca="1">IFERROR(__xludf.DUMMYFUNCTION("""COMPUTED_VALUE"""),"0.5-0.5""")</f>
        <v>0.5-0.5"</v>
      </c>
      <c r="F176" s="36" t="str">
        <f ca="1">IFERROR(__xludf.DUMMYFUNCTION("""COMPUTED_VALUE"""),"3-5'")</f>
        <v>3-5'</v>
      </c>
      <c r="G176" s="38">
        <f ca="1">IFERROR(__xludf.DUMMYFUNCTION("""COMPUTED_VALUE"""),5)</f>
        <v>5</v>
      </c>
      <c r="H176" s="36">
        <f ca="1">IFERROR(__xludf.DUMMYFUNCTION("""COMPUTED_VALUE"""),0)</f>
        <v>0</v>
      </c>
      <c r="I176" s="39">
        <f ca="1">IFERROR(__xludf.DUMMYFUNCTION("""COMPUTED_VALUE"""),45)</f>
        <v>45</v>
      </c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</row>
    <row r="177" spans="1:26">
      <c r="A177" s="36" t="str">
        <f ca="1">IFERROR(__xludf.DUMMYFUNCTION("""COMPUTED_VALUE"""),"Nyssa sylvatica 'Wildfire'")</f>
        <v>Nyssa sylvatica 'Wildfire'</v>
      </c>
      <c r="B177" s="36">
        <f ca="1">IFERROR(__xludf.DUMMYFUNCTION("""COMPUTED_VALUE"""),5)</f>
        <v>5</v>
      </c>
      <c r="C177" s="36" t="str">
        <f ca="1">IFERROR(__xludf.DUMMYFUNCTION("""COMPUTED_VALUE"""),"Wildfire Black Gum")</f>
        <v>Wildfire Black Gum</v>
      </c>
      <c r="D177" s="36" t="str">
        <f ca="1">IFERROR(__xludf.DUMMYFUNCTION("""COMPUTED_VALUE"""),"#5")</f>
        <v>#5</v>
      </c>
      <c r="E177" s="37" t="str">
        <f ca="1">IFERROR(__xludf.DUMMYFUNCTION("""COMPUTED_VALUE"""),"0.5-0.5""")</f>
        <v>0.5-0.5"</v>
      </c>
      <c r="F177" s="36" t="str">
        <f ca="1">IFERROR(__xludf.DUMMYFUNCTION("""COMPUTED_VALUE"""),"4.5-4.5'")</f>
        <v>4.5-4.5'</v>
      </c>
      <c r="G177" s="38">
        <f ca="1">IFERROR(__xludf.DUMMYFUNCTION("""COMPUTED_VALUE"""),1)</f>
        <v>1</v>
      </c>
      <c r="H177" s="36">
        <f ca="1">IFERROR(__xludf.DUMMYFUNCTION("""COMPUTED_VALUE"""),0)</f>
        <v>0</v>
      </c>
      <c r="I177" s="39">
        <f ca="1">IFERROR(__xludf.DUMMYFUNCTION("""COMPUTED_VALUE"""),50)</f>
        <v>50</v>
      </c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</row>
    <row r="178" spans="1:26">
      <c r="A178" s="36" t="str">
        <f ca="1">IFERROR(__xludf.DUMMYFUNCTION("""COMPUTED_VALUE"""),"Ostrya virginiana")</f>
        <v>Ostrya virginiana</v>
      </c>
      <c r="B178" s="36">
        <f ca="1">IFERROR(__xludf.DUMMYFUNCTION("""COMPUTED_VALUE"""),5)</f>
        <v>5</v>
      </c>
      <c r="C178" s="36" t="str">
        <f ca="1">IFERROR(__xludf.DUMMYFUNCTION("""COMPUTED_VALUE"""),"American Hophornbeam")</f>
        <v>American Hophornbeam</v>
      </c>
      <c r="D178" s="36" t="str">
        <f ca="1">IFERROR(__xludf.DUMMYFUNCTION("""COMPUTED_VALUE"""),"#5")</f>
        <v>#5</v>
      </c>
      <c r="E178" s="37" t="str">
        <f ca="1">IFERROR(__xludf.DUMMYFUNCTION("""COMPUTED_VALUE"""),"0.125-1""")</f>
        <v>0.125-1"</v>
      </c>
      <c r="F178" s="36" t="str">
        <f ca="1">IFERROR(__xludf.DUMMYFUNCTION("""COMPUTED_VALUE"""),"2-8'")</f>
        <v>2-8'</v>
      </c>
      <c r="G178" s="38">
        <f ca="1">IFERROR(__xludf.DUMMYFUNCTION("""COMPUTED_VALUE"""),69)</f>
        <v>69</v>
      </c>
      <c r="H178" s="36">
        <f ca="1">IFERROR(__xludf.DUMMYFUNCTION("""COMPUTED_VALUE"""),100)</f>
        <v>100</v>
      </c>
      <c r="I178" s="39">
        <f ca="1">IFERROR(__xludf.DUMMYFUNCTION("""COMPUTED_VALUE"""),35)</f>
        <v>35</v>
      </c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</row>
    <row r="179" spans="1:26">
      <c r="A179" s="36" t="str">
        <f ca="1">IFERROR(__xludf.DUMMYFUNCTION("""COMPUTED_VALUE"""),"Ostrya virginiana")</f>
        <v>Ostrya virginiana</v>
      </c>
      <c r="B179" s="36">
        <f ca="1">IFERROR(__xludf.DUMMYFUNCTION("""COMPUTED_VALUE"""),15)</f>
        <v>15</v>
      </c>
      <c r="C179" s="36" t="str">
        <f ca="1">IFERROR(__xludf.DUMMYFUNCTION("""COMPUTED_VALUE"""),"American Hophornbeam")</f>
        <v>American Hophornbeam</v>
      </c>
      <c r="D179" s="36" t="str">
        <f ca="1">IFERROR(__xludf.DUMMYFUNCTION("""COMPUTED_VALUE"""),"#15")</f>
        <v>#15</v>
      </c>
      <c r="E179" s="37" t="str">
        <f ca="1">IFERROR(__xludf.DUMMYFUNCTION("""COMPUTED_VALUE"""),"1-1""")</f>
        <v>1-1"</v>
      </c>
      <c r="F179" s="36" t="str">
        <f ca="1">IFERROR(__xludf.DUMMYFUNCTION("""COMPUTED_VALUE"""),"10-12'")</f>
        <v>10-12'</v>
      </c>
      <c r="G179" s="38">
        <f ca="1">IFERROR(__xludf.DUMMYFUNCTION("""COMPUTED_VALUE"""),4)</f>
        <v>4</v>
      </c>
      <c r="H179" s="36">
        <f ca="1">IFERROR(__xludf.DUMMYFUNCTION("""COMPUTED_VALUE"""),0)</f>
        <v>0</v>
      </c>
      <c r="I179" s="39">
        <f ca="1">IFERROR(__xludf.DUMMYFUNCTION("""COMPUTED_VALUE"""),110)</f>
        <v>110</v>
      </c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</row>
    <row r="180" spans="1:26">
      <c r="A180" s="36" t="str">
        <f ca="1">IFERROR(__xludf.DUMMYFUNCTION("""COMPUTED_VALUE"""),"Oxydendrum arboreum")</f>
        <v>Oxydendrum arboreum</v>
      </c>
      <c r="B180" s="36">
        <f ca="1">IFERROR(__xludf.DUMMYFUNCTION("""COMPUTED_VALUE"""),7)</f>
        <v>7</v>
      </c>
      <c r="C180" s="36" t="str">
        <f ca="1">IFERROR(__xludf.DUMMYFUNCTION("""COMPUTED_VALUE"""),"Sourwood")</f>
        <v>Sourwood</v>
      </c>
      <c r="D180" s="36" t="str">
        <f ca="1">IFERROR(__xludf.DUMMYFUNCTION("""COMPUTED_VALUE"""),"#7")</f>
        <v>#7</v>
      </c>
      <c r="E180" s="37" t="str">
        <f ca="1">IFERROR(__xludf.DUMMYFUNCTION("""COMPUTED_VALUE"""),"Multi")</f>
        <v>Multi</v>
      </c>
      <c r="F180" s="36" t="str">
        <f ca="1">IFERROR(__xludf.DUMMYFUNCTION("""COMPUTED_VALUE"""),"1-2'")</f>
        <v>1-2'</v>
      </c>
      <c r="G180" s="38">
        <f ca="1">IFERROR(__xludf.DUMMYFUNCTION("""COMPUTED_VALUE"""),0)</f>
        <v>0</v>
      </c>
      <c r="H180" s="36">
        <f ca="1">IFERROR(__xludf.DUMMYFUNCTION("""COMPUTED_VALUE"""),20)</f>
        <v>20</v>
      </c>
      <c r="I180" s="39">
        <f ca="1">IFERROR(__xludf.DUMMYFUNCTION("""COMPUTED_VALUE"""),45)</f>
        <v>45</v>
      </c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</row>
    <row r="181" spans="1:26">
      <c r="A181" s="36" t="str">
        <f ca="1">IFERROR(__xludf.DUMMYFUNCTION("""COMPUTED_VALUE"""),"Parrotia persica")</f>
        <v>Parrotia persica</v>
      </c>
      <c r="B181" s="36">
        <f ca="1">IFERROR(__xludf.DUMMYFUNCTION("""COMPUTED_VALUE"""),5)</f>
        <v>5</v>
      </c>
      <c r="C181" s="36" t="str">
        <f ca="1">IFERROR(__xludf.DUMMYFUNCTION("""COMPUTED_VALUE"""),"Persian Parrotia")</f>
        <v>Persian Parrotia</v>
      </c>
      <c r="D181" s="36" t="str">
        <f ca="1">IFERROR(__xludf.DUMMYFUNCTION("""COMPUTED_VALUE"""),"#5")</f>
        <v>#5</v>
      </c>
      <c r="E181" s="37" t="str">
        <f ca="1">IFERROR(__xludf.DUMMYFUNCTION("""COMPUTED_VALUE"""),"0.25-0.5""")</f>
        <v>0.25-0.5"</v>
      </c>
      <c r="F181" s="36" t="str">
        <f ca="1">IFERROR(__xludf.DUMMYFUNCTION("""COMPUTED_VALUE"""),"1-4'")</f>
        <v>1-4'</v>
      </c>
      <c r="G181" s="38">
        <f ca="1">IFERROR(__xludf.DUMMYFUNCTION("""COMPUTED_VALUE"""),39)</f>
        <v>39</v>
      </c>
      <c r="H181" s="36">
        <f ca="1">IFERROR(__xludf.DUMMYFUNCTION("""COMPUTED_VALUE"""),0)</f>
        <v>0</v>
      </c>
      <c r="I181" s="39">
        <f ca="1">IFERROR(__xludf.DUMMYFUNCTION("""COMPUTED_VALUE"""),35)</f>
        <v>35</v>
      </c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</row>
    <row r="182" spans="1:26">
      <c r="A182" s="36" t="str">
        <f ca="1">IFERROR(__xludf.DUMMYFUNCTION("""COMPUTED_VALUE"""),"Parrotia persica")</f>
        <v>Parrotia persica</v>
      </c>
      <c r="B182" s="36">
        <f ca="1">IFERROR(__xludf.DUMMYFUNCTION("""COMPUTED_VALUE"""),15)</f>
        <v>15</v>
      </c>
      <c r="C182" s="36" t="str">
        <f ca="1">IFERROR(__xludf.DUMMYFUNCTION("""COMPUTED_VALUE"""),"Persian Parrotia")</f>
        <v>Persian Parrotia</v>
      </c>
      <c r="D182" s="36" t="str">
        <f ca="1">IFERROR(__xludf.DUMMYFUNCTION("""COMPUTED_VALUE"""),"#15")</f>
        <v>#15</v>
      </c>
      <c r="E182" s="37" t="str">
        <f ca="1">IFERROR(__xludf.DUMMYFUNCTION("""COMPUTED_VALUE"""),"0.75-1""")</f>
        <v>0.75-1"</v>
      </c>
      <c r="F182" s="36" t="str">
        <f ca="1">IFERROR(__xludf.DUMMYFUNCTION("""COMPUTED_VALUE"""),"5-7'")</f>
        <v>5-7'</v>
      </c>
      <c r="G182" s="38">
        <f ca="1">IFERROR(__xludf.DUMMYFUNCTION("""COMPUTED_VALUE"""),6)</f>
        <v>6</v>
      </c>
      <c r="H182" s="36">
        <f ca="1">IFERROR(__xludf.DUMMYFUNCTION("""COMPUTED_VALUE"""),0)</f>
        <v>0</v>
      </c>
      <c r="I182" s="39">
        <f ca="1">IFERROR(__xludf.DUMMYFUNCTION("""COMPUTED_VALUE"""),110)</f>
        <v>110</v>
      </c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</row>
    <row r="183" spans="1:26">
      <c r="A183" s="36" t="str">
        <f ca="1">IFERROR(__xludf.DUMMYFUNCTION("""COMPUTED_VALUE"""),"Parrotia persica")</f>
        <v>Parrotia persica</v>
      </c>
      <c r="B183" s="36">
        <f ca="1">IFERROR(__xludf.DUMMYFUNCTION("""COMPUTED_VALUE"""),25)</f>
        <v>25</v>
      </c>
      <c r="C183" s="36" t="str">
        <f ca="1">IFERROR(__xludf.DUMMYFUNCTION("""COMPUTED_VALUE"""),"Persian Parrotia")</f>
        <v>Persian Parrotia</v>
      </c>
      <c r="D183" s="36" t="str">
        <f ca="1">IFERROR(__xludf.DUMMYFUNCTION("""COMPUTED_VALUE"""),"#25")</f>
        <v>#25</v>
      </c>
      <c r="E183" s="37" t="str">
        <f ca="1">IFERROR(__xludf.DUMMYFUNCTION("""COMPUTED_VALUE"""),"0.75-1""")</f>
        <v>0.75-1"</v>
      </c>
      <c r="F183" s="36" t="str">
        <f ca="1">IFERROR(__xludf.DUMMYFUNCTION("""COMPUTED_VALUE"""),"7-8'")</f>
        <v>7-8'</v>
      </c>
      <c r="G183" s="38">
        <f ca="1">IFERROR(__xludf.DUMMYFUNCTION("""COMPUTED_VALUE"""),2)</f>
        <v>2</v>
      </c>
      <c r="H183" s="36">
        <f ca="1">IFERROR(__xludf.DUMMYFUNCTION("""COMPUTED_VALUE"""),0)</f>
        <v>0</v>
      </c>
      <c r="I183" s="39">
        <f ca="1">IFERROR(__xludf.DUMMYFUNCTION("""COMPUTED_VALUE"""),135)</f>
        <v>135</v>
      </c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</row>
    <row r="184" spans="1:26">
      <c r="A184" s="36" t="str">
        <f ca="1">IFERROR(__xludf.DUMMYFUNCTION("""COMPUTED_VALUE"""),"Physocarpus opulifolius")</f>
        <v>Physocarpus opulifolius</v>
      </c>
      <c r="B184" s="36">
        <f ca="1">IFERROR(__xludf.DUMMYFUNCTION("""COMPUTED_VALUE"""),5)</f>
        <v>5</v>
      </c>
      <c r="C184" s="36" t="str">
        <f ca="1">IFERROR(__xludf.DUMMYFUNCTION("""COMPUTED_VALUE"""),"Eastern Ninebark")</f>
        <v>Eastern Ninebark</v>
      </c>
      <c r="D184" s="36" t="str">
        <f ca="1">IFERROR(__xludf.DUMMYFUNCTION("""COMPUTED_VALUE"""),"#5")</f>
        <v>#5</v>
      </c>
      <c r="E184" s="40" t="str">
        <f ca="1">IFERROR(__xludf.DUMMYFUNCTION("""COMPUTED_VALUE"""),"Multi")</f>
        <v>Multi</v>
      </c>
      <c r="F184" s="36" t="str">
        <f ca="1">IFERROR(__xludf.DUMMYFUNCTION("""COMPUTED_VALUE"""),"4-5'")</f>
        <v>4-5'</v>
      </c>
      <c r="G184" s="38">
        <f ca="1">IFERROR(__xludf.DUMMYFUNCTION("""COMPUTED_VALUE"""),13)</f>
        <v>13</v>
      </c>
      <c r="H184" s="36">
        <f ca="1">IFERROR(__xludf.DUMMYFUNCTION("""COMPUTED_VALUE"""),25)</f>
        <v>25</v>
      </c>
      <c r="I184" s="39">
        <f ca="1">IFERROR(__xludf.DUMMYFUNCTION("""COMPUTED_VALUE"""),30)</f>
        <v>30</v>
      </c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</row>
    <row r="185" spans="1:26">
      <c r="A185" s="36" t="str">
        <f ca="1">IFERROR(__xludf.DUMMYFUNCTION("""COMPUTED_VALUE"""),"Picea abies")</f>
        <v>Picea abies</v>
      </c>
      <c r="B185" s="36">
        <f ca="1">IFERROR(__xludf.DUMMYFUNCTION("""COMPUTED_VALUE"""),5)</f>
        <v>5</v>
      </c>
      <c r="C185" s="36" t="str">
        <f ca="1">IFERROR(__xludf.DUMMYFUNCTION("""COMPUTED_VALUE"""),"Norway Spruce")</f>
        <v>Norway Spruce</v>
      </c>
      <c r="D185" s="36" t="str">
        <f ca="1">IFERROR(__xludf.DUMMYFUNCTION("""COMPUTED_VALUE"""),"#5")</f>
        <v>#5</v>
      </c>
      <c r="E185" s="37" t="str">
        <f ca="1">IFERROR(__xludf.DUMMYFUNCTION("""COMPUTED_VALUE"""),"0.5-0.75""")</f>
        <v>0.5-0.75"</v>
      </c>
      <c r="F185" s="36" t="str">
        <f ca="1">IFERROR(__xludf.DUMMYFUNCTION("""COMPUTED_VALUE"""),"1-3'")</f>
        <v>1-3'</v>
      </c>
      <c r="G185" s="38">
        <f ca="1">IFERROR(__xludf.DUMMYFUNCTION("""COMPUTED_VALUE"""),61)</f>
        <v>61</v>
      </c>
      <c r="H185" s="36">
        <f ca="1">IFERROR(__xludf.DUMMYFUNCTION("""COMPUTED_VALUE"""),0)</f>
        <v>0</v>
      </c>
      <c r="I185" s="39">
        <f ca="1">IFERROR(__xludf.DUMMYFUNCTION("""COMPUTED_VALUE"""),35)</f>
        <v>35</v>
      </c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</row>
    <row r="186" spans="1:26">
      <c r="A186" s="36" t="str">
        <f ca="1">IFERROR(__xludf.DUMMYFUNCTION("""COMPUTED_VALUE"""),"Picea omorika")</f>
        <v>Picea omorika</v>
      </c>
      <c r="B186" s="36">
        <f ca="1">IFERROR(__xludf.DUMMYFUNCTION("""COMPUTED_VALUE"""),5)</f>
        <v>5</v>
      </c>
      <c r="C186" s="36" t="str">
        <f ca="1">IFERROR(__xludf.DUMMYFUNCTION("""COMPUTED_VALUE"""),"Serbian Spruce")</f>
        <v>Serbian Spruce</v>
      </c>
      <c r="D186" s="36" t="str">
        <f ca="1">IFERROR(__xludf.DUMMYFUNCTION("""COMPUTED_VALUE"""),"#5")</f>
        <v>#5</v>
      </c>
      <c r="E186" s="37" t="str">
        <f ca="1">IFERROR(__xludf.DUMMYFUNCTION("""COMPUTED_VALUE"""),"0.5-0.75""")</f>
        <v>0.5-0.75"</v>
      </c>
      <c r="F186" s="36" t="str">
        <f ca="1">IFERROR(__xludf.DUMMYFUNCTION("""COMPUTED_VALUE"""),"3-4'")</f>
        <v>3-4'</v>
      </c>
      <c r="G186" s="38">
        <f ca="1">IFERROR(__xludf.DUMMYFUNCTION("""COMPUTED_VALUE"""),20)</f>
        <v>20</v>
      </c>
      <c r="H186" s="36">
        <f ca="1">IFERROR(__xludf.DUMMYFUNCTION("""COMPUTED_VALUE"""),0)</f>
        <v>0</v>
      </c>
      <c r="I186" s="39">
        <f ca="1">IFERROR(__xludf.DUMMYFUNCTION("""COMPUTED_VALUE"""),35)</f>
        <v>35</v>
      </c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</row>
    <row r="187" spans="1:26">
      <c r="A187" s="36" t="str">
        <f ca="1">IFERROR(__xludf.DUMMYFUNCTION("""COMPUTED_VALUE"""),"Pinus strobus")</f>
        <v>Pinus strobus</v>
      </c>
      <c r="B187" s="36">
        <f ca="1">IFERROR(__xludf.DUMMYFUNCTION("""COMPUTED_VALUE"""),5)</f>
        <v>5</v>
      </c>
      <c r="C187" s="36" t="str">
        <f ca="1">IFERROR(__xludf.DUMMYFUNCTION("""COMPUTED_VALUE"""),"Eastern White Pine")</f>
        <v>Eastern White Pine</v>
      </c>
      <c r="D187" s="36" t="str">
        <f ca="1">IFERROR(__xludf.DUMMYFUNCTION("""COMPUTED_VALUE"""),"#5")</f>
        <v>#5</v>
      </c>
      <c r="E187" s="37" t="str">
        <f ca="1">IFERROR(__xludf.DUMMYFUNCTION("""COMPUTED_VALUE"""),"0.5-0.75""")</f>
        <v>0.5-0.75"</v>
      </c>
      <c r="F187" s="36" t="str">
        <f ca="1">IFERROR(__xludf.DUMMYFUNCTION("""COMPUTED_VALUE"""),"2-3'")</f>
        <v>2-3'</v>
      </c>
      <c r="G187" s="38">
        <f ca="1">IFERROR(__xludf.DUMMYFUNCTION("""COMPUTED_VALUE"""),1)</f>
        <v>1</v>
      </c>
      <c r="H187" s="36">
        <f ca="1">IFERROR(__xludf.DUMMYFUNCTION("""COMPUTED_VALUE"""),0)</f>
        <v>0</v>
      </c>
      <c r="I187" s="39">
        <f ca="1">IFERROR(__xludf.DUMMYFUNCTION("""COMPUTED_VALUE"""),35)</f>
        <v>35</v>
      </c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</row>
    <row r="188" spans="1:26">
      <c r="A188" s="36" t="str">
        <f ca="1">IFERROR(__xludf.DUMMYFUNCTION("""COMPUTED_VALUE"""),"Pinus virginiana ")</f>
        <v xml:space="preserve">Pinus virginiana </v>
      </c>
      <c r="B188" s="36">
        <f ca="1">IFERROR(__xludf.DUMMYFUNCTION("""COMPUTED_VALUE"""),5)</f>
        <v>5</v>
      </c>
      <c r="C188" s="36" t="str">
        <f ca="1">IFERROR(__xludf.DUMMYFUNCTION("""COMPUTED_VALUE"""),"Virginia Pine")</f>
        <v>Virginia Pine</v>
      </c>
      <c r="D188" s="36" t="str">
        <f ca="1">IFERROR(__xludf.DUMMYFUNCTION("""COMPUTED_VALUE"""),"#5")</f>
        <v>#5</v>
      </c>
      <c r="E188" s="37" t="str">
        <f ca="1">IFERROR(__xludf.DUMMYFUNCTION("""COMPUTED_VALUE"""),"0.25-0.5""")</f>
        <v>0.25-0.5"</v>
      </c>
      <c r="F188" s="36" t="str">
        <f ca="1">IFERROR(__xludf.DUMMYFUNCTION("""COMPUTED_VALUE"""),"1-2'")</f>
        <v>1-2'</v>
      </c>
      <c r="G188" s="38">
        <f ca="1">IFERROR(__xludf.DUMMYFUNCTION("""COMPUTED_VALUE"""),0)</f>
        <v>0</v>
      </c>
      <c r="H188" s="36">
        <f ca="1">IFERROR(__xludf.DUMMYFUNCTION("""COMPUTED_VALUE"""),25)</f>
        <v>25</v>
      </c>
      <c r="I188" s="39">
        <f ca="1">IFERROR(__xludf.DUMMYFUNCTION("""COMPUTED_VALUE"""),35)</f>
        <v>35</v>
      </c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</row>
    <row r="189" spans="1:26">
      <c r="A189" s="36" t="str">
        <f ca="1">IFERROR(__xludf.DUMMYFUNCTION("""COMPUTED_VALUE"""),"Platanus occidentalis")</f>
        <v>Platanus occidentalis</v>
      </c>
      <c r="B189" s="36">
        <f ca="1">IFERROR(__xludf.DUMMYFUNCTION("""COMPUTED_VALUE"""),5)</f>
        <v>5</v>
      </c>
      <c r="C189" s="36" t="str">
        <f ca="1">IFERROR(__xludf.DUMMYFUNCTION("""COMPUTED_VALUE"""),"American Sycamore")</f>
        <v>American Sycamore</v>
      </c>
      <c r="D189" s="36" t="str">
        <f ca="1">IFERROR(__xludf.DUMMYFUNCTION("""COMPUTED_VALUE"""),"#5")</f>
        <v>#5</v>
      </c>
      <c r="E189" s="37" t="str">
        <f ca="1">IFERROR(__xludf.DUMMYFUNCTION("""COMPUTED_VALUE"""),"0.75-1.25""")</f>
        <v>0.75-1.25"</v>
      </c>
      <c r="F189" s="36" t="str">
        <f ca="1">IFERROR(__xludf.DUMMYFUNCTION("""COMPUTED_VALUE"""),"4-9'")</f>
        <v>4-9'</v>
      </c>
      <c r="G189" s="38">
        <f ca="1">IFERROR(__xludf.DUMMYFUNCTION("""COMPUTED_VALUE"""),34)</f>
        <v>34</v>
      </c>
      <c r="H189" s="36">
        <f ca="1">IFERROR(__xludf.DUMMYFUNCTION("""COMPUTED_VALUE"""),320)</f>
        <v>320</v>
      </c>
      <c r="I189" s="39">
        <f ca="1">IFERROR(__xludf.DUMMYFUNCTION("""COMPUTED_VALUE"""),40)</f>
        <v>40</v>
      </c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</row>
    <row r="190" spans="1:26">
      <c r="A190" s="36" t="str">
        <f ca="1">IFERROR(__xludf.DUMMYFUNCTION("""COMPUTED_VALUE"""),"Platanus occidentalis")</f>
        <v>Platanus occidentalis</v>
      </c>
      <c r="B190" s="36">
        <f ca="1">IFERROR(__xludf.DUMMYFUNCTION("""COMPUTED_VALUE"""),10)</f>
        <v>10</v>
      </c>
      <c r="C190" s="36" t="str">
        <f ca="1">IFERROR(__xludf.DUMMYFUNCTION("""COMPUTED_VALUE"""),"American Sycamore")</f>
        <v>American Sycamore</v>
      </c>
      <c r="D190" s="36" t="str">
        <f ca="1">IFERROR(__xludf.DUMMYFUNCTION("""COMPUTED_VALUE"""),"#10")</f>
        <v>#10</v>
      </c>
      <c r="E190" s="37" t="str">
        <f ca="1">IFERROR(__xludf.DUMMYFUNCTION("""COMPUTED_VALUE"""),"1-1""")</f>
        <v>1-1"</v>
      </c>
      <c r="F190" s="36" t="str">
        <f ca="1">IFERROR(__xludf.DUMMYFUNCTION("""COMPUTED_VALUE"""),"5-6'")</f>
        <v>5-6'</v>
      </c>
      <c r="G190" s="38">
        <f ca="1">IFERROR(__xludf.DUMMYFUNCTION("""COMPUTED_VALUE"""),0)</f>
        <v>0</v>
      </c>
      <c r="H190" s="36">
        <f ca="1">IFERROR(__xludf.DUMMYFUNCTION("""COMPUTED_VALUE"""),20)</f>
        <v>20</v>
      </c>
      <c r="I190" s="39">
        <f ca="1">IFERROR(__xludf.DUMMYFUNCTION("""COMPUTED_VALUE"""),85)</f>
        <v>85</v>
      </c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</row>
    <row r="191" spans="1:26">
      <c r="A191" s="36" t="str">
        <f ca="1">IFERROR(__xludf.DUMMYFUNCTION("""COMPUTED_VALUE"""),"Platanus x acerifolia 'Bloodgood'")</f>
        <v>Platanus x acerifolia 'Bloodgood'</v>
      </c>
      <c r="B191" s="36">
        <f ca="1">IFERROR(__xludf.DUMMYFUNCTION("""COMPUTED_VALUE"""),5)</f>
        <v>5</v>
      </c>
      <c r="C191" s="36" t="str">
        <f ca="1">IFERROR(__xludf.DUMMYFUNCTION("""COMPUTED_VALUE"""),"Bloodgood London Plane Tree")</f>
        <v>Bloodgood London Plane Tree</v>
      </c>
      <c r="D191" s="36" t="str">
        <f ca="1">IFERROR(__xludf.DUMMYFUNCTION("""COMPUTED_VALUE"""),"#5")</f>
        <v>#5</v>
      </c>
      <c r="E191" s="37" t="str">
        <f ca="1">IFERROR(__xludf.DUMMYFUNCTION("""COMPUTED_VALUE"""),"0.75-1""")</f>
        <v>0.75-1"</v>
      </c>
      <c r="F191" s="36" t="str">
        <f ca="1">IFERROR(__xludf.DUMMYFUNCTION("""COMPUTED_VALUE"""),"8-10'")</f>
        <v>8-10'</v>
      </c>
      <c r="G191" s="38">
        <f ca="1">IFERROR(__xludf.DUMMYFUNCTION("""COMPUTED_VALUE"""),90)</f>
        <v>90</v>
      </c>
      <c r="H191" s="36">
        <f ca="1">IFERROR(__xludf.DUMMYFUNCTION("""COMPUTED_VALUE"""),0)</f>
        <v>0</v>
      </c>
      <c r="I191" s="39">
        <f ca="1">IFERROR(__xludf.DUMMYFUNCTION("""COMPUTED_VALUE"""),40)</f>
        <v>40</v>
      </c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</row>
    <row r="192" spans="1:26">
      <c r="A192" s="36" t="str">
        <f ca="1">IFERROR(__xludf.DUMMYFUNCTION("""COMPUTED_VALUE"""),"Platanus x acerifolia 'Exclamation'")</f>
        <v>Platanus x acerifolia 'Exclamation'</v>
      </c>
      <c r="B192" s="36">
        <f ca="1">IFERROR(__xludf.DUMMYFUNCTION("""COMPUTED_VALUE"""),5)</f>
        <v>5</v>
      </c>
      <c r="C192" s="36" t="str">
        <f ca="1">IFERROR(__xludf.DUMMYFUNCTION("""COMPUTED_VALUE"""),"Exclamation London Plane Tree")</f>
        <v>Exclamation London Plane Tree</v>
      </c>
      <c r="D192" s="36" t="str">
        <f ca="1">IFERROR(__xludf.DUMMYFUNCTION("""COMPUTED_VALUE"""),"#5")</f>
        <v>#5</v>
      </c>
      <c r="E192" s="37" t="str">
        <f ca="1">IFERROR(__xludf.DUMMYFUNCTION("""COMPUTED_VALUE"""),"0.25-0.5""")</f>
        <v>0.25-0.5"</v>
      </c>
      <c r="F192" s="36" t="str">
        <f ca="1">IFERROR(__xludf.DUMMYFUNCTION("""COMPUTED_VALUE"""),"3-4'")</f>
        <v>3-4'</v>
      </c>
      <c r="G192" s="38">
        <f ca="1">IFERROR(__xludf.DUMMYFUNCTION("""COMPUTED_VALUE"""),0)</f>
        <v>0</v>
      </c>
      <c r="H192" s="36">
        <f ca="1">IFERROR(__xludf.DUMMYFUNCTION("""COMPUTED_VALUE"""),45)</f>
        <v>45</v>
      </c>
      <c r="I192" s="39">
        <f ca="1">IFERROR(__xludf.DUMMYFUNCTION("""COMPUTED_VALUE"""),35)</f>
        <v>35</v>
      </c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</row>
    <row r="193" spans="1:26">
      <c r="A193" s="36" t="str">
        <f ca="1">IFERROR(__xludf.DUMMYFUNCTION("""COMPUTED_VALUE"""),"Platanus x acerifolia 'Exclamation'")</f>
        <v>Platanus x acerifolia 'Exclamation'</v>
      </c>
      <c r="B193" s="36">
        <f ca="1">IFERROR(__xludf.DUMMYFUNCTION("""COMPUTED_VALUE"""),15)</f>
        <v>15</v>
      </c>
      <c r="C193" s="36" t="str">
        <f ca="1">IFERROR(__xludf.DUMMYFUNCTION("""COMPUTED_VALUE"""),"Exclamation London Plane Tree")</f>
        <v>Exclamation London Plane Tree</v>
      </c>
      <c r="D193" s="36" t="str">
        <f ca="1">IFERROR(__xludf.DUMMYFUNCTION("""COMPUTED_VALUE"""),"#15")</f>
        <v>#15</v>
      </c>
      <c r="E193" s="37" t="str">
        <f ca="1">IFERROR(__xludf.DUMMYFUNCTION("""COMPUTED_VALUE"""),"1-1.25""")</f>
        <v>1-1.25"</v>
      </c>
      <c r="F193" s="36" t="str">
        <f ca="1">IFERROR(__xludf.DUMMYFUNCTION("""COMPUTED_VALUE"""),"9-12'")</f>
        <v>9-12'</v>
      </c>
      <c r="G193" s="38">
        <f ca="1">IFERROR(__xludf.DUMMYFUNCTION("""COMPUTED_VALUE"""),7)</f>
        <v>7</v>
      </c>
      <c r="H193" s="36">
        <f ca="1">IFERROR(__xludf.DUMMYFUNCTION("""COMPUTED_VALUE"""),20)</f>
        <v>20</v>
      </c>
      <c r="I193" s="39">
        <f ca="1">IFERROR(__xludf.DUMMYFUNCTION("""COMPUTED_VALUE"""),110)</f>
        <v>110</v>
      </c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</row>
    <row r="194" spans="1:26">
      <c r="A194" s="36" t="str">
        <f ca="1">IFERROR(__xludf.DUMMYFUNCTION("""COMPUTED_VALUE"""),"Populus tremuloides")</f>
        <v>Populus tremuloides</v>
      </c>
      <c r="B194" s="36">
        <f ca="1">IFERROR(__xludf.DUMMYFUNCTION("""COMPUTED_VALUE"""),5)</f>
        <v>5</v>
      </c>
      <c r="C194" s="36" t="str">
        <f ca="1">IFERROR(__xludf.DUMMYFUNCTION("""COMPUTED_VALUE"""),"Quaking Aspen")</f>
        <v>Quaking Aspen</v>
      </c>
      <c r="D194" s="36" t="str">
        <f ca="1">IFERROR(__xludf.DUMMYFUNCTION("""COMPUTED_VALUE"""),"#5")</f>
        <v>#5</v>
      </c>
      <c r="E194" s="37" t="str">
        <f ca="1">IFERROR(__xludf.DUMMYFUNCTION("""COMPUTED_VALUE"""),"0.25-1""")</f>
        <v>0.25-1"</v>
      </c>
      <c r="F194" s="36" t="str">
        <f ca="1">IFERROR(__xludf.DUMMYFUNCTION("""COMPUTED_VALUE"""),"4-6'")</f>
        <v>4-6'</v>
      </c>
      <c r="G194" s="38">
        <f ca="1">IFERROR(__xludf.DUMMYFUNCTION("""COMPUTED_VALUE"""),3)</f>
        <v>3</v>
      </c>
      <c r="H194" s="36">
        <f ca="1">IFERROR(__xludf.DUMMYFUNCTION("""COMPUTED_VALUE"""),50)</f>
        <v>50</v>
      </c>
      <c r="I194" s="39">
        <f ca="1">IFERROR(__xludf.DUMMYFUNCTION("""COMPUTED_VALUE"""),35)</f>
        <v>35</v>
      </c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</row>
    <row r="195" spans="1:26">
      <c r="A195" s="36" t="str">
        <f ca="1">IFERROR(__xludf.DUMMYFUNCTION("""COMPUTED_VALUE"""),"Populus tremuloides")</f>
        <v>Populus tremuloides</v>
      </c>
      <c r="B195" s="36">
        <f ca="1">IFERROR(__xludf.DUMMYFUNCTION("""COMPUTED_VALUE"""),15)</f>
        <v>15</v>
      </c>
      <c r="C195" s="36" t="str">
        <f ca="1">IFERROR(__xludf.DUMMYFUNCTION("""COMPUTED_VALUE"""),"Quaking Aspen")</f>
        <v>Quaking Aspen</v>
      </c>
      <c r="D195" s="36" t="str">
        <f ca="1">IFERROR(__xludf.DUMMYFUNCTION("""COMPUTED_VALUE"""),"#15")</f>
        <v>#15</v>
      </c>
      <c r="E195" s="37" t="str">
        <f ca="1">IFERROR(__xludf.DUMMYFUNCTION("""COMPUTED_VALUE"""),"1-1'")</f>
        <v>1-1'</v>
      </c>
      <c r="F195" s="36" t="str">
        <f ca="1">IFERROR(__xludf.DUMMYFUNCTION("""COMPUTED_VALUE"""),"7-8'")</f>
        <v>7-8'</v>
      </c>
      <c r="G195" s="38">
        <f ca="1">IFERROR(__xludf.DUMMYFUNCTION("""COMPUTED_VALUE"""),0)</f>
        <v>0</v>
      </c>
      <c r="H195" s="36">
        <f ca="1">IFERROR(__xludf.DUMMYFUNCTION("""COMPUTED_VALUE"""),10)</f>
        <v>10</v>
      </c>
      <c r="I195" s="39">
        <f ca="1">IFERROR(__xludf.DUMMYFUNCTION("""COMPUTED_VALUE"""),110)</f>
        <v>110</v>
      </c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</row>
    <row r="196" spans="1:26">
      <c r="A196" s="36" t="str">
        <f ca="1">IFERROR(__xludf.DUMMYFUNCTION("""COMPUTED_VALUE"""),"Prunus 'Autumnalis'")</f>
        <v>Prunus 'Autumnalis'</v>
      </c>
      <c r="B196" s="36">
        <f ca="1">IFERROR(__xludf.DUMMYFUNCTION("""COMPUTED_VALUE"""),5)</f>
        <v>5</v>
      </c>
      <c r="C196" s="36" t="str">
        <f ca="1">IFERROR(__xludf.DUMMYFUNCTION("""COMPUTED_VALUE"""),"Autumnalis cherry")</f>
        <v>Autumnalis cherry</v>
      </c>
      <c r="D196" s="36" t="str">
        <f ca="1">IFERROR(__xludf.DUMMYFUNCTION("""COMPUTED_VALUE"""),"#5")</f>
        <v>#5</v>
      </c>
      <c r="E196" s="37" t="str">
        <f ca="1">IFERROR(__xludf.DUMMYFUNCTION("""COMPUTED_VALUE"""),"1-1.25""")</f>
        <v>1-1.25"</v>
      </c>
      <c r="F196" s="36" t="str">
        <f ca="1">IFERROR(__xludf.DUMMYFUNCTION("""COMPUTED_VALUE"""),"11-12'")</f>
        <v>11-12'</v>
      </c>
      <c r="G196" s="38">
        <f ca="1">IFERROR(__xludf.DUMMYFUNCTION("""COMPUTED_VALUE"""),28)</f>
        <v>28</v>
      </c>
      <c r="H196" s="36">
        <f ca="1">IFERROR(__xludf.DUMMYFUNCTION("""COMPUTED_VALUE"""),0)</f>
        <v>0</v>
      </c>
      <c r="I196" s="39">
        <f ca="1">IFERROR(__xludf.DUMMYFUNCTION("""COMPUTED_VALUE"""),35)</f>
        <v>35</v>
      </c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</row>
    <row r="197" spans="1:26">
      <c r="A197" s="36" t="str">
        <f ca="1">IFERROR(__xludf.DUMMYFUNCTION("""COMPUTED_VALUE"""),"Prunus 'Autumnalis'")</f>
        <v>Prunus 'Autumnalis'</v>
      </c>
      <c r="B197" s="36">
        <f ca="1">IFERROR(__xludf.DUMMYFUNCTION("""COMPUTED_VALUE"""),7)</f>
        <v>7</v>
      </c>
      <c r="C197" s="36" t="str">
        <f ca="1">IFERROR(__xludf.DUMMYFUNCTION("""COMPUTED_VALUE"""),"Autumnalis Cherry")</f>
        <v>Autumnalis Cherry</v>
      </c>
      <c r="D197" s="36" t="str">
        <f ca="1">IFERROR(__xludf.DUMMYFUNCTION("""COMPUTED_VALUE"""),"#7")</f>
        <v>#7</v>
      </c>
      <c r="E197" s="37" t="str">
        <f ca="1">IFERROR(__xludf.DUMMYFUNCTION("""COMPUTED_VALUE"""),"0.75-1""")</f>
        <v>0.75-1"</v>
      </c>
      <c r="F197" s="36" t="str">
        <f ca="1">IFERROR(__xludf.DUMMYFUNCTION("""COMPUTED_VALUE"""),"5-6'")</f>
        <v>5-6'</v>
      </c>
      <c r="G197" s="38">
        <f ca="1">IFERROR(__xludf.DUMMYFUNCTION("""COMPUTED_VALUE"""),0)</f>
        <v>0</v>
      </c>
      <c r="H197" s="36">
        <f ca="1">IFERROR(__xludf.DUMMYFUNCTION("""COMPUTED_VALUE"""),20)</f>
        <v>20</v>
      </c>
      <c r="I197" s="39">
        <f ca="1">IFERROR(__xludf.DUMMYFUNCTION("""COMPUTED_VALUE"""),55)</f>
        <v>55</v>
      </c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</row>
    <row r="198" spans="1:26">
      <c r="A198" s="36" t="str">
        <f ca="1">IFERROR(__xludf.DUMMYFUNCTION("""COMPUTED_VALUE"""),"Prunus 'Autumnalis'")</f>
        <v>Prunus 'Autumnalis'</v>
      </c>
      <c r="B198" s="36">
        <f ca="1">IFERROR(__xludf.DUMMYFUNCTION("""COMPUTED_VALUE"""),15)</f>
        <v>15</v>
      </c>
      <c r="C198" s="36" t="str">
        <f ca="1">IFERROR(__xludf.DUMMYFUNCTION("""COMPUTED_VALUE"""),"Autumnalis cherry")</f>
        <v>Autumnalis cherry</v>
      </c>
      <c r="D198" s="36" t="str">
        <f ca="1">IFERROR(__xludf.DUMMYFUNCTION("""COMPUTED_VALUE"""),"#15")</f>
        <v>#15</v>
      </c>
      <c r="E198" s="37" t="str">
        <f ca="1">IFERROR(__xludf.DUMMYFUNCTION("""COMPUTED_VALUE"""),"1-1.5""")</f>
        <v>1-1.5"</v>
      </c>
      <c r="F198" s="36" t="str">
        <f ca="1">IFERROR(__xludf.DUMMYFUNCTION("""COMPUTED_VALUE"""),"8-11'")</f>
        <v>8-11'</v>
      </c>
      <c r="G198" s="38">
        <f ca="1">IFERROR(__xludf.DUMMYFUNCTION("""COMPUTED_VALUE"""),12)</f>
        <v>12</v>
      </c>
      <c r="H198" s="36">
        <f ca="1">IFERROR(__xludf.DUMMYFUNCTION("""COMPUTED_VALUE"""),5)</f>
        <v>5</v>
      </c>
      <c r="I198" s="39">
        <f ca="1">IFERROR(__xludf.DUMMYFUNCTION("""COMPUTED_VALUE"""),110)</f>
        <v>110</v>
      </c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</row>
    <row r="199" spans="1:26">
      <c r="A199" s="36" t="str">
        <f ca="1">IFERROR(__xludf.DUMMYFUNCTION("""COMPUTED_VALUE"""),"Prunus 'Okame'")</f>
        <v>Prunus 'Okame'</v>
      </c>
      <c r="B199" s="36">
        <f ca="1">IFERROR(__xludf.DUMMYFUNCTION("""COMPUTED_VALUE"""),5)</f>
        <v>5</v>
      </c>
      <c r="C199" s="36" t="str">
        <f ca="1">IFERROR(__xludf.DUMMYFUNCTION("""COMPUTED_VALUE"""),"Okame Cherry")</f>
        <v>Okame Cherry</v>
      </c>
      <c r="D199" s="36" t="str">
        <f ca="1">IFERROR(__xludf.DUMMYFUNCTION("""COMPUTED_VALUE"""),"#5")</f>
        <v>#5</v>
      </c>
      <c r="E199" s="37" t="str">
        <f ca="1">IFERROR(__xludf.DUMMYFUNCTION("""COMPUTED_VALUE"""),"0.75-1""")</f>
        <v>0.75-1"</v>
      </c>
      <c r="F199" s="36" t="str">
        <f ca="1">IFERROR(__xludf.DUMMYFUNCTION("""COMPUTED_VALUE"""),"7-9'")</f>
        <v>7-9'</v>
      </c>
      <c r="G199" s="38">
        <f ca="1">IFERROR(__xludf.DUMMYFUNCTION("""COMPUTED_VALUE"""),9)</f>
        <v>9</v>
      </c>
      <c r="H199" s="36">
        <f ca="1">IFERROR(__xludf.DUMMYFUNCTION("""COMPUTED_VALUE"""),0)</f>
        <v>0</v>
      </c>
      <c r="I199" s="39">
        <f ca="1">IFERROR(__xludf.DUMMYFUNCTION("""COMPUTED_VALUE"""),35)</f>
        <v>35</v>
      </c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</row>
    <row r="200" spans="1:26">
      <c r="A200" s="36" t="str">
        <f ca="1">IFERROR(__xludf.DUMMYFUNCTION("""COMPUTED_VALUE"""),"Prunus 'Okame'")</f>
        <v>Prunus 'Okame'</v>
      </c>
      <c r="B200" s="36">
        <f ca="1">IFERROR(__xludf.DUMMYFUNCTION("""COMPUTED_VALUE"""),7)</f>
        <v>7</v>
      </c>
      <c r="C200" s="36" t="str">
        <f ca="1">IFERROR(__xludf.DUMMYFUNCTION("""COMPUTED_VALUE"""),"Okame Cherry")</f>
        <v>Okame Cherry</v>
      </c>
      <c r="D200" s="36" t="str">
        <f ca="1">IFERROR(__xludf.DUMMYFUNCTION("""COMPUTED_VALUE"""),"#7")</f>
        <v>#7</v>
      </c>
      <c r="E200" s="37" t="str">
        <f ca="1">IFERROR(__xludf.DUMMYFUNCTION("""COMPUTED_VALUE"""),"0.75-1""")</f>
        <v>0.75-1"</v>
      </c>
      <c r="F200" s="36" t="str">
        <f ca="1">IFERROR(__xludf.DUMMYFUNCTION("""COMPUTED_VALUE"""),"6-7'")</f>
        <v>6-7'</v>
      </c>
      <c r="G200" s="38">
        <f ca="1">IFERROR(__xludf.DUMMYFUNCTION("""COMPUTED_VALUE"""),0)</f>
        <v>0</v>
      </c>
      <c r="H200" s="36">
        <f ca="1">IFERROR(__xludf.DUMMYFUNCTION("""COMPUTED_VALUE"""),30)</f>
        <v>30</v>
      </c>
      <c r="I200" s="39">
        <f ca="1">IFERROR(__xludf.DUMMYFUNCTION("""COMPUTED_VALUE"""),55)</f>
        <v>55</v>
      </c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</row>
    <row r="201" spans="1:26">
      <c r="A201" s="36" t="str">
        <f ca="1">IFERROR(__xludf.DUMMYFUNCTION("""COMPUTED_VALUE"""),"Prunus 'Okame'")</f>
        <v>Prunus 'Okame'</v>
      </c>
      <c r="B201" s="36">
        <f ca="1">IFERROR(__xludf.DUMMYFUNCTION("""COMPUTED_VALUE"""),15)</f>
        <v>15</v>
      </c>
      <c r="C201" s="36" t="str">
        <f ca="1">IFERROR(__xludf.DUMMYFUNCTION("""COMPUTED_VALUE"""),"Okame Cherry")</f>
        <v>Okame Cherry</v>
      </c>
      <c r="D201" s="36" t="str">
        <f ca="1">IFERROR(__xludf.DUMMYFUNCTION("""COMPUTED_VALUE"""),"#15")</f>
        <v>#15</v>
      </c>
      <c r="E201" s="37" t="str">
        <f ca="1">IFERROR(__xludf.DUMMYFUNCTION("""COMPUTED_VALUE"""),"1-1""")</f>
        <v>1-1"</v>
      </c>
      <c r="F201" s="36" t="str">
        <f ca="1">IFERROR(__xludf.DUMMYFUNCTION("""COMPUTED_VALUE"""),"10-11'")</f>
        <v>10-11'</v>
      </c>
      <c r="G201" s="38">
        <f ca="1">IFERROR(__xludf.DUMMYFUNCTION("""COMPUTED_VALUE"""),4)</f>
        <v>4</v>
      </c>
      <c r="H201" s="36">
        <f ca="1">IFERROR(__xludf.DUMMYFUNCTION("""COMPUTED_VALUE"""),10)</f>
        <v>10</v>
      </c>
      <c r="I201" s="39">
        <f ca="1">IFERROR(__xludf.DUMMYFUNCTION("""COMPUTED_VALUE"""),110)</f>
        <v>110</v>
      </c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</row>
    <row r="202" spans="1:26">
      <c r="A202" s="36" t="str">
        <f ca="1">IFERROR(__xludf.DUMMYFUNCTION("""COMPUTED_VALUE"""),"Prunus 'Okame'")</f>
        <v>Prunus 'Okame'</v>
      </c>
      <c r="B202" s="36">
        <f ca="1">IFERROR(__xludf.DUMMYFUNCTION("""COMPUTED_VALUE"""),25)</f>
        <v>25</v>
      </c>
      <c r="C202" s="36" t="str">
        <f ca="1">IFERROR(__xludf.DUMMYFUNCTION("""COMPUTED_VALUE"""),"Okame Cherry")</f>
        <v>Okame Cherry</v>
      </c>
      <c r="D202" s="36" t="str">
        <f ca="1">IFERROR(__xludf.DUMMYFUNCTION("""COMPUTED_VALUE"""),"#25")</f>
        <v>#25</v>
      </c>
      <c r="E202" s="37" t="str">
        <f ca="1">IFERROR(__xludf.DUMMYFUNCTION("""COMPUTED_VALUE"""),"1-1""")</f>
        <v>1-1"</v>
      </c>
      <c r="F202" s="36" t="str">
        <f ca="1">IFERROR(__xludf.DUMMYFUNCTION("""COMPUTED_VALUE"""),"10-10'")</f>
        <v>10-10'</v>
      </c>
      <c r="G202" s="38">
        <f ca="1">IFERROR(__xludf.DUMMYFUNCTION("""COMPUTED_VALUE"""),1)</f>
        <v>1</v>
      </c>
      <c r="H202" s="36">
        <f ca="1">IFERROR(__xludf.DUMMYFUNCTION("""COMPUTED_VALUE"""),0)</f>
        <v>0</v>
      </c>
      <c r="I202" s="39">
        <f ca="1">IFERROR(__xludf.DUMMYFUNCTION("""COMPUTED_VALUE"""),135)</f>
        <v>135</v>
      </c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</row>
    <row r="203" spans="1:26">
      <c r="A203" s="36" t="str">
        <f ca="1">IFERROR(__xludf.DUMMYFUNCTION("""COMPUTED_VALUE"""),"Prunus × yedoensis")</f>
        <v>Prunus × yedoensis</v>
      </c>
      <c r="B203" s="36">
        <f ca="1">IFERROR(__xludf.DUMMYFUNCTION("""COMPUTED_VALUE"""),15)</f>
        <v>15</v>
      </c>
      <c r="C203" s="36" t="str">
        <f ca="1">IFERROR(__xludf.DUMMYFUNCTION("""COMPUTED_VALUE"""),"Yoshino Cherry")</f>
        <v>Yoshino Cherry</v>
      </c>
      <c r="D203" s="36" t="str">
        <f ca="1">IFERROR(__xludf.DUMMYFUNCTION("""COMPUTED_VALUE"""),"#15")</f>
        <v>#15</v>
      </c>
      <c r="E203" s="37" t="str">
        <f ca="1">IFERROR(__xludf.DUMMYFUNCTION("""COMPUTED_VALUE"""),"1.25-1.25""")</f>
        <v>1.25-1.25"</v>
      </c>
      <c r="F203" s="36" t="str">
        <f ca="1">IFERROR(__xludf.DUMMYFUNCTION("""COMPUTED_VALUE"""),"10-10'")</f>
        <v>10-10'</v>
      </c>
      <c r="G203" s="38">
        <f ca="1">IFERROR(__xludf.DUMMYFUNCTION("""COMPUTED_VALUE"""),1)</f>
        <v>1</v>
      </c>
      <c r="H203" s="36">
        <f ca="1">IFERROR(__xludf.DUMMYFUNCTION("""COMPUTED_VALUE"""),10)</f>
        <v>10</v>
      </c>
      <c r="I203" s="39">
        <f ca="1">IFERROR(__xludf.DUMMYFUNCTION("""COMPUTED_VALUE"""),110)</f>
        <v>110</v>
      </c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</row>
    <row r="204" spans="1:26">
      <c r="A204" s="36" t="str">
        <f ca="1">IFERROR(__xludf.DUMMYFUNCTION("""COMPUTED_VALUE"""),"Prunus × yedoensis")</f>
        <v>Prunus × yedoensis</v>
      </c>
      <c r="B204" s="36">
        <f ca="1">IFERROR(__xludf.DUMMYFUNCTION("""COMPUTED_VALUE"""),25)</f>
        <v>25</v>
      </c>
      <c r="C204" s="36" t="str">
        <f ca="1">IFERROR(__xludf.DUMMYFUNCTION("""COMPUTED_VALUE"""),"Yoshino Cherry")</f>
        <v>Yoshino Cherry</v>
      </c>
      <c r="D204" s="36" t="str">
        <f ca="1">IFERROR(__xludf.DUMMYFUNCTION("""COMPUTED_VALUE"""),"#25")</f>
        <v>#25</v>
      </c>
      <c r="E204" s="37" t="str">
        <f ca="1">IFERROR(__xludf.DUMMYFUNCTION("""COMPUTED_VALUE"""),"1.25-1.25""")</f>
        <v>1.25-1.25"</v>
      </c>
      <c r="F204" s="36" t="str">
        <f ca="1">IFERROR(__xludf.DUMMYFUNCTION("""COMPUTED_VALUE"""),"10-10'")</f>
        <v>10-10'</v>
      </c>
      <c r="G204" s="38">
        <f ca="1">IFERROR(__xludf.DUMMYFUNCTION("""COMPUTED_VALUE"""),1)</f>
        <v>1</v>
      </c>
      <c r="H204" s="36">
        <f ca="1">IFERROR(__xludf.DUMMYFUNCTION("""COMPUTED_VALUE"""),0)</f>
        <v>0</v>
      </c>
      <c r="I204" s="39">
        <f ca="1">IFERROR(__xludf.DUMMYFUNCTION("""COMPUTED_VALUE"""),135)</f>
        <v>135</v>
      </c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</row>
    <row r="205" spans="1:26">
      <c r="A205" s="36" t="str">
        <f ca="1">IFERROR(__xludf.DUMMYFUNCTION("""COMPUTED_VALUE"""),"Prunus americana")</f>
        <v>Prunus americana</v>
      </c>
      <c r="B205" s="36">
        <f ca="1">IFERROR(__xludf.DUMMYFUNCTION("""COMPUTED_VALUE"""),5)</f>
        <v>5</v>
      </c>
      <c r="C205" s="36" t="str">
        <f ca="1">IFERROR(__xludf.DUMMYFUNCTION("""COMPUTED_VALUE"""),"American Plum")</f>
        <v>American Plum</v>
      </c>
      <c r="D205" s="36" t="str">
        <f ca="1">IFERROR(__xludf.DUMMYFUNCTION("""COMPUTED_VALUE"""),"#5")</f>
        <v>#5</v>
      </c>
      <c r="E205" s="37" t="str">
        <f ca="1">IFERROR(__xludf.DUMMYFUNCTION("""COMPUTED_VALUE"""),"0.25-0.75""")</f>
        <v>0.25-0.75"</v>
      </c>
      <c r="F205" s="36" t="str">
        <f ca="1">IFERROR(__xludf.DUMMYFUNCTION("""COMPUTED_VALUE"""),"4-7'")</f>
        <v>4-7'</v>
      </c>
      <c r="G205" s="38">
        <f ca="1">IFERROR(__xludf.DUMMYFUNCTION("""COMPUTED_VALUE"""),176)</f>
        <v>176</v>
      </c>
      <c r="H205" s="36">
        <f ca="1">IFERROR(__xludf.DUMMYFUNCTION("""COMPUTED_VALUE"""),50)</f>
        <v>50</v>
      </c>
      <c r="I205" s="39">
        <f ca="1">IFERROR(__xludf.DUMMYFUNCTION("""COMPUTED_VALUE"""),35)</f>
        <v>35</v>
      </c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</row>
    <row r="206" spans="1:26">
      <c r="A206" s="36" t="str">
        <f ca="1">IFERROR(__xludf.DUMMYFUNCTION("""COMPUTED_VALUE"""),"Prunus cerasifera 'Thundercloud'")</f>
        <v>Prunus cerasifera 'Thundercloud'</v>
      </c>
      <c r="B206" s="36">
        <f ca="1">IFERROR(__xludf.DUMMYFUNCTION("""COMPUTED_VALUE"""),15)</f>
        <v>15</v>
      </c>
      <c r="C206" s="36" t="str">
        <f ca="1">IFERROR(__xludf.DUMMYFUNCTION("""COMPUTED_VALUE"""),"Thundercloud Plum")</f>
        <v>Thundercloud Plum</v>
      </c>
      <c r="D206" s="36" t="str">
        <f ca="1">IFERROR(__xludf.DUMMYFUNCTION("""COMPUTED_VALUE"""),"#15")</f>
        <v>#15</v>
      </c>
      <c r="E206" s="37" t="str">
        <f ca="1">IFERROR(__xludf.DUMMYFUNCTION("""COMPUTED_VALUE"""),"1.25-1.5""")</f>
        <v>1.25-1.5"</v>
      </c>
      <c r="F206" s="36" t="str">
        <f ca="1">IFERROR(__xludf.DUMMYFUNCTION("""COMPUTED_VALUE"""),"11-11'")</f>
        <v>11-11'</v>
      </c>
      <c r="G206" s="38">
        <f ca="1">IFERROR(__xludf.DUMMYFUNCTION("""COMPUTED_VALUE"""),2)</f>
        <v>2</v>
      </c>
      <c r="H206" s="36">
        <f ca="1">IFERROR(__xludf.DUMMYFUNCTION("""COMPUTED_VALUE"""),10)</f>
        <v>10</v>
      </c>
      <c r="I206" s="39">
        <f ca="1">IFERROR(__xludf.DUMMYFUNCTION("""COMPUTED_VALUE"""),110)</f>
        <v>110</v>
      </c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</row>
    <row r="207" spans="1:26">
      <c r="A207" s="36" t="str">
        <f ca="1">IFERROR(__xludf.DUMMYFUNCTION("""COMPUTED_VALUE"""),"Prunus serotina")</f>
        <v>Prunus serotina</v>
      </c>
      <c r="B207" s="36">
        <f ca="1">IFERROR(__xludf.DUMMYFUNCTION("""COMPUTED_VALUE"""),5)</f>
        <v>5</v>
      </c>
      <c r="C207" s="36" t="str">
        <f ca="1">IFERROR(__xludf.DUMMYFUNCTION("""COMPUTED_VALUE"""),"Black Cherry")</f>
        <v>Black Cherry</v>
      </c>
      <c r="D207" s="36" t="str">
        <f ca="1">IFERROR(__xludf.DUMMYFUNCTION("""COMPUTED_VALUE"""),"#5")</f>
        <v>#5</v>
      </c>
      <c r="E207" s="37" t="str">
        <f ca="1">IFERROR(__xludf.DUMMYFUNCTION("""COMPUTED_VALUE"""),"0.25-0.5""")</f>
        <v>0.25-0.5"</v>
      </c>
      <c r="F207" s="36" t="str">
        <f ca="1">IFERROR(__xludf.DUMMYFUNCTION("""COMPUTED_VALUE"""),"1-2'")</f>
        <v>1-2'</v>
      </c>
      <c r="G207" s="38">
        <f ca="1">IFERROR(__xludf.DUMMYFUNCTION("""COMPUTED_VALUE"""),0)</f>
        <v>0</v>
      </c>
      <c r="H207" s="36">
        <f ca="1">IFERROR(__xludf.DUMMYFUNCTION("""COMPUTED_VALUE"""),50)</f>
        <v>50</v>
      </c>
      <c r="I207" s="39">
        <f ca="1">IFERROR(__xludf.DUMMYFUNCTION("""COMPUTED_VALUE"""),35)</f>
        <v>35</v>
      </c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</row>
    <row r="208" spans="1:26">
      <c r="A208" s="36" t="str">
        <f ca="1">IFERROR(__xludf.DUMMYFUNCTION("""COMPUTED_VALUE"""),"Prunus serrulata 'Kwanzan'")</f>
        <v>Prunus serrulata 'Kwanzan'</v>
      </c>
      <c r="B208" s="36">
        <f ca="1">IFERROR(__xludf.DUMMYFUNCTION("""COMPUTED_VALUE"""),5)</f>
        <v>5</v>
      </c>
      <c r="C208" s="36" t="str">
        <f ca="1">IFERROR(__xludf.DUMMYFUNCTION("""COMPUTED_VALUE"""),"Kwanzan Cherry")</f>
        <v>Kwanzan Cherry</v>
      </c>
      <c r="D208" s="36" t="str">
        <f ca="1">IFERROR(__xludf.DUMMYFUNCTION("""COMPUTED_VALUE"""),"#5")</f>
        <v>#5</v>
      </c>
      <c r="E208" s="37" t="str">
        <f ca="1">IFERROR(__xludf.DUMMYFUNCTION("""COMPUTED_VALUE"""),"0.5-1""")</f>
        <v>0.5-1"</v>
      </c>
      <c r="F208" s="36" t="str">
        <f ca="1">IFERROR(__xludf.DUMMYFUNCTION("""COMPUTED_VALUE"""),"5-7'")</f>
        <v>5-7'</v>
      </c>
      <c r="G208" s="38">
        <f ca="1">IFERROR(__xludf.DUMMYFUNCTION("""COMPUTED_VALUE"""),6)</f>
        <v>6</v>
      </c>
      <c r="H208" s="36">
        <f ca="1">IFERROR(__xludf.DUMMYFUNCTION("""COMPUTED_VALUE"""),25)</f>
        <v>25</v>
      </c>
      <c r="I208" s="39">
        <f ca="1">IFERROR(__xludf.DUMMYFUNCTION("""COMPUTED_VALUE"""),35)</f>
        <v>35</v>
      </c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</row>
    <row r="209" spans="1:26">
      <c r="A209" s="36" t="str">
        <f ca="1">IFERROR(__xludf.DUMMYFUNCTION("""COMPUTED_VALUE"""),"Prunus serrulata 'Kwanzan'")</f>
        <v>Prunus serrulata 'Kwanzan'</v>
      </c>
      <c r="B209" s="36">
        <f ca="1">IFERROR(__xludf.DUMMYFUNCTION("""COMPUTED_VALUE"""),10)</f>
        <v>10</v>
      </c>
      <c r="C209" s="36" t="str">
        <f ca="1">IFERROR(__xludf.DUMMYFUNCTION("""COMPUTED_VALUE"""),"Kwanzan Cherry")</f>
        <v>Kwanzan Cherry</v>
      </c>
      <c r="D209" s="36" t="str">
        <f ca="1">IFERROR(__xludf.DUMMYFUNCTION("""COMPUTED_VALUE"""),"#10")</f>
        <v>#10</v>
      </c>
      <c r="E209" s="37" t="str">
        <f ca="1">IFERROR(__xludf.DUMMYFUNCTION("""COMPUTED_VALUE"""),"1-1.5""")</f>
        <v>1-1.5"</v>
      </c>
      <c r="F209" s="36" t="str">
        <f ca="1">IFERROR(__xludf.DUMMYFUNCTION("""COMPUTED_VALUE"""),"9-10'")</f>
        <v>9-10'</v>
      </c>
      <c r="G209" s="38">
        <f ca="1">IFERROR(__xludf.DUMMYFUNCTION("""COMPUTED_VALUE"""),4)</f>
        <v>4</v>
      </c>
      <c r="H209" s="36">
        <f ca="1">IFERROR(__xludf.DUMMYFUNCTION("""COMPUTED_VALUE"""),30)</f>
        <v>30</v>
      </c>
      <c r="I209" s="39">
        <f ca="1">IFERROR(__xludf.DUMMYFUNCTION("""COMPUTED_VALUE"""),95)</f>
        <v>95</v>
      </c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</row>
    <row r="210" spans="1:26">
      <c r="A210" s="36" t="str">
        <f ca="1">IFERROR(__xludf.DUMMYFUNCTION("""COMPUTED_VALUE"""),"Prunus serrulata 'Kwanzan'")</f>
        <v>Prunus serrulata 'Kwanzan'</v>
      </c>
      <c r="B210" s="36">
        <f ca="1">IFERROR(__xludf.DUMMYFUNCTION("""COMPUTED_VALUE"""),15)</f>
        <v>15</v>
      </c>
      <c r="C210" s="36" t="str">
        <f ca="1">IFERROR(__xludf.DUMMYFUNCTION("""COMPUTED_VALUE"""),"Kwanzan Cherry")</f>
        <v>Kwanzan Cherry</v>
      </c>
      <c r="D210" s="36" t="str">
        <f ca="1">IFERROR(__xludf.DUMMYFUNCTION("""COMPUTED_VALUE"""),"#15")</f>
        <v>#15</v>
      </c>
      <c r="E210" s="37" t="str">
        <f ca="1">IFERROR(__xludf.DUMMYFUNCTION("""COMPUTED_VALUE"""),"1-1""")</f>
        <v>1-1"</v>
      </c>
      <c r="F210" s="36" t="str">
        <f ca="1">IFERROR(__xludf.DUMMYFUNCTION("""COMPUTED_VALUE"""),"8-9'")</f>
        <v>8-9'</v>
      </c>
      <c r="G210" s="38">
        <f ca="1">IFERROR(__xludf.DUMMYFUNCTION("""COMPUTED_VALUE"""),0)</f>
        <v>0</v>
      </c>
      <c r="H210" s="36">
        <f ca="1">IFERROR(__xludf.DUMMYFUNCTION("""COMPUTED_VALUE"""),20)</f>
        <v>20</v>
      </c>
      <c r="I210" s="39">
        <f ca="1">IFERROR(__xludf.DUMMYFUNCTION("""COMPUTED_VALUE"""),110)</f>
        <v>110</v>
      </c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</row>
    <row r="211" spans="1:26">
      <c r="A211" s="36" t="str">
        <f ca="1">IFERROR(__xludf.DUMMYFUNCTION("""COMPUTED_VALUE"""),"Prunus subhirtella 'Snow Fountains'")</f>
        <v>Prunus subhirtella 'Snow Fountains'</v>
      </c>
      <c r="B211" s="36">
        <f ca="1">IFERROR(__xludf.DUMMYFUNCTION("""COMPUTED_VALUE"""),15)</f>
        <v>15</v>
      </c>
      <c r="C211" s="36" t="str">
        <f ca="1">IFERROR(__xludf.DUMMYFUNCTION("""COMPUTED_VALUE"""),"Snow Fountains Cherry")</f>
        <v>Snow Fountains Cherry</v>
      </c>
      <c r="D211" s="36" t="str">
        <f ca="1">IFERROR(__xludf.DUMMYFUNCTION("""COMPUTED_VALUE"""),"#15")</f>
        <v>#15</v>
      </c>
      <c r="E211" s="37" t="str">
        <f ca="1">IFERROR(__xludf.DUMMYFUNCTION("""COMPUTED_VALUE"""),"1.25-1.25""")</f>
        <v>1.25-1.25"</v>
      </c>
      <c r="F211" s="36" t="str">
        <f ca="1">IFERROR(__xludf.DUMMYFUNCTION("""COMPUTED_VALUE"""),"6.5-6.5'")</f>
        <v>6.5-6.5'</v>
      </c>
      <c r="G211" s="38">
        <f ca="1">IFERROR(__xludf.DUMMYFUNCTION("""COMPUTED_VALUE"""),6)</f>
        <v>6</v>
      </c>
      <c r="H211" s="36">
        <f ca="1">IFERROR(__xludf.DUMMYFUNCTION("""COMPUTED_VALUE"""),15)</f>
        <v>15</v>
      </c>
      <c r="I211" s="39">
        <f ca="1">IFERROR(__xludf.DUMMYFUNCTION("""COMPUTED_VALUE"""),115)</f>
        <v>115</v>
      </c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</row>
    <row r="212" spans="1:26">
      <c r="A212" s="36" t="str">
        <f ca="1">IFERROR(__xludf.DUMMYFUNCTION("""COMPUTED_VALUE"""),"Prunus subhirtella 'Snow Fountains'")</f>
        <v>Prunus subhirtella 'Snow Fountains'</v>
      </c>
      <c r="B212" s="36">
        <f ca="1">IFERROR(__xludf.DUMMYFUNCTION("""COMPUTED_VALUE"""),25)</f>
        <v>25</v>
      </c>
      <c r="C212" s="36" t="str">
        <f ca="1">IFERROR(__xludf.DUMMYFUNCTION("""COMPUTED_VALUE"""),"Snow Fountains Cherry")</f>
        <v>Snow Fountains Cherry</v>
      </c>
      <c r="D212" s="36" t="str">
        <f ca="1">IFERROR(__xludf.DUMMYFUNCTION("""COMPUTED_VALUE"""),"#25")</f>
        <v>#25</v>
      </c>
      <c r="E212" s="37" t="str">
        <f ca="1">IFERROR(__xludf.DUMMYFUNCTION("""COMPUTED_VALUE"""),"1-1.25""")</f>
        <v>1-1.25"</v>
      </c>
      <c r="F212" s="36" t="str">
        <f ca="1">IFERROR(__xludf.DUMMYFUNCTION("""COMPUTED_VALUE"""),"6.5-6.5'")</f>
        <v>6.5-6.5'</v>
      </c>
      <c r="G212" s="38">
        <f ca="1">IFERROR(__xludf.DUMMYFUNCTION("""COMPUTED_VALUE"""),3)</f>
        <v>3</v>
      </c>
      <c r="H212" s="36">
        <f ca="1">IFERROR(__xludf.DUMMYFUNCTION("""COMPUTED_VALUE"""),0)</f>
        <v>0</v>
      </c>
      <c r="I212" s="39">
        <f ca="1">IFERROR(__xludf.DUMMYFUNCTION("""COMPUTED_VALUE"""),135)</f>
        <v>135</v>
      </c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</row>
    <row r="213" spans="1:26">
      <c r="A213" s="36" t="str">
        <f ca="1">IFERROR(__xludf.DUMMYFUNCTION("""COMPUTED_VALUE"""),"Prunus subhirtella 'Snow Goose'")</f>
        <v>Prunus subhirtella 'Snow Goose'</v>
      </c>
      <c r="B213" s="36">
        <f ca="1">IFERROR(__xludf.DUMMYFUNCTION("""COMPUTED_VALUE"""),15)</f>
        <v>15</v>
      </c>
      <c r="C213" s="36" t="str">
        <f ca="1">IFERROR(__xludf.DUMMYFUNCTION("""COMPUTED_VALUE"""),"Snow Goose Cherry")</f>
        <v>Snow Goose Cherry</v>
      </c>
      <c r="D213" s="36" t="str">
        <f ca="1">IFERROR(__xludf.DUMMYFUNCTION("""COMPUTED_VALUE"""),"#15")</f>
        <v>#15</v>
      </c>
      <c r="E213" s="37" t="str">
        <f ca="1">IFERROR(__xludf.DUMMYFUNCTION("""COMPUTED_VALUE"""),"1-1.75""")</f>
        <v>1-1.75"</v>
      </c>
      <c r="F213" s="36" t="str">
        <f ca="1">IFERROR(__xludf.DUMMYFUNCTION("""COMPUTED_VALUE"""),"9-10'")</f>
        <v>9-10'</v>
      </c>
      <c r="G213" s="38">
        <f ca="1">IFERROR(__xludf.DUMMYFUNCTION("""COMPUTED_VALUE"""),5)</f>
        <v>5</v>
      </c>
      <c r="H213" s="36">
        <f ca="1">IFERROR(__xludf.DUMMYFUNCTION("""COMPUTED_VALUE"""),0)</f>
        <v>0</v>
      </c>
      <c r="I213" s="39">
        <f ca="1">IFERROR(__xludf.DUMMYFUNCTION("""COMPUTED_VALUE"""),110)</f>
        <v>110</v>
      </c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</row>
    <row r="214" spans="1:26">
      <c r="A214" s="36" t="str">
        <f ca="1">IFERROR(__xludf.DUMMYFUNCTION("""COMPUTED_VALUE"""),"Prunus subhirtella 'Snow Goose'")</f>
        <v>Prunus subhirtella 'Snow Goose'</v>
      </c>
      <c r="B214" s="36">
        <f ca="1">IFERROR(__xludf.DUMMYFUNCTION("""COMPUTED_VALUE"""),25)</f>
        <v>25</v>
      </c>
      <c r="C214" s="36" t="str">
        <f ca="1">IFERROR(__xludf.DUMMYFUNCTION("""COMPUTED_VALUE"""),"Snow Goose Cherry")</f>
        <v>Snow Goose Cherry</v>
      </c>
      <c r="D214" s="36" t="str">
        <f ca="1">IFERROR(__xludf.DUMMYFUNCTION("""COMPUTED_VALUE"""),"#25")</f>
        <v>#25</v>
      </c>
      <c r="E214" s="37" t="str">
        <f ca="1">IFERROR(__xludf.DUMMYFUNCTION("""COMPUTED_VALUE"""),"1.25-1.25""")</f>
        <v>1.25-1.25"</v>
      </c>
      <c r="F214" s="36" t="str">
        <f ca="1">IFERROR(__xludf.DUMMYFUNCTION("""COMPUTED_VALUE"""),"9-10'")</f>
        <v>9-10'</v>
      </c>
      <c r="G214" s="38">
        <f ca="1">IFERROR(__xludf.DUMMYFUNCTION("""COMPUTED_VALUE"""),2)</f>
        <v>2</v>
      </c>
      <c r="H214" s="36">
        <f ca="1">IFERROR(__xludf.DUMMYFUNCTION("""COMPUTED_VALUE"""),0)</f>
        <v>0</v>
      </c>
      <c r="I214" s="39">
        <f ca="1">IFERROR(__xludf.DUMMYFUNCTION("""COMPUTED_VALUE"""),135)</f>
        <v>135</v>
      </c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</row>
    <row r="215" spans="1:26">
      <c r="A215" s="36" t="str">
        <f ca="1">IFERROR(__xludf.DUMMYFUNCTION("""COMPUTED_VALUE"""),"Prunus subhirtella ""Pendula plena rosea""")</f>
        <v>Prunus subhirtella "Pendula plena rosea"</v>
      </c>
      <c r="B215" s="36">
        <f ca="1">IFERROR(__xludf.DUMMYFUNCTION("""COMPUTED_VALUE"""),15)</f>
        <v>15</v>
      </c>
      <c r="C215" s="36" t="str">
        <f ca="1">IFERROR(__xludf.DUMMYFUNCTION("""COMPUTED_VALUE"""),"Double Pink Weeping Cherry")</f>
        <v>Double Pink Weeping Cherry</v>
      </c>
      <c r="D215" s="36" t="str">
        <f ca="1">IFERROR(__xludf.DUMMYFUNCTION("""COMPUTED_VALUE"""),"#15")</f>
        <v>#15</v>
      </c>
      <c r="E215" s="37" t="str">
        <f ca="1">IFERROR(__xludf.DUMMYFUNCTION("""COMPUTED_VALUE"""),"1.25-1.5""")</f>
        <v>1.25-1.5"</v>
      </c>
      <c r="F215" s="36" t="str">
        <f ca="1">IFERROR(__xludf.DUMMYFUNCTION("""COMPUTED_VALUE"""),"6.5-6.5'")</f>
        <v>6.5-6.5'</v>
      </c>
      <c r="G215" s="38">
        <f ca="1">IFERROR(__xludf.DUMMYFUNCTION("""COMPUTED_VALUE"""),4)</f>
        <v>4</v>
      </c>
      <c r="H215" s="36">
        <f ca="1">IFERROR(__xludf.DUMMYFUNCTION("""COMPUTED_VALUE"""),15)</f>
        <v>15</v>
      </c>
      <c r="I215" s="39">
        <f ca="1">IFERROR(__xludf.DUMMYFUNCTION("""COMPUTED_VALUE"""),115)</f>
        <v>115</v>
      </c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</row>
    <row r="216" spans="1:26">
      <c r="A216" s="36" t="str">
        <f ca="1">IFERROR(__xludf.DUMMYFUNCTION("""COMPUTED_VALUE"""),"Prunus virginiana")</f>
        <v>Prunus virginiana</v>
      </c>
      <c r="B216" s="36">
        <f ca="1">IFERROR(__xludf.DUMMYFUNCTION("""COMPUTED_VALUE"""),5)</f>
        <v>5</v>
      </c>
      <c r="C216" s="36" t="str">
        <f ca="1">IFERROR(__xludf.DUMMYFUNCTION("""COMPUTED_VALUE"""),"Chokecherry")</f>
        <v>Chokecherry</v>
      </c>
      <c r="D216" s="36" t="str">
        <f ca="1">IFERROR(__xludf.DUMMYFUNCTION("""COMPUTED_VALUE"""),"#5")</f>
        <v>#5</v>
      </c>
      <c r="E216" s="40" t="str">
        <f ca="1">IFERROR(__xludf.DUMMYFUNCTION("""COMPUTED_VALUE"""),"Multi")</f>
        <v>Multi</v>
      </c>
      <c r="F216" s="36" t="str">
        <f ca="1">IFERROR(__xludf.DUMMYFUNCTION("""COMPUTED_VALUE"""),"1-6.5'")</f>
        <v>1-6.5'</v>
      </c>
      <c r="G216" s="38">
        <f ca="1">IFERROR(__xludf.DUMMYFUNCTION("""COMPUTED_VALUE"""),58)</f>
        <v>58</v>
      </c>
      <c r="H216" s="36">
        <f ca="1">IFERROR(__xludf.DUMMYFUNCTION("""COMPUTED_VALUE"""),10)</f>
        <v>10</v>
      </c>
      <c r="I216" s="39">
        <f ca="1">IFERROR(__xludf.DUMMYFUNCTION("""COMPUTED_VALUE"""),30)</f>
        <v>30</v>
      </c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</row>
    <row r="217" spans="1:26">
      <c r="A217" s="36" t="str">
        <f ca="1">IFERROR(__xludf.DUMMYFUNCTION("""COMPUTED_VALUE"""),"Prunus x cistena")</f>
        <v>Prunus x cistena</v>
      </c>
      <c r="B217" s="36">
        <f ca="1">IFERROR(__xludf.DUMMYFUNCTION("""COMPUTED_VALUE"""),5)</f>
        <v>5</v>
      </c>
      <c r="C217" s="36" t="str">
        <f ca="1">IFERROR(__xludf.DUMMYFUNCTION("""COMPUTED_VALUE"""),"Purple Sand Cherry")</f>
        <v>Purple Sand Cherry</v>
      </c>
      <c r="D217" s="36" t="str">
        <f ca="1">IFERROR(__xludf.DUMMYFUNCTION("""COMPUTED_VALUE"""),"#5")</f>
        <v>#5</v>
      </c>
      <c r="E217" s="40" t="str">
        <f ca="1">IFERROR(__xludf.DUMMYFUNCTION("""COMPUTED_VALUE"""),"Multi")</f>
        <v>Multi</v>
      </c>
      <c r="F217" s="36" t="str">
        <f ca="1">IFERROR(__xludf.DUMMYFUNCTION("""COMPUTED_VALUE"""),"4-5'")</f>
        <v>4-5'</v>
      </c>
      <c r="G217" s="38">
        <f ca="1">IFERROR(__xludf.DUMMYFUNCTION("""COMPUTED_VALUE"""),3)</f>
        <v>3</v>
      </c>
      <c r="H217" s="36">
        <f ca="1">IFERROR(__xludf.DUMMYFUNCTION("""COMPUTED_VALUE"""),0)</f>
        <v>0</v>
      </c>
      <c r="I217" s="39">
        <f ca="1">IFERROR(__xludf.DUMMYFUNCTION("""COMPUTED_VALUE"""),35)</f>
        <v>35</v>
      </c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</row>
    <row r="218" spans="1:26">
      <c r="A218" s="36" t="str">
        <f ca="1">IFERROR(__xludf.DUMMYFUNCTION("""COMPUTED_VALUE"""),"Quercus 'Kindred Spirit'")</f>
        <v>Quercus 'Kindred Spirit'</v>
      </c>
      <c r="B218" s="36">
        <f ca="1">IFERROR(__xludf.DUMMYFUNCTION("""COMPUTED_VALUE"""),7)</f>
        <v>7</v>
      </c>
      <c r="C218" s="36" t="str">
        <f ca="1">IFERROR(__xludf.DUMMYFUNCTION("""COMPUTED_VALUE"""),"Kindred Spirit Oak")</f>
        <v>Kindred Spirit Oak</v>
      </c>
      <c r="D218" s="36" t="str">
        <f ca="1">IFERROR(__xludf.DUMMYFUNCTION("""COMPUTED_VALUE"""),"#7")</f>
        <v>#7</v>
      </c>
      <c r="E218" s="37" t="str">
        <f ca="1">IFERROR(__xludf.DUMMYFUNCTION("""COMPUTED_VALUE"""),"0.75-0.5""")</f>
        <v>0.75-0.5"</v>
      </c>
      <c r="F218" s="36" t="str">
        <f ca="1">IFERROR(__xludf.DUMMYFUNCTION("""COMPUTED_VALUE"""),"4-5'")</f>
        <v>4-5'</v>
      </c>
      <c r="G218" s="38">
        <f ca="1">IFERROR(__xludf.DUMMYFUNCTION("""COMPUTED_VALUE"""),10)</f>
        <v>10</v>
      </c>
      <c r="H218" s="36">
        <f ca="1">IFERROR(__xludf.DUMMYFUNCTION("""COMPUTED_VALUE"""),10)</f>
        <v>10</v>
      </c>
      <c r="I218" s="39">
        <f ca="1">IFERROR(__xludf.DUMMYFUNCTION("""COMPUTED_VALUE"""),45)</f>
        <v>45</v>
      </c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</row>
    <row r="219" spans="1:26">
      <c r="A219" s="36" t="str">
        <f ca="1">IFERROR(__xludf.DUMMYFUNCTION("""COMPUTED_VALUE"""),"Quercus alba")</f>
        <v>Quercus alba</v>
      </c>
      <c r="B219" s="36">
        <f ca="1">IFERROR(__xludf.DUMMYFUNCTION("""COMPUTED_VALUE"""),5)</f>
        <v>5</v>
      </c>
      <c r="C219" s="36" t="str">
        <f ca="1">IFERROR(__xludf.DUMMYFUNCTION("""COMPUTED_VALUE"""),"White Oak")</f>
        <v>White Oak</v>
      </c>
      <c r="D219" s="36" t="str">
        <f ca="1">IFERROR(__xludf.DUMMYFUNCTION("""COMPUTED_VALUE"""),"#5")</f>
        <v>#5</v>
      </c>
      <c r="E219" s="37" t="str">
        <f ca="1">IFERROR(__xludf.DUMMYFUNCTION("""COMPUTED_VALUE"""),"0.5-0.75""")</f>
        <v>0.5-0.75"</v>
      </c>
      <c r="F219" s="36" t="str">
        <f ca="1">IFERROR(__xludf.DUMMYFUNCTION("""COMPUTED_VALUE"""),"3-4'")</f>
        <v>3-4'</v>
      </c>
      <c r="G219" s="38">
        <f ca="1">IFERROR(__xludf.DUMMYFUNCTION("""COMPUTED_VALUE"""),80)</f>
        <v>80</v>
      </c>
      <c r="H219" s="36">
        <f ca="1">IFERROR(__xludf.DUMMYFUNCTION("""COMPUTED_VALUE"""),200)</f>
        <v>200</v>
      </c>
      <c r="I219" s="39">
        <f ca="1">IFERROR(__xludf.DUMMYFUNCTION("""COMPUTED_VALUE"""),40)</f>
        <v>40</v>
      </c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</row>
    <row r="220" spans="1:26">
      <c r="A220" s="36" t="str">
        <f ca="1">IFERROR(__xludf.DUMMYFUNCTION("""COMPUTED_VALUE"""),"Quercus alba")</f>
        <v>Quercus alba</v>
      </c>
      <c r="B220" s="36">
        <f ca="1">IFERROR(__xludf.DUMMYFUNCTION("""COMPUTED_VALUE"""),7)</f>
        <v>7</v>
      </c>
      <c r="C220" s="36" t="str">
        <f ca="1">IFERROR(__xludf.DUMMYFUNCTION("""COMPUTED_VALUE"""),"White Oak")</f>
        <v>White Oak</v>
      </c>
      <c r="D220" s="36" t="str">
        <f ca="1">IFERROR(__xludf.DUMMYFUNCTION("""COMPUTED_VALUE"""),"#7")</f>
        <v>#7</v>
      </c>
      <c r="E220" s="37" t="str">
        <f ca="1">IFERROR(__xludf.DUMMYFUNCTION("""COMPUTED_VALUE"""),"0.5-0.75""")</f>
        <v>0.5-0.75"</v>
      </c>
      <c r="F220" s="36" t="str">
        <f ca="1">IFERROR(__xludf.DUMMYFUNCTION("""COMPUTED_VALUE"""),"3-4'")</f>
        <v>3-4'</v>
      </c>
      <c r="G220" s="38">
        <f ca="1">IFERROR(__xludf.DUMMYFUNCTION("""COMPUTED_VALUE"""),42)</f>
        <v>42</v>
      </c>
      <c r="H220" s="36">
        <f ca="1">IFERROR(__xludf.DUMMYFUNCTION("""COMPUTED_VALUE"""),150)</f>
        <v>150</v>
      </c>
      <c r="I220" s="39">
        <f ca="1">IFERROR(__xludf.DUMMYFUNCTION("""COMPUTED_VALUE"""),50)</f>
        <v>50</v>
      </c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</row>
    <row r="221" spans="1:26">
      <c r="A221" s="36" t="str">
        <f ca="1">IFERROR(__xludf.DUMMYFUNCTION("""COMPUTED_VALUE"""),"Quercus alba")</f>
        <v>Quercus alba</v>
      </c>
      <c r="B221" s="36">
        <f ca="1">IFERROR(__xludf.DUMMYFUNCTION("""COMPUTED_VALUE"""),10)</f>
        <v>10</v>
      </c>
      <c r="C221" s="36" t="str">
        <f ca="1">IFERROR(__xludf.DUMMYFUNCTION("""COMPUTED_VALUE"""),"White Oak")</f>
        <v>White Oak</v>
      </c>
      <c r="D221" s="36" t="str">
        <f ca="1">IFERROR(__xludf.DUMMYFUNCTION("""COMPUTED_VALUE"""),"#10")</f>
        <v>#10</v>
      </c>
      <c r="E221" s="37" t="str">
        <f ca="1">IFERROR(__xludf.DUMMYFUNCTION("""COMPUTED_VALUE"""),"0.25-0.75""")</f>
        <v>0.25-0.75"</v>
      </c>
      <c r="F221" s="36" t="str">
        <f ca="1">IFERROR(__xludf.DUMMYFUNCTION("""COMPUTED_VALUE"""),"3-4'")</f>
        <v>3-4'</v>
      </c>
      <c r="G221" s="38">
        <f ca="1">IFERROR(__xludf.DUMMYFUNCTION("""COMPUTED_VALUE"""),0)</f>
        <v>0</v>
      </c>
      <c r="H221" s="36">
        <f ca="1">IFERROR(__xludf.DUMMYFUNCTION("""COMPUTED_VALUE"""),30)</f>
        <v>30</v>
      </c>
      <c r="I221" s="39">
        <f ca="1">IFERROR(__xludf.DUMMYFUNCTION("""COMPUTED_VALUE"""),80)</f>
        <v>80</v>
      </c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</row>
    <row r="222" spans="1:26">
      <c r="A222" s="36" t="str">
        <f ca="1">IFERROR(__xludf.DUMMYFUNCTION("""COMPUTED_VALUE"""),"Quercus alba")</f>
        <v>Quercus alba</v>
      </c>
      <c r="B222" s="36">
        <f ca="1">IFERROR(__xludf.DUMMYFUNCTION("""COMPUTED_VALUE"""),15)</f>
        <v>15</v>
      </c>
      <c r="C222" s="36" t="str">
        <f ca="1">IFERROR(__xludf.DUMMYFUNCTION("""COMPUTED_VALUE"""),"White Oak")</f>
        <v>White Oak</v>
      </c>
      <c r="D222" s="36" t="str">
        <f ca="1">IFERROR(__xludf.DUMMYFUNCTION("""COMPUTED_VALUE"""),"#15")</f>
        <v>#15</v>
      </c>
      <c r="E222" s="37" t="str">
        <f ca="1">IFERROR(__xludf.DUMMYFUNCTION("""COMPUTED_VALUE"""),"1-2""")</f>
        <v>1-2"</v>
      </c>
      <c r="F222" s="36" t="str">
        <f ca="1">IFERROR(__xludf.DUMMYFUNCTION("""COMPUTED_VALUE"""),"7-9'")</f>
        <v>7-9'</v>
      </c>
      <c r="G222" s="38">
        <f ca="1">IFERROR(__xludf.DUMMYFUNCTION("""COMPUTED_VALUE"""),28)</f>
        <v>28</v>
      </c>
      <c r="H222" s="36">
        <f ca="1">IFERROR(__xludf.DUMMYFUNCTION("""COMPUTED_VALUE"""),0)</f>
        <v>0</v>
      </c>
      <c r="I222" s="39">
        <f ca="1">IFERROR(__xludf.DUMMYFUNCTION("""COMPUTED_VALUE"""),125)</f>
        <v>125</v>
      </c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</row>
    <row r="223" spans="1:26">
      <c r="A223" s="36" t="str">
        <f ca="1">IFERROR(__xludf.DUMMYFUNCTION("""COMPUTED_VALUE"""),"Quercus bicolor")</f>
        <v>Quercus bicolor</v>
      </c>
      <c r="B223" s="36">
        <f ca="1">IFERROR(__xludf.DUMMYFUNCTION("""COMPUTED_VALUE"""),5)</f>
        <v>5</v>
      </c>
      <c r="C223" s="36" t="str">
        <f ca="1">IFERROR(__xludf.DUMMYFUNCTION("""COMPUTED_VALUE"""),"Swamp White Oak")</f>
        <v>Swamp White Oak</v>
      </c>
      <c r="D223" s="36" t="str">
        <f ca="1">IFERROR(__xludf.DUMMYFUNCTION("""COMPUTED_VALUE"""),"#5")</f>
        <v>#5</v>
      </c>
      <c r="E223" s="37" t="str">
        <f ca="1">IFERROR(__xludf.DUMMYFUNCTION("""COMPUTED_VALUE"""),"0.25-1""")</f>
        <v>0.25-1"</v>
      </c>
      <c r="F223" s="36" t="str">
        <f ca="1">IFERROR(__xludf.DUMMYFUNCTION("""COMPUTED_VALUE"""),"2-6'")</f>
        <v>2-6'</v>
      </c>
      <c r="G223" s="38">
        <f ca="1">IFERROR(__xludf.DUMMYFUNCTION("""COMPUTED_VALUE"""),212)</f>
        <v>212</v>
      </c>
      <c r="H223" s="36">
        <f ca="1">IFERROR(__xludf.DUMMYFUNCTION("""COMPUTED_VALUE"""),200)</f>
        <v>200</v>
      </c>
      <c r="I223" s="39">
        <f ca="1">IFERROR(__xludf.DUMMYFUNCTION("""COMPUTED_VALUE"""),35)</f>
        <v>35</v>
      </c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</row>
    <row r="224" spans="1:26">
      <c r="A224" s="36" t="str">
        <f ca="1">IFERROR(__xludf.DUMMYFUNCTION("""COMPUTED_VALUE"""),"Quercus bicolor")</f>
        <v>Quercus bicolor</v>
      </c>
      <c r="B224" s="36">
        <f ca="1">IFERROR(__xludf.DUMMYFUNCTION("""COMPUTED_VALUE"""),15)</f>
        <v>15</v>
      </c>
      <c r="C224" s="36" t="str">
        <f ca="1">IFERROR(__xludf.DUMMYFUNCTION("""COMPUTED_VALUE"""),"Swamp White Oak")</f>
        <v>Swamp White Oak</v>
      </c>
      <c r="D224" s="36" t="str">
        <f ca="1">IFERROR(__xludf.DUMMYFUNCTION("""COMPUTED_VALUE"""),"#15")</f>
        <v>#15</v>
      </c>
      <c r="E224" s="37" t="str">
        <f ca="1">IFERROR(__xludf.DUMMYFUNCTION("""COMPUTED_VALUE"""),"1-1.25""")</f>
        <v>1-1.25"</v>
      </c>
      <c r="F224" s="36" t="str">
        <f ca="1">IFERROR(__xludf.DUMMYFUNCTION("""COMPUTED_VALUE"""),"9-9'")</f>
        <v>9-9'</v>
      </c>
      <c r="G224" s="38">
        <f ca="1">IFERROR(__xludf.DUMMYFUNCTION("""COMPUTED_VALUE"""),1)</f>
        <v>1</v>
      </c>
      <c r="H224" s="36">
        <f ca="1">IFERROR(__xludf.DUMMYFUNCTION("""COMPUTED_VALUE"""),20)</f>
        <v>20</v>
      </c>
      <c r="I224" s="39">
        <f ca="1">IFERROR(__xludf.DUMMYFUNCTION("""COMPUTED_VALUE"""),110)</f>
        <v>110</v>
      </c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</row>
    <row r="225" spans="1:26">
      <c r="A225" s="36" t="str">
        <f ca="1">IFERROR(__xludf.DUMMYFUNCTION("""COMPUTED_VALUE"""),"Quercus bicolor")</f>
        <v>Quercus bicolor</v>
      </c>
      <c r="B225" s="36">
        <f ca="1">IFERROR(__xludf.DUMMYFUNCTION("""COMPUTED_VALUE"""),15)</f>
        <v>15</v>
      </c>
      <c r="C225" s="36" t="str">
        <f ca="1">IFERROR(__xludf.DUMMYFUNCTION("""COMPUTED_VALUE"""),"Swamp White Oak")</f>
        <v>Swamp White Oak</v>
      </c>
      <c r="D225" s="36" t="str">
        <f ca="1">IFERROR(__xludf.DUMMYFUNCTION("""COMPUTED_VALUE"""),"#15")</f>
        <v>#15</v>
      </c>
      <c r="E225" s="37" t="str">
        <f ca="1">IFERROR(__xludf.DUMMYFUNCTION("""COMPUTED_VALUE"""),"1-1""")</f>
        <v>1-1"</v>
      </c>
      <c r="F225" s="36" t="str">
        <f ca="1">IFERROR(__xludf.DUMMYFUNCTION("""COMPUTED_VALUE"""),"8-9'")</f>
        <v>8-9'</v>
      </c>
      <c r="G225" s="38">
        <f ca="1">IFERROR(__xludf.DUMMYFUNCTION("""COMPUTED_VALUE"""),0)</f>
        <v>0</v>
      </c>
      <c r="H225" s="36">
        <f ca="1">IFERROR(__xludf.DUMMYFUNCTION("""COMPUTED_VALUE"""),20)</f>
        <v>20</v>
      </c>
      <c r="I225" s="39">
        <f ca="1">IFERROR(__xludf.DUMMYFUNCTION("""COMPUTED_VALUE"""),110)</f>
        <v>110</v>
      </c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</row>
    <row r="226" spans="1:26">
      <c r="A226" s="36" t="str">
        <f ca="1">IFERROR(__xludf.DUMMYFUNCTION("""COMPUTED_VALUE"""),"Quercus bicolor")</f>
        <v>Quercus bicolor</v>
      </c>
      <c r="B226" s="36">
        <f ca="1">IFERROR(__xludf.DUMMYFUNCTION("""COMPUTED_VALUE"""),25)</f>
        <v>25</v>
      </c>
      <c r="C226" s="36" t="str">
        <f ca="1">IFERROR(__xludf.DUMMYFUNCTION("""COMPUTED_VALUE"""),"Swamp White Oak")</f>
        <v>Swamp White Oak</v>
      </c>
      <c r="D226" s="36" t="str">
        <f ca="1">IFERROR(__xludf.DUMMYFUNCTION("""COMPUTED_VALUE"""),"#25")</f>
        <v>#25</v>
      </c>
      <c r="E226" s="37" t="str">
        <f ca="1">IFERROR(__xludf.DUMMYFUNCTION("""COMPUTED_VALUE"""),"1-1.25""")</f>
        <v>1-1.25"</v>
      </c>
      <c r="F226" s="36" t="str">
        <f ca="1">IFERROR(__xludf.DUMMYFUNCTION("""COMPUTED_VALUE"""),"9-9'")</f>
        <v>9-9'</v>
      </c>
      <c r="G226" s="38">
        <f ca="1">IFERROR(__xludf.DUMMYFUNCTION("""COMPUTED_VALUE"""),4)</f>
        <v>4</v>
      </c>
      <c r="H226" s="36">
        <f ca="1">IFERROR(__xludf.DUMMYFUNCTION("""COMPUTED_VALUE"""),5)</f>
        <v>5</v>
      </c>
      <c r="I226" s="39">
        <f ca="1">IFERROR(__xludf.DUMMYFUNCTION("""COMPUTED_VALUE"""),135)</f>
        <v>135</v>
      </c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</row>
    <row r="227" spans="1:26">
      <c r="A227" s="36" t="str">
        <f ca="1">IFERROR(__xludf.DUMMYFUNCTION("""COMPUTED_VALUE"""),"Quercus coccinea")</f>
        <v>Quercus coccinea</v>
      </c>
      <c r="B227" s="36">
        <f ca="1">IFERROR(__xludf.DUMMYFUNCTION("""COMPUTED_VALUE"""),5)</f>
        <v>5</v>
      </c>
      <c r="C227" s="36" t="str">
        <f ca="1">IFERROR(__xludf.DUMMYFUNCTION("""COMPUTED_VALUE"""),"Scarlet Oak")</f>
        <v>Scarlet Oak</v>
      </c>
      <c r="D227" s="36" t="str">
        <f ca="1">IFERROR(__xludf.DUMMYFUNCTION("""COMPUTED_VALUE"""),"#5")</f>
        <v>#5</v>
      </c>
      <c r="E227" s="37" t="str">
        <f ca="1">IFERROR(__xludf.DUMMYFUNCTION("""COMPUTED_VALUE"""),"0.5-0.75""")</f>
        <v>0.5-0.75"</v>
      </c>
      <c r="F227" s="36" t="str">
        <f ca="1">IFERROR(__xludf.DUMMYFUNCTION("""COMPUTED_VALUE"""),"4-6'")</f>
        <v>4-6'</v>
      </c>
      <c r="G227" s="38">
        <f ca="1">IFERROR(__xludf.DUMMYFUNCTION("""COMPUTED_VALUE"""),67)</f>
        <v>67</v>
      </c>
      <c r="H227" s="36">
        <f ca="1">IFERROR(__xludf.DUMMYFUNCTION("""COMPUTED_VALUE"""),50)</f>
        <v>50</v>
      </c>
      <c r="I227" s="39">
        <f ca="1">IFERROR(__xludf.DUMMYFUNCTION("""COMPUTED_VALUE"""),35)</f>
        <v>35</v>
      </c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</row>
    <row r="228" spans="1:26">
      <c r="A228" s="36" t="str">
        <f ca="1">IFERROR(__xludf.DUMMYFUNCTION("""COMPUTED_VALUE"""),"Quercus coccinea")</f>
        <v>Quercus coccinea</v>
      </c>
      <c r="B228" s="36">
        <f ca="1">IFERROR(__xludf.DUMMYFUNCTION("""COMPUTED_VALUE"""),7)</f>
        <v>7</v>
      </c>
      <c r="C228" s="36" t="str">
        <f ca="1">IFERROR(__xludf.DUMMYFUNCTION("""COMPUTED_VALUE"""),"Scarlet Oak")</f>
        <v>Scarlet Oak</v>
      </c>
      <c r="D228" s="36" t="str">
        <f ca="1">IFERROR(__xludf.DUMMYFUNCTION("""COMPUTED_VALUE"""),"#7")</f>
        <v>#7</v>
      </c>
      <c r="E228" s="37" t="str">
        <f ca="1">IFERROR(__xludf.DUMMYFUNCTION("""COMPUTED_VALUE"""),"0.5-0.75""")</f>
        <v>0.5-0.75"</v>
      </c>
      <c r="F228" s="36" t="str">
        <f ca="1">IFERROR(__xludf.DUMMYFUNCTION("""COMPUTED_VALUE"""),"4-4'")</f>
        <v>4-4'</v>
      </c>
      <c r="G228" s="38">
        <f ca="1">IFERROR(__xludf.DUMMYFUNCTION("""COMPUTED_VALUE"""),4)</f>
        <v>4</v>
      </c>
      <c r="H228" s="36">
        <f ca="1">IFERROR(__xludf.DUMMYFUNCTION("""COMPUTED_VALUE"""),0)</f>
        <v>0</v>
      </c>
      <c r="I228" s="39">
        <f ca="1">IFERROR(__xludf.DUMMYFUNCTION("""COMPUTED_VALUE"""),50)</f>
        <v>50</v>
      </c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</row>
    <row r="229" spans="1:26">
      <c r="A229" s="36" t="str">
        <f ca="1">IFERROR(__xludf.DUMMYFUNCTION("""COMPUTED_VALUE"""),"Quercus coccinea")</f>
        <v>Quercus coccinea</v>
      </c>
      <c r="B229" s="36">
        <f ca="1">IFERROR(__xludf.DUMMYFUNCTION("""COMPUTED_VALUE"""),15)</f>
        <v>15</v>
      </c>
      <c r="C229" s="36" t="str">
        <f ca="1">IFERROR(__xludf.DUMMYFUNCTION("""COMPUTED_VALUE"""),"Scarlet Oak")</f>
        <v>Scarlet Oak</v>
      </c>
      <c r="D229" s="36" t="str">
        <f ca="1">IFERROR(__xludf.DUMMYFUNCTION("""COMPUTED_VALUE"""),"#15")</f>
        <v>#15</v>
      </c>
      <c r="E229" s="37" t="str">
        <f ca="1">IFERROR(__xludf.DUMMYFUNCTION("""COMPUTED_VALUE"""),"1.25-1.25""")</f>
        <v>1.25-1.25"</v>
      </c>
      <c r="F229" s="36" t="str">
        <f ca="1">IFERROR(__xludf.DUMMYFUNCTION("""COMPUTED_VALUE"""),"10-12'")</f>
        <v>10-12'</v>
      </c>
      <c r="G229" s="38">
        <f ca="1">IFERROR(__xludf.DUMMYFUNCTION("""COMPUTED_VALUE"""),2)</f>
        <v>2</v>
      </c>
      <c r="H229" s="36">
        <f ca="1">IFERROR(__xludf.DUMMYFUNCTION("""COMPUTED_VALUE"""),10)</f>
        <v>10</v>
      </c>
      <c r="I229" s="39">
        <f ca="1">IFERROR(__xludf.DUMMYFUNCTION("""COMPUTED_VALUE"""),110)</f>
        <v>110</v>
      </c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</row>
    <row r="230" spans="1:26">
      <c r="A230" s="36" t="str">
        <f ca="1">IFERROR(__xludf.DUMMYFUNCTION("""COMPUTED_VALUE"""),"Quercus imbricaria")</f>
        <v>Quercus imbricaria</v>
      </c>
      <c r="B230" s="36">
        <f ca="1">IFERROR(__xludf.DUMMYFUNCTION("""COMPUTED_VALUE"""),5)</f>
        <v>5</v>
      </c>
      <c r="C230" s="36" t="str">
        <f ca="1">IFERROR(__xludf.DUMMYFUNCTION("""COMPUTED_VALUE"""),"Shingle Oak")</f>
        <v>Shingle Oak</v>
      </c>
      <c r="D230" s="36" t="str">
        <f ca="1">IFERROR(__xludf.DUMMYFUNCTION("""COMPUTED_VALUE"""),"#5")</f>
        <v>#5</v>
      </c>
      <c r="E230" s="37" t="str">
        <f ca="1">IFERROR(__xludf.DUMMYFUNCTION("""COMPUTED_VALUE"""),"0.25-0.5""")</f>
        <v>0.25-0.5"</v>
      </c>
      <c r="F230" s="36" t="str">
        <f ca="1">IFERROR(__xludf.DUMMYFUNCTION("""COMPUTED_VALUE"""),"2-4'")</f>
        <v>2-4'</v>
      </c>
      <c r="G230" s="38">
        <f ca="1">IFERROR(__xludf.DUMMYFUNCTION("""COMPUTED_VALUE"""),5)</f>
        <v>5</v>
      </c>
      <c r="H230" s="36">
        <f ca="1">IFERROR(__xludf.DUMMYFUNCTION("""COMPUTED_VALUE"""),25)</f>
        <v>25</v>
      </c>
      <c r="I230" s="39">
        <f ca="1">IFERROR(__xludf.DUMMYFUNCTION("""COMPUTED_VALUE"""),35)</f>
        <v>35</v>
      </c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</row>
    <row r="231" spans="1:26">
      <c r="A231" s="36" t="str">
        <f ca="1">IFERROR(__xludf.DUMMYFUNCTION("""COMPUTED_VALUE"""),"Quercus imbricaria")</f>
        <v>Quercus imbricaria</v>
      </c>
      <c r="B231" s="36">
        <f ca="1">IFERROR(__xludf.DUMMYFUNCTION("""COMPUTED_VALUE"""),25)</f>
        <v>25</v>
      </c>
      <c r="C231" s="36" t="str">
        <f ca="1">IFERROR(__xludf.DUMMYFUNCTION("""COMPUTED_VALUE"""),"Shingle Oak")</f>
        <v>Shingle Oak</v>
      </c>
      <c r="D231" s="36" t="str">
        <f ca="1">IFERROR(__xludf.DUMMYFUNCTION("""COMPUTED_VALUE"""),"#25")</f>
        <v>#25</v>
      </c>
      <c r="E231" s="37" t="str">
        <f ca="1">IFERROR(__xludf.DUMMYFUNCTION("""COMPUTED_VALUE"""),"1.5-1.5""")</f>
        <v>1.5-1.5"</v>
      </c>
      <c r="F231" s="36" t="str">
        <f ca="1">IFERROR(__xludf.DUMMYFUNCTION("""COMPUTED_VALUE"""),"11-11'")</f>
        <v>11-11'</v>
      </c>
      <c r="G231" s="38">
        <f ca="1">IFERROR(__xludf.DUMMYFUNCTION("""COMPUTED_VALUE"""),1)</f>
        <v>1</v>
      </c>
      <c r="H231" s="36">
        <f ca="1">IFERROR(__xludf.DUMMYFUNCTION("""COMPUTED_VALUE"""),0)</f>
        <v>0</v>
      </c>
      <c r="I231" s="39">
        <f ca="1">IFERROR(__xludf.DUMMYFUNCTION("""COMPUTED_VALUE"""),140)</f>
        <v>140</v>
      </c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</row>
    <row r="232" spans="1:26">
      <c r="A232" s="36" t="str">
        <f ca="1">IFERROR(__xludf.DUMMYFUNCTION("""COMPUTED_VALUE"""),"Quercus lyrata")</f>
        <v>Quercus lyrata</v>
      </c>
      <c r="B232" s="36">
        <f ca="1">IFERROR(__xludf.DUMMYFUNCTION("""COMPUTED_VALUE"""),5)</f>
        <v>5</v>
      </c>
      <c r="C232" s="36" t="str">
        <f ca="1">IFERROR(__xludf.DUMMYFUNCTION("""COMPUTED_VALUE"""),"Overcup Oak")</f>
        <v>Overcup Oak</v>
      </c>
      <c r="D232" s="36" t="str">
        <f ca="1">IFERROR(__xludf.DUMMYFUNCTION("""COMPUTED_VALUE"""),"#5")</f>
        <v>#5</v>
      </c>
      <c r="E232" s="37" t="str">
        <f ca="1">IFERROR(__xludf.DUMMYFUNCTION("""COMPUTED_VALUE"""),"0.25-0.5""")</f>
        <v>0.25-0.5"</v>
      </c>
      <c r="F232" s="36" t="str">
        <f ca="1">IFERROR(__xludf.DUMMYFUNCTION("""COMPUTED_VALUE"""),"2-4'")</f>
        <v>2-4'</v>
      </c>
      <c r="G232" s="38">
        <f ca="1">IFERROR(__xludf.DUMMYFUNCTION("""COMPUTED_VALUE"""),24)</f>
        <v>24</v>
      </c>
      <c r="H232" s="36">
        <f ca="1">IFERROR(__xludf.DUMMYFUNCTION("""COMPUTED_VALUE"""),0)</f>
        <v>0</v>
      </c>
      <c r="I232" s="39">
        <f ca="1">IFERROR(__xludf.DUMMYFUNCTION("""COMPUTED_VALUE"""),35)</f>
        <v>35</v>
      </c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</row>
    <row r="233" spans="1:26">
      <c r="A233" s="36" t="str">
        <f ca="1">IFERROR(__xludf.DUMMYFUNCTION("""COMPUTED_VALUE"""),"Quercus macrocarpa")</f>
        <v>Quercus macrocarpa</v>
      </c>
      <c r="B233" s="36">
        <f ca="1">IFERROR(__xludf.DUMMYFUNCTION("""COMPUTED_VALUE"""),5)</f>
        <v>5</v>
      </c>
      <c r="C233" s="36" t="str">
        <f ca="1">IFERROR(__xludf.DUMMYFUNCTION("""COMPUTED_VALUE"""),"Bur Oak")</f>
        <v>Bur Oak</v>
      </c>
      <c r="D233" s="36" t="str">
        <f ca="1">IFERROR(__xludf.DUMMYFUNCTION("""COMPUTED_VALUE"""),"#5")</f>
        <v>#5</v>
      </c>
      <c r="E233" s="37" t="str">
        <f ca="1">IFERROR(__xludf.DUMMYFUNCTION("""COMPUTED_VALUE"""),"0.25-0.5""")</f>
        <v>0.25-0.5"</v>
      </c>
      <c r="F233" s="36" t="str">
        <f ca="1">IFERROR(__xludf.DUMMYFUNCTION("""COMPUTED_VALUE"""),"2-4'")</f>
        <v>2-4'</v>
      </c>
      <c r="G233" s="38">
        <f ca="1">IFERROR(__xludf.DUMMYFUNCTION("""COMPUTED_VALUE"""),170)</f>
        <v>170</v>
      </c>
      <c r="H233" s="36">
        <f ca="1">IFERROR(__xludf.DUMMYFUNCTION("""COMPUTED_VALUE"""),0)</f>
        <v>0</v>
      </c>
      <c r="I233" s="39">
        <f ca="1">IFERROR(__xludf.DUMMYFUNCTION("""COMPUTED_VALUE"""),30)</f>
        <v>30</v>
      </c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</row>
    <row r="234" spans="1:26">
      <c r="A234" s="36" t="str">
        <f ca="1">IFERROR(__xludf.DUMMYFUNCTION("""COMPUTED_VALUE"""),"Quercus macrocarpa")</f>
        <v>Quercus macrocarpa</v>
      </c>
      <c r="B234" s="36">
        <f ca="1">IFERROR(__xludf.DUMMYFUNCTION("""COMPUTED_VALUE"""),15)</f>
        <v>15</v>
      </c>
      <c r="C234" s="36" t="str">
        <f ca="1">IFERROR(__xludf.DUMMYFUNCTION("""COMPUTED_VALUE"""),"Bur Oak")</f>
        <v>Bur Oak</v>
      </c>
      <c r="D234" s="36" t="str">
        <f ca="1">IFERROR(__xludf.DUMMYFUNCTION("""COMPUTED_VALUE"""),"#15")</f>
        <v>#15</v>
      </c>
      <c r="E234" s="37" t="str">
        <f ca="1">IFERROR(__xludf.DUMMYFUNCTION("""COMPUTED_VALUE"""),"0.75-1""")</f>
        <v>0.75-1"</v>
      </c>
      <c r="F234" s="36" t="str">
        <f ca="1">IFERROR(__xludf.DUMMYFUNCTION("""COMPUTED_VALUE"""),"8-10'")</f>
        <v>8-10'</v>
      </c>
      <c r="G234" s="38">
        <f ca="1">IFERROR(__xludf.DUMMYFUNCTION("""COMPUTED_VALUE"""),4)</f>
        <v>4</v>
      </c>
      <c r="H234" s="36">
        <f ca="1">IFERROR(__xludf.DUMMYFUNCTION("""COMPUTED_VALUE"""),25)</f>
        <v>25</v>
      </c>
      <c r="I234" s="39">
        <f ca="1">IFERROR(__xludf.DUMMYFUNCTION("""COMPUTED_VALUE"""),110)</f>
        <v>110</v>
      </c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</row>
    <row r="235" spans="1:26">
      <c r="A235" s="36" t="str">
        <f ca="1">IFERROR(__xludf.DUMMYFUNCTION("""COMPUTED_VALUE"""),"Quercus muehlenbergii")</f>
        <v>Quercus muehlenbergii</v>
      </c>
      <c r="B235" s="36">
        <f ca="1">IFERROR(__xludf.DUMMYFUNCTION("""COMPUTED_VALUE"""),5)</f>
        <v>5</v>
      </c>
      <c r="C235" s="36" t="str">
        <f ca="1">IFERROR(__xludf.DUMMYFUNCTION("""COMPUTED_VALUE"""),"Chinkapin Oak")</f>
        <v>Chinkapin Oak</v>
      </c>
      <c r="D235" s="36" t="str">
        <f ca="1">IFERROR(__xludf.DUMMYFUNCTION("""COMPUTED_VALUE"""),"#5")</f>
        <v>#5</v>
      </c>
      <c r="E235" s="37" t="str">
        <f ca="1">IFERROR(__xludf.DUMMYFUNCTION("""COMPUTED_VALUE"""),"0.5-0.75""")</f>
        <v>0.5-0.75"</v>
      </c>
      <c r="F235" s="36" t="str">
        <f ca="1">IFERROR(__xludf.DUMMYFUNCTION("""COMPUTED_VALUE"""),"4-5'")</f>
        <v>4-5'</v>
      </c>
      <c r="G235" s="38">
        <f ca="1">IFERROR(__xludf.DUMMYFUNCTION("""COMPUTED_VALUE"""),9)</f>
        <v>9</v>
      </c>
      <c r="H235" s="36">
        <f ca="1">IFERROR(__xludf.DUMMYFUNCTION("""COMPUTED_VALUE"""),0)</f>
        <v>0</v>
      </c>
      <c r="I235" s="39">
        <f ca="1">IFERROR(__xludf.DUMMYFUNCTION("""COMPUTED_VALUE"""),35)</f>
        <v>35</v>
      </c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</row>
    <row r="236" spans="1:26">
      <c r="A236" s="36" t="str">
        <f ca="1">IFERROR(__xludf.DUMMYFUNCTION("""COMPUTED_VALUE"""),"Quercus muehlenbergii")</f>
        <v>Quercus muehlenbergii</v>
      </c>
      <c r="B236" s="36">
        <f ca="1">IFERROR(__xludf.DUMMYFUNCTION("""COMPUTED_VALUE"""),15)</f>
        <v>15</v>
      </c>
      <c r="C236" s="36" t="str">
        <f ca="1">IFERROR(__xludf.DUMMYFUNCTION("""COMPUTED_VALUE"""),"Chinkapin Oak")</f>
        <v>Chinkapin Oak</v>
      </c>
      <c r="D236" s="36" t="str">
        <f ca="1">IFERROR(__xludf.DUMMYFUNCTION("""COMPUTED_VALUE"""),"#15")</f>
        <v>#15</v>
      </c>
      <c r="E236" s="37" t="str">
        <f ca="1">IFERROR(__xludf.DUMMYFUNCTION("""COMPUTED_VALUE"""),"1-1""")</f>
        <v>1-1"</v>
      </c>
      <c r="F236" s="36" t="str">
        <f ca="1">IFERROR(__xludf.DUMMYFUNCTION("""COMPUTED_VALUE"""),"7-10'")</f>
        <v>7-10'</v>
      </c>
      <c r="G236" s="38">
        <f ca="1">IFERROR(__xludf.DUMMYFUNCTION("""COMPUTED_VALUE"""),10)</f>
        <v>10</v>
      </c>
      <c r="H236" s="36">
        <f ca="1">IFERROR(__xludf.DUMMYFUNCTION("""COMPUTED_VALUE"""),0)</f>
        <v>0</v>
      </c>
      <c r="I236" s="39">
        <f ca="1">IFERROR(__xludf.DUMMYFUNCTION("""COMPUTED_VALUE"""),110)</f>
        <v>110</v>
      </c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</row>
    <row r="237" spans="1:26">
      <c r="A237" s="36" t="str">
        <f ca="1">IFERROR(__xludf.DUMMYFUNCTION("""COMPUTED_VALUE"""),"Quercus muehlenbergii")</f>
        <v>Quercus muehlenbergii</v>
      </c>
      <c r="B237" s="36">
        <f ca="1">IFERROR(__xludf.DUMMYFUNCTION("""COMPUTED_VALUE"""),25)</f>
        <v>25</v>
      </c>
      <c r="C237" s="36" t="str">
        <f ca="1">IFERROR(__xludf.DUMMYFUNCTION("""COMPUTED_VALUE"""),"Chinkapin Oak")</f>
        <v>Chinkapin Oak</v>
      </c>
      <c r="D237" s="36" t="str">
        <f ca="1">IFERROR(__xludf.DUMMYFUNCTION("""COMPUTED_VALUE"""),"#25")</f>
        <v>#25</v>
      </c>
      <c r="E237" s="37" t="str">
        <f ca="1">IFERROR(__xludf.DUMMYFUNCTION("""COMPUTED_VALUE"""),"1-1""")</f>
        <v>1-1"</v>
      </c>
      <c r="F237" s="36" t="str">
        <f ca="1">IFERROR(__xludf.DUMMYFUNCTION("""COMPUTED_VALUE"""),"10-10'")</f>
        <v>10-10'</v>
      </c>
      <c r="G237" s="38">
        <f ca="1">IFERROR(__xludf.DUMMYFUNCTION("""COMPUTED_VALUE"""),2)</f>
        <v>2</v>
      </c>
      <c r="H237" s="36">
        <f ca="1">IFERROR(__xludf.DUMMYFUNCTION("""COMPUTED_VALUE"""),0)</f>
        <v>0</v>
      </c>
      <c r="I237" s="39">
        <f ca="1">IFERROR(__xludf.DUMMYFUNCTION("""COMPUTED_VALUE"""),135)</f>
        <v>135</v>
      </c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</row>
    <row r="238" spans="1:26">
      <c r="A238" s="36" t="str">
        <f ca="1">IFERROR(__xludf.DUMMYFUNCTION("""COMPUTED_VALUE"""),"Quercus palustris")</f>
        <v>Quercus palustris</v>
      </c>
      <c r="B238" s="36">
        <f ca="1">IFERROR(__xludf.DUMMYFUNCTION("""COMPUTED_VALUE"""),5)</f>
        <v>5</v>
      </c>
      <c r="C238" s="36" t="str">
        <f ca="1">IFERROR(__xludf.DUMMYFUNCTION("""COMPUTED_VALUE"""),"Pin Oak")</f>
        <v>Pin Oak</v>
      </c>
      <c r="D238" s="36" t="str">
        <f ca="1">IFERROR(__xludf.DUMMYFUNCTION("""COMPUTED_VALUE"""),"#5")</f>
        <v>#5</v>
      </c>
      <c r="E238" s="37" t="str">
        <f ca="1">IFERROR(__xludf.DUMMYFUNCTION("""COMPUTED_VALUE"""),"0.5-1""")</f>
        <v>0.5-1"</v>
      </c>
      <c r="F238" s="36" t="str">
        <f ca="1">IFERROR(__xludf.DUMMYFUNCTION("""COMPUTED_VALUE"""),"3-6'")</f>
        <v>3-6'</v>
      </c>
      <c r="G238" s="38">
        <f ca="1">IFERROR(__xludf.DUMMYFUNCTION("""COMPUTED_VALUE"""),12)</f>
        <v>12</v>
      </c>
      <c r="H238" s="36">
        <f ca="1">IFERROR(__xludf.DUMMYFUNCTION("""COMPUTED_VALUE"""),50)</f>
        <v>50</v>
      </c>
      <c r="I238" s="39">
        <f ca="1">IFERROR(__xludf.DUMMYFUNCTION("""COMPUTED_VALUE"""),35)</f>
        <v>35</v>
      </c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</row>
    <row r="239" spans="1:26">
      <c r="A239" s="36" t="str">
        <f ca="1">IFERROR(__xludf.DUMMYFUNCTION("""COMPUTED_VALUE"""),"Quercus palustris")</f>
        <v>Quercus palustris</v>
      </c>
      <c r="B239" s="36">
        <f ca="1">IFERROR(__xludf.DUMMYFUNCTION("""COMPUTED_VALUE"""),15)</f>
        <v>15</v>
      </c>
      <c r="C239" s="36" t="str">
        <f ca="1">IFERROR(__xludf.DUMMYFUNCTION("""COMPUTED_VALUE"""),"Pin Oak")</f>
        <v>Pin Oak</v>
      </c>
      <c r="D239" s="36" t="str">
        <f ca="1">IFERROR(__xludf.DUMMYFUNCTION("""COMPUTED_VALUE"""),"#15")</f>
        <v>#15</v>
      </c>
      <c r="E239" s="37" t="str">
        <f ca="1">IFERROR(__xludf.DUMMYFUNCTION("""COMPUTED_VALUE"""),"1-1""")</f>
        <v>1-1"</v>
      </c>
      <c r="F239" s="36" t="str">
        <f ca="1">IFERROR(__xludf.DUMMYFUNCTION("""COMPUTED_VALUE"""),"8-9'")</f>
        <v>8-9'</v>
      </c>
      <c r="G239" s="38">
        <f ca="1">IFERROR(__xludf.DUMMYFUNCTION("""COMPUTED_VALUE"""),0)</f>
        <v>0</v>
      </c>
      <c r="H239" s="36">
        <f ca="1">IFERROR(__xludf.DUMMYFUNCTION("""COMPUTED_VALUE"""),10)</f>
        <v>10</v>
      </c>
      <c r="I239" s="39">
        <f ca="1">IFERROR(__xludf.DUMMYFUNCTION("""COMPUTED_VALUE"""),110)</f>
        <v>110</v>
      </c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</row>
    <row r="240" spans="1:26">
      <c r="A240" s="36" t="str">
        <f ca="1">IFERROR(__xludf.DUMMYFUNCTION("""COMPUTED_VALUE"""),"Quercus palustris")</f>
        <v>Quercus palustris</v>
      </c>
      <c r="B240" s="36">
        <f ca="1">IFERROR(__xludf.DUMMYFUNCTION("""COMPUTED_VALUE"""),25)</f>
        <v>25</v>
      </c>
      <c r="C240" s="36" t="str">
        <f ca="1">IFERROR(__xludf.DUMMYFUNCTION("""COMPUTED_VALUE"""),"Pin Oak")</f>
        <v>Pin Oak</v>
      </c>
      <c r="D240" s="36" t="str">
        <f ca="1">IFERROR(__xludf.DUMMYFUNCTION("""COMPUTED_VALUE"""),"#25")</f>
        <v>#25</v>
      </c>
      <c r="E240" s="37" t="str">
        <f ca="1">IFERROR(__xludf.DUMMYFUNCTION("""COMPUTED_VALUE"""),"1.25-1.25""")</f>
        <v>1.25-1.25"</v>
      </c>
      <c r="F240" s="36" t="str">
        <f ca="1">IFERROR(__xludf.DUMMYFUNCTION("""COMPUTED_VALUE"""),"8-8'")</f>
        <v>8-8'</v>
      </c>
      <c r="G240" s="38">
        <f ca="1">IFERROR(__xludf.DUMMYFUNCTION("""COMPUTED_VALUE"""),1)</f>
        <v>1</v>
      </c>
      <c r="H240" s="36">
        <f ca="1">IFERROR(__xludf.DUMMYFUNCTION("""COMPUTED_VALUE"""),5)</f>
        <v>5</v>
      </c>
      <c r="I240" s="39">
        <f ca="1">IFERROR(__xludf.DUMMYFUNCTION("""COMPUTED_VALUE"""),135)</f>
        <v>135</v>
      </c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</row>
    <row r="241" spans="1:26">
      <c r="A241" s="36" t="str">
        <f ca="1">IFERROR(__xludf.DUMMYFUNCTION("""COMPUTED_VALUE"""),"Quercus palustris 'Green Pillar'")</f>
        <v>Quercus palustris 'Green Pillar'</v>
      </c>
      <c r="B241" s="36">
        <f ca="1">IFERROR(__xludf.DUMMYFUNCTION("""COMPUTED_VALUE"""),25)</f>
        <v>25</v>
      </c>
      <c r="C241" s="36" t="str">
        <f ca="1">IFERROR(__xludf.DUMMYFUNCTION("""COMPUTED_VALUE"""),"Green Pillar Pin Oak")</f>
        <v>Green Pillar Pin Oak</v>
      </c>
      <c r="D241" s="36" t="str">
        <f ca="1">IFERROR(__xludf.DUMMYFUNCTION("""COMPUTED_VALUE"""),"#25")</f>
        <v>#25</v>
      </c>
      <c r="E241" s="37" t="str">
        <f ca="1">IFERROR(__xludf.DUMMYFUNCTION("""COMPUTED_VALUE"""),"1-1.25""")</f>
        <v>1-1.25"</v>
      </c>
      <c r="F241" s="36" t="str">
        <f ca="1">IFERROR(__xludf.DUMMYFUNCTION("""COMPUTED_VALUE"""),"7-9'")</f>
        <v>7-9'</v>
      </c>
      <c r="G241" s="38">
        <f ca="1">IFERROR(__xludf.DUMMYFUNCTION("""COMPUTED_VALUE"""),10)</f>
        <v>10</v>
      </c>
      <c r="H241" s="36">
        <f ca="1">IFERROR(__xludf.DUMMYFUNCTION("""COMPUTED_VALUE"""),0)</f>
        <v>0</v>
      </c>
      <c r="I241" s="39">
        <f ca="1">IFERROR(__xludf.DUMMYFUNCTION("""COMPUTED_VALUE"""),135)</f>
        <v>135</v>
      </c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</row>
    <row r="242" spans="1:26">
      <c r="A242" s="36" t="str">
        <f ca="1">IFERROR(__xludf.DUMMYFUNCTION("""COMPUTED_VALUE"""),"Quercus phellos")</f>
        <v>Quercus phellos</v>
      </c>
      <c r="B242" s="36">
        <f ca="1">IFERROR(__xludf.DUMMYFUNCTION("""COMPUTED_VALUE"""),5)</f>
        <v>5</v>
      </c>
      <c r="C242" s="36" t="str">
        <f ca="1">IFERROR(__xludf.DUMMYFUNCTION("""COMPUTED_VALUE"""),"Willow Oak")</f>
        <v>Willow Oak</v>
      </c>
      <c r="D242" s="36" t="str">
        <f ca="1">IFERROR(__xludf.DUMMYFUNCTION("""COMPUTED_VALUE"""),"#5")</f>
        <v>#5</v>
      </c>
      <c r="E242" s="37" t="str">
        <f ca="1">IFERROR(__xludf.DUMMYFUNCTION("""COMPUTED_VALUE"""),"0.5-0.75""")</f>
        <v>0.5-0.75"</v>
      </c>
      <c r="F242" s="36" t="str">
        <f ca="1">IFERROR(__xludf.DUMMYFUNCTION("""COMPUTED_VALUE"""),"2-5'")</f>
        <v>2-5'</v>
      </c>
      <c r="G242" s="38">
        <f ca="1">IFERROR(__xludf.DUMMYFUNCTION("""COMPUTED_VALUE"""),142)</f>
        <v>142</v>
      </c>
      <c r="H242" s="36">
        <f ca="1">IFERROR(__xludf.DUMMYFUNCTION("""COMPUTED_VALUE"""),100)</f>
        <v>100</v>
      </c>
      <c r="I242" s="39">
        <f ca="1">IFERROR(__xludf.DUMMYFUNCTION("""COMPUTED_VALUE"""),35)</f>
        <v>35</v>
      </c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</row>
    <row r="243" spans="1:26">
      <c r="A243" s="36" t="str">
        <f ca="1">IFERROR(__xludf.DUMMYFUNCTION("""COMPUTED_VALUE"""),"Quercus prinus")</f>
        <v>Quercus prinus</v>
      </c>
      <c r="B243" s="36">
        <f ca="1">IFERROR(__xludf.DUMMYFUNCTION("""COMPUTED_VALUE"""),5)</f>
        <v>5</v>
      </c>
      <c r="C243" s="36" t="str">
        <f ca="1">IFERROR(__xludf.DUMMYFUNCTION("""COMPUTED_VALUE"""),"Chestnut Oak")</f>
        <v>Chestnut Oak</v>
      </c>
      <c r="D243" s="36" t="str">
        <f ca="1">IFERROR(__xludf.DUMMYFUNCTION("""COMPUTED_VALUE"""),"#5")</f>
        <v>#5</v>
      </c>
      <c r="E243" s="37" t="str">
        <f ca="1">IFERROR(__xludf.DUMMYFUNCTION("""COMPUTED_VALUE"""),"0.5-1.25""")</f>
        <v>0.5-1.25"</v>
      </c>
      <c r="F243" s="36" t="str">
        <f ca="1">IFERROR(__xludf.DUMMYFUNCTION("""COMPUTED_VALUE"""),"3-8'")</f>
        <v>3-8'</v>
      </c>
      <c r="G243" s="38">
        <f ca="1">IFERROR(__xludf.DUMMYFUNCTION("""COMPUTED_VALUE"""),93)</f>
        <v>93</v>
      </c>
      <c r="H243" s="36">
        <f ca="1">IFERROR(__xludf.DUMMYFUNCTION("""COMPUTED_VALUE"""),0)</f>
        <v>0</v>
      </c>
      <c r="I243" s="39">
        <f ca="1">IFERROR(__xludf.DUMMYFUNCTION("""COMPUTED_VALUE"""),35)</f>
        <v>35</v>
      </c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</row>
    <row r="244" spans="1:26">
      <c r="A244" s="36" t="str">
        <f ca="1">IFERROR(__xludf.DUMMYFUNCTION("""COMPUTED_VALUE"""),"Quercus rubra")</f>
        <v>Quercus rubra</v>
      </c>
      <c r="B244" s="36">
        <f ca="1">IFERROR(__xludf.DUMMYFUNCTION("""COMPUTED_VALUE"""),5)</f>
        <v>5</v>
      </c>
      <c r="C244" s="36" t="str">
        <f ca="1">IFERROR(__xludf.DUMMYFUNCTION("""COMPUTED_VALUE"""),"Red Oak")</f>
        <v>Red Oak</v>
      </c>
      <c r="D244" s="36" t="str">
        <f ca="1">IFERROR(__xludf.DUMMYFUNCTION("""COMPUTED_VALUE"""),"#5")</f>
        <v>#5</v>
      </c>
      <c r="E244" s="37" t="str">
        <f ca="1">IFERROR(__xludf.DUMMYFUNCTION("""COMPUTED_VALUE"""),"0.5-0.75""")</f>
        <v>0.5-0.75"</v>
      </c>
      <c r="F244" s="36" t="str">
        <f ca="1">IFERROR(__xludf.DUMMYFUNCTION("""COMPUTED_VALUE"""),"3-6'")</f>
        <v>3-6'</v>
      </c>
      <c r="G244" s="38">
        <f ca="1">IFERROR(__xludf.DUMMYFUNCTION("""COMPUTED_VALUE"""),150)</f>
        <v>150</v>
      </c>
      <c r="H244" s="36">
        <f ca="1">IFERROR(__xludf.DUMMYFUNCTION("""COMPUTED_VALUE"""),50)</f>
        <v>50</v>
      </c>
      <c r="I244" s="39">
        <f ca="1">IFERROR(__xludf.DUMMYFUNCTION("""COMPUTED_VALUE"""),35)</f>
        <v>35</v>
      </c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</row>
    <row r="245" spans="1:26">
      <c r="A245" s="36" t="str">
        <f ca="1">IFERROR(__xludf.DUMMYFUNCTION("""COMPUTED_VALUE"""),"Quercus rubra")</f>
        <v>Quercus rubra</v>
      </c>
      <c r="B245" s="36">
        <f ca="1">IFERROR(__xludf.DUMMYFUNCTION("""COMPUTED_VALUE"""),7)</f>
        <v>7</v>
      </c>
      <c r="C245" s="36" t="str">
        <f ca="1">IFERROR(__xludf.DUMMYFUNCTION("""COMPUTED_VALUE"""),"Red Oak")</f>
        <v>Red Oak</v>
      </c>
      <c r="D245" s="36" t="str">
        <f ca="1">IFERROR(__xludf.DUMMYFUNCTION("""COMPUTED_VALUE"""),"#7")</f>
        <v>#7</v>
      </c>
      <c r="E245" s="37" t="str">
        <f ca="1">IFERROR(__xludf.DUMMYFUNCTION("""COMPUTED_VALUE"""),"0.5-0.5""")</f>
        <v>0.5-0.5"</v>
      </c>
      <c r="F245" s="36" t="str">
        <f ca="1">IFERROR(__xludf.DUMMYFUNCTION("""COMPUTED_VALUE"""),"5-5'")</f>
        <v>5-5'</v>
      </c>
      <c r="G245" s="38">
        <f ca="1">IFERROR(__xludf.DUMMYFUNCTION("""COMPUTED_VALUE"""),5)</f>
        <v>5</v>
      </c>
      <c r="H245" s="36">
        <f ca="1">IFERROR(__xludf.DUMMYFUNCTION("""COMPUTED_VALUE"""),20)</f>
        <v>20</v>
      </c>
      <c r="I245" s="39">
        <f ca="1">IFERROR(__xludf.DUMMYFUNCTION("""COMPUTED_VALUE"""),50)</f>
        <v>50</v>
      </c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</row>
    <row r="246" spans="1:26">
      <c r="A246" s="36" t="str">
        <f ca="1">IFERROR(__xludf.DUMMYFUNCTION("""COMPUTED_VALUE"""),"Quercus rubra")</f>
        <v>Quercus rubra</v>
      </c>
      <c r="B246" s="36">
        <f ca="1">IFERROR(__xludf.DUMMYFUNCTION("""COMPUTED_VALUE"""),15)</f>
        <v>15</v>
      </c>
      <c r="C246" s="36" t="str">
        <f ca="1">IFERROR(__xludf.DUMMYFUNCTION("""COMPUTED_VALUE"""),"Red Oak")</f>
        <v>Red Oak</v>
      </c>
      <c r="D246" s="36" t="str">
        <f ca="1">IFERROR(__xludf.DUMMYFUNCTION("""COMPUTED_VALUE"""),"#15")</f>
        <v>#15</v>
      </c>
      <c r="E246" s="37" t="str">
        <f ca="1">IFERROR(__xludf.DUMMYFUNCTION("""COMPUTED_VALUE"""),"1-1.25""")</f>
        <v>1-1.25"</v>
      </c>
      <c r="F246" s="36" t="str">
        <f ca="1">IFERROR(__xludf.DUMMYFUNCTION("""COMPUTED_VALUE"""),"9-11'")</f>
        <v>9-11'</v>
      </c>
      <c r="G246" s="38">
        <f ca="1">IFERROR(__xludf.DUMMYFUNCTION("""COMPUTED_VALUE"""),5)</f>
        <v>5</v>
      </c>
      <c r="H246" s="36">
        <f ca="1">IFERROR(__xludf.DUMMYFUNCTION("""COMPUTED_VALUE"""),10)</f>
        <v>10</v>
      </c>
      <c r="I246" s="39">
        <f ca="1">IFERROR(__xludf.DUMMYFUNCTION("""COMPUTED_VALUE"""),110)</f>
        <v>110</v>
      </c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</row>
    <row r="247" spans="1:26">
      <c r="A247" s="36" t="str">
        <f ca="1">IFERROR(__xludf.DUMMYFUNCTION("""COMPUTED_VALUE"""),"Quercus shumardii")</f>
        <v>Quercus shumardii</v>
      </c>
      <c r="B247" s="36">
        <f ca="1">IFERROR(__xludf.DUMMYFUNCTION("""COMPUTED_VALUE"""),25)</f>
        <v>25</v>
      </c>
      <c r="C247" s="36" t="str">
        <f ca="1">IFERROR(__xludf.DUMMYFUNCTION("""COMPUTED_VALUE"""),"Shumard Oak")</f>
        <v>Shumard Oak</v>
      </c>
      <c r="D247" s="36" t="str">
        <f ca="1">IFERROR(__xludf.DUMMYFUNCTION("""COMPUTED_VALUE"""),"#25")</f>
        <v>#25</v>
      </c>
      <c r="E247" s="37" t="str">
        <f ca="1">IFERROR(__xludf.DUMMYFUNCTION("""COMPUTED_VALUE"""),"1-1.75""")</f>
        <v>1-1.75"</v>
      </c>
      <c r="F247" s="36" t="str">
        <f ca="1">IFERROR(__xludf.DUMMYFUNCTION("""COMPUTED_VALUE"""),"10-12'")</f>
        <v>10-12'</v>
      </c>
      <c r="G247" s="38">
        <f ca="1">IFERROR(__xludf.DUMMYFUNCTION("""COMPUTED_VALUE"""),9)</f>
        <v>9</v>
      </c>
      <c r="H247" s="36">
        <f ca="1">IFERROR(__xludf.DUMMYFUNCTION("""COMPUTED_VALUE"""),0)</f>
        <v>0</v>
      </c>
      <c r="I247" s="39">
        <f ca="1">IFERROR(__xludf.DUMMYFUNCTION("""COMPUTED_VALUE"""),135)</f>
        <v>135</v>
      </c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</row>
    <row r="248" spans="1:26">
      <c r="A248" s="36" t="str">
        <f ca="1">IFERROR(__xludf.DUMMYFUNCTION("""COMPUTED_VALUE"""),"Quercus velutina")</f>
        <v>Quercus velutina</v>
      </c>
      <c r="B248" s="36">
        <f ca="1">IFERROR(__xludf.DUMMYFUNCTION("""COMPUTED_VALUE"""),5)</f>
        <v>5</v>
      </c>
      <c r="C248" s="36" t="str">
        <f ca="1">IFERROR(__xludf.DUMMYFUNCTION("""COMPUTED_VALUE"""),"Black Oak")</f>
        <v>Black Oak</v>
      </c>
      <c r="D248" s="36" t="str">
        <f ca="1">IFERROR(__xludf.DUMMYFUNCTION("""COMPUTED_VALUE"""),"#5")</f>
        <v>#5</v>
      </c>
      <c r="E248" s="37" t="str">
        <f ca="1">IFERROR(__xludf.DUMMYFUNCTION("""COMPUTED_VALUE"""),"0.5-0.75""")</f>
        <v>0.5-0.75"</v>
      </c>
      <c r="F248" s="36" t="str">
        <f ca="1">IFERROR(__xludf.DUMMYFUNCTION("""COMPUTED_VALUE"""),"4-5'")</f>
        <v>4-5'</v>
      </c>
      <c r="G248" s="38">
        <f ca="1">IFERROR(__xludf.DUMMYFUNCTION("""COMPUTED_VALUE"""),10)</f>
        <v>10</v>
      </c>
      <c r="H248" s="36">
        <f ca="1">IFERROR(__xludf.DUMMYFUNCTION("""COMPUTED_VALUE"""),40)</f>
        <v>40</v>
      </c>
      <c r="I248" s="39">
        <f ca="1">IFERROR(__xludf.DUMMYFUNCTION("""COMPUTED_VALUE"""),35)</f>
        <v>35</v>
      </c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</row>
    <row r="249" spans="1:26">
      <c r="A249" s="36" t="str">
        <f ca="1">IFERROR(__xludf.DUMMYFUNCTION("""COMPUTED_VALUE"""),"Quercus velutina")</f>
        <v>Quercus velutina</v>
      </c>
      <c r="B249" s="36">
        <f ca="1">IFERROR(__xludf.DUMMYFUNCTION("""COMPUTED_VALUE"""),7)</f>
        <v>7</v>
      </c>
      <c r="C249" s="36" t="str">
        <f ca="1">IFERROR(__xludf.DUMMYFUNCTION("""COMPUTED_VALUE"""),"Black Oak")</f>
        <v>Black Oak</v>
      </c>
      <c r="D249" s="36" t="str">
        <f ca="1">IFERROR(__xludf.DUMMYFUNCTION("""COMPUTED_VALUE"""),"#7")</f>
        <v>#7</v>
      </c>
      <c r="E249" s="37" t="str">
        <f ca="1">IFERROR(__xludf.DUMMYFUNCTION("""COMPUTED_VALUE"""),"0.5-0.75""")</f>
        <v>0.5-0.75"</v>
      </c>
      <c r="F249" s="36" t="str">
        <f ca="1">IFERROR(__xludf.DUMMYFUNCTION("""COMPUTED_VALUE"""),"4-5'")</f>
        <v>4-5'</v>
      </c>
      <c r="G249" s="38">
        <f ca="1">IFERROR(__xludf.DUMMYFUNCTION("""COMPUTED_VALUE"""),12)</f>
        <v>12</v>
      </c>
      <c r="H249" s="36">
        <f ca="1">IFERROR(__xludf.DUMMYFUNCTION("""COMPUTED_VALUE"""),0)</f>
        <v>0</v>
      </c>
      <c r="I249" s="39">
        <f ca="1">IFERROR(__xludf.DUMMYFUNCTION("""COMPUTED_VALUE"""),50)</f>
        <v>50</v>
      </c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</row>
    <row r="250" spans="1:26">
      <c r="A250" s="36" t="str">
        <f ca="1">IFERROR(__xludf.DUMMYFUNCTION("""COMPUTED_VALUE"""),"Quercus x warei 'Regal Prince'")</f>
        <v>Quercus x warei 'Regal Prince'</v>
      </c>
      <c r="B250" s="36">
        <f ca="1">IFERROR(__xludf.DUMMYFUNCTION("""COMPUTED_VALUE"""),5)</f>
        <v>5</v>
      </c>
      <c r="C250" s="36" t="str">
        <f ca="1">IFERROR(__xludf.DUMMYFUNCTION("""COMPUTED_VALUE"""),"Regal Prince Oak")</f>
        <v>Regal Prince Oak</v>
      </c>
      <c r="D250" s="36" t="str">
        <f ca="1">IFERROR(__xludf.DUMMYFUNCTION("""COMPUTED_VALUE"""),"#5")</f>
        <v>#5</v>
      </c>
      <c r="E250" s="37" t="str">
        <f ca="1">IFERROR(__xludf.DUMMYFUNCTION("""COMPUTED_VALUE"""),"0.5-0.75""")</f>
        <v>0.5-0.75"</v>
      </c>
      <c r="F250" s="36" t="str">
        <f ca="1">IFERROR(__xludf.DUMMYFUNCTION("""COMPUTED_VALUE"""),"4-5'")</f>
        <v>4-5'</v>
      </c>
      <c r="G250" s="38">
        <f ca="1">IFERROR(__xludf.DUMMYFUNCTION("""COMPUTED_VALUE"""),27)</f>
        <v>27</v>
      </c>
      <c r="H250" s="36">
        <f ca="1">IFERROR(__xludf.DUMMYFUNCTION("""COMPUTED_VALUE"""),0)</f>
        <v>0</v>
      </c>
      <c r="I250" s="39">
        <f ca="1">IFERROR(__xludf.DUMMYFUNCTION("""COMPUTED_VALUE"""),40)</f>
        <v>40</v>
      </c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</row>
    <row r="251" spans="1:26">
      <c r="A251" s="36" t="str">
        <f ca="1">IFERROR(__xludf.DUMMYFUNCTION("""COMPUTED_VALUE"""),"Quercus x warei 'Regal Prince'")</f>
        <v>Quercus x warei 'Regal Prince'</v>
      </c>
      <c r="B251" s="36">
        <f ca="1">IFERROR(__xludf.DUMMYFUNCTION("""COMPUTED_VALUE"""),7)</f>
        <v>7</v>
      </c>
      <c r="C251" s="36" t="str">
        <f ca="1">IFERROR(__xludf.DUMMYFUNCTION("""COMPUTED_VALUE"""),"Regal Prince Oak")</f>
        <v>Regal Prince Oak</v>
      </c>
      <c r="D251" s="36" t="str">
        <f ca="1">IFERROR(__xludf.DUMMYFUNCTION("""COMPUTED_VALUE"""),"#7")</f>
        <v>#7</v>
      </c>
      <c r="E251" s="37" t="str">
        <f ca="1">IFERROR(__xludf.DUMMYFUNCTION("""COMPUTED_VALUE"""),"0.25-0.5""")</f>
        <v>0.25-0.5"</v>
      </c>
      <c r="F251" s="36" t="str">
        <f ca="1">IFERROR(__xludf.DUMMYFUNCTION("""COMPUTED_VALUE"""),"2-3'")</f>
        <v>2-3'</v>
      </c>
      <c r="G251" s="38">
        <f ca="1">IFERROR(__xludf.DUMMYFUNCTION("""COMPUTED_VALUE"""),0)</f>
        <v>0</v>
      </c>
      <c r="H251" s="36">
        <f ca="1">IFERROR(__xludf.DUMMYFUNCTION("""COMPUTED_VALUE"""),10)</f>
        <v>10</v>
      </c>
      <c r="I251" s="39">
        <f ca="1">IFERROR(__xludf.DUMMYFUNCTION("""COMPUTED_VALUE"""),50)</f>
        <v>50</v>
      </c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</row>
    <row r="252" spans="1:26">
      <c r="A252" s="36" t="str">
        <f ca="1">IFERROR(__xludf.DUMMYFUNCTION("""COMPUTED_VALUE"""),"Quercus x warei 'Regal Prince'")</f>
        <v>Quercus x warei 'Regal Prince'</v>
      </c>
      <c r="B252" s="36">
        <f ca="1">IFERROR(__xludf.DUMMYFUNCTION("""COMPUTED_VALUE"""),15)</f>
        <v>15</v>
      </c>
      <c r="C252" s="36" t="str">
        <f ca="1">IFERROR(__xludf.DUMMYFUNCTION("""COMPUTED_VALUE"""),"Regal Prince Oak")</f>
        <v>Regal Prince Oak</v>
      </c>
      <c r="D252" s="36" t="str">
        <f ca="1">IFERROR(__xludf.DUMMYFUNCTION("""COMPUTED_VALUE"""),"#15")</f>
        <v>#15</v>
      </c>
      <c r="E252" s="37" t="str">
        <f ca="1">IFERROR(__xludf.DUMMYFUNCTION("""COMPUTED_VALUE"""),"1-1.5""")</f>
        <v>1-1.5"</v>
      </c>
      <c r="F252" s="36" t="str">
        <f ca="1">IFERROR(__xludf.DUMMYFUNCTION("""COMPUTED_VALUE"""),"8-11'")</f>
        <v>8-11'</v>
      </c>
      <c r="G252" s="38">
        <f ca="1">IFERROR(__xludf.DUMMYFUNCTION("""COMPUTED_VALUE"""),4)</f>
        <v>4</v>
      </c>
      <c r="H252" s="36">
        <f ca="1">IFERROR(__xludf.DUMMYFUNCTION("""COMPUTED_VALUE"""),5)</f>
        <v>5</v>
      </c>
      <c r="I252" s="39">
        <f ca="1">IFERROR(__xludf.DUMMYFUNCTION("""COMPUTED_VALUE"""),110)</f>
        <v>110</v>
      </c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</row>
    <row r="253" spans="1:26">
      <c r="A253" s="36" t="str">
        <f ca="1">IFERROR(__xludf.DUMMYFUNCTION("""COMPUTED_VALUE"""),"Quercus x warei 'Regal Prince'")</f>
        <v>Quercus x warei 'Regal Prince'</v>
      </c>
      <c r="B253" s="36">
        <f ca="1">IFERROR(__xludf.DUMMYFUNCTION("""COMPUTED_VALUE"""),25)</f>
        <v>25</v>
      </c>
      <c r="C253" s="36" t="str">
        <f ca="1">IFERROR(__xludf.DUMMYFUNCTION("""COMPUTED_VALUE"""),"Regal Prince Oak")</f>
        <v>Regal Prince Oak</v>
      </c>
      <c r="D253" s="36" t="str">
        <f ca="1">IFERROR(__xludf.DUMMYFUNCTION("""COMPUTED_VALUE"""),"#25")</f>
        <v>#25</v>
      </c>
      <c r="E253" s="37" t="str">
        <f ca="1">IFERROR(__xludf.DUMMYFUNCTION("""COMPUTED_VALUE"""),"1-1.5""")</f>
        <v>1-1.5"</v>
      </c>
      <c r="F253" s="36" t="str">
        <f ca="1">IFERROR(__xludf.DUMMYFUNCTION("""COMPUTED_VALUE"""),"8-11'")</f>
        <v>8-11'</v>
      </c>
      <c r="G253" s="38">
        <f ca="1">IFERROR(__xludf.DUMMYFUNCTION("""COMPUTED_VALUE"""),9)</f>
        <v>9</v>
      </c>
      <c r="H253" s="36">
        <f ca="1">IFERROR(__xludf.DUMMYFUNCTION("""COMPUTED_VALUE"""),0)</f>
        <v>0</v>
      </c>
      <c r="I253" s="39">
        <f ca="1">IFERROR(__xludf.DUMMYFUNCTION("""COMPUTED_VALUE"""),135)</f>
        <v>135</v>
      </c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</row>
    <row r="254" spans="1:26">
      <c r="A254" s="36" t="str">
        <f ca="1">IFERROR(__xludf.DUMMYFUNCTION("""COMPUTED_VALUE"""),"Rhus aromatica")</f>
        <v>Rhus aromatica</v>
      </c>
      <c r="B254" s="36">
        <f ca="1">IFERROR(__xludf.DUMMYFUNCTION("""COMPUTED_VALUE"""),5)</f>
        <v>5</v>
      </c>
      <c r="C254" s="36" t="str">
        <f ca="1">IFERROR(__xludf.DUMMYFUNCTION("""COMPUTED_VALUE"""),"Fragrant Sumac")</f>
        <v>Fragrant Sumac</v>
      </c>
      <c r="D254" s="36" t="str">
        <f ca="1">IFERROR(__xludf.DUMMYFUNCTION("""COMPUTED_VALUE"""),"#5")</f>
        <v>#5</v>
      </c>
      <c r="E254" s="40" t="str">
        <f ca="1">IFERROR(__xludf.DUMMYFUNCTION("""COMPUTED_VALUE"""),"Multi")</f>
        <v>Multi</v>
      </c>
      <c r="F254" s="36" t="str">
        <f ca="1">IFERROR(__xludf.DUMMYFUNCTION("""COMPUTED_VALUE"""),"2-5'")</f>
        <v>2-5'</v>
      </c>
      <c r="G254" s="38">
        <f ca="1">IFERROR(__xludf.DUMMYFUNCTION("""COMPUTED_VALUE"""),22)</f>
        <v>22</v>
      </c>
      <c r="H254" s="36">
        <f ca="1">IFERROR(__xludf.DUMMYFUNCTION("""COMPUTED_VALUE"""),50)</f>
        <v>50</v>
      </c>
      <c r="I254" s="39">
        <f ca="1">IFERROR(__xludf.DUMMYFUNCTION("""COMPUTED_VALUE"""),30)</f>
        <v>30</v>
      </c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</row>
    <row r="255" spans="1:26">
      <c r="A255" s="36" t="str">
        <f ca="1">IFERROR(__xludf.DUMMYFUNCTION("""COMPUTED_VALUE"""),"Rhus glabra")</f>
        <v>Rhus glabra</v>
      </c>
      <c r="B255" s="36">
        <f ca="1">IFERROR(__xludf.DUMMYFUNCTION("""COMPUTED_VALUE"""),5)</f>
        <v>5</v>
      </c>
      <c r="C255" s="36" t="str">
        <f ca="1">IFERROR(__xludf.DUMMYFUNCTION("""COMPUTED_VALUE"""),"Smooth Sumac")</f>
        <v>Smooth Sumac</v>
      </c>
      <c r="D255" s="36" t="str">
        <f ca="1">IFERROR(__xludf.DUMMYFUNCTION("""COMPUTED_VALUE"""),"#5")</f>
        <v>#5</v>
      </c>
      <c r="E255" s="37" t="str">
        <f ca="1">IFERROR(__xludf.DUMMYFUNCTION("""COMPUTED_VALUE"""),"1-1""")</f>
        <v>1-1"</v>
      </c>
      <c r="F255" s="36" t="str">
        <f ca="1">IFERROR(__xludf.DUMMYFUNCTION("""COMPUTED_VALUE"""),"8-8'")</f>
        <v>8-8'</v>
      </c>
      <c r="G255" s="38">
        <f ca="1">IFERROR(__xludf.DUMMYFUNCTION("""COMPUTED_VALUE"""),2)</f>
        <v>2</v>
      </c>
      <c r="H255" s="36">
        <f ca="1">IFERROR(__xludf.DUMMYFUNCTION("""COMPUTED_VALUE"""),50)</f>
        <v>50</v>
      </c>
      <c r="I255" s="39">
        <f ca="1">IFERROR(__xludf.DUMMYFUNCTION("""COMPUTED_VALUE"""),35)</f>
        <v>35</v>
      </c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</row>
    <row r="256" spans="1:26">
      <c r="A256" s="36" t="str">
        <f ca="1">IFERROR(__xludf.DUMMYFUNCTION("""COMPUTED_VALUE"""),"Rhus typhina")</f>
        <v>Rhus typhina</v>
      </c>
      <c r="B256" s="36">
        <f ca="1">IFERROR(__xludf.DUMMYFUNCTION("""COMPUTED_VALUE"""),5)</f>
        <v>5</v>
      </c>
      <c r="C256" s="36" t="str">
        <f ca="1">IFERROR(__xludf.DUMMYFUNCTION("""COMPUTED_VALUE"""),"Staghorn Sumac")</f>
        <v>Staghorn Sumac</v>
      </c>
      <c r="D256" s="36" t="str">
        <f ca="1">IFERROR(__xludf.DUMMYFUNCTION("""COMPUTED_VALUE"""),"#5")</f>
        <v>#5</v>
      </c>
      <c r="E256" s="37" t="str">
        <f ca="1">IFERROR(__xludf.DUMMYFUNCTION("""COMPUTED_VALUE"""),"1-1.25""")</f>
        <v>1-1.25"</v>
      </c>
      <c r="F256" s="36" t="str">
        <f ca="1">IFERROR(__xludf.DUMMYFUNCTION("""COMPUTED_VALUE"""),"3-4.5'")</f>
        <v>3-4.5'</v>
      </c>
      <c r="G256" s="38">
        <f ca="1">IFERROR(__xludf.DUMMYFUNCTION("""COMPUTED_VALUE"""),2)</f>
        <v>2</v>
      </c>
      <c r="H256" s="36">
        <f ca="1">IFERROR(__xludf.DUMMYFUNCTION("""COMPUTED_VALUE"""),50)</f>
        <v>50</v>
      </c>
      <c r="I256" s="39">
        <f ca="1">IFERROR(__xludf.DUMMYFUNCTION("""COMPUTED_VALUE"""),35)</f>
        <v>35</v>
      </c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</row>
    <row r="257" spans="1:26">
      <c r="A257" s="36" t="str">
        <f ca="1">IFERROR(__xludf.DUMMYFUNCTION("""COMPUTED_VALUE"""),"Ribies ")</f>
        <v xml:space="preserve">Ribies </v>
      </c>
      <c r="B257" s="36">
        <f ca="1">IFERROR(__xludf.DUMMYFUNCTION("""COMPUTED_VALUE"""),5)</f>
        <v>5</v>
      </c>
      <c r="C257" s="36" t="str">
        <f ca="1">IFERROR(__xludf.DUMMYFUNCTION("""COMPUTED_VALUE"""),"King Edward Flowering Currant")</f>
        <v>King Edward Flowering Currant</v>
      </c>
      <c r="D257" s="36" t="str">
        <f ca="1">IFERROR(__xludf.DUMMYFUNCTION("""COMPUTED_VALUE"""),"#5")</f>
        <v>#5</v>
      </c>
      <c r="E257" s="37" t="str">
        <f ca="1">IFERROR(__xludf.DUMMYFUNCTION("""COMPUTED_VALUE"""),"Multi")</f>
        <v>Multi</v>
      </c>
      <c r="F257" s="36" t="str">
        <f ca="1">IFERROR(__xludf.DUMMYFUNCTION("""COMPUTED_VALUE"""),"1-2.5'")</f>
        <v>1-2.5'</v>
      </c>
      <c r="G257" s="38">
        <f ca="1">IFERROR(__xludf.DUMMYFUNCTION("""COMPUTED_VALUE"""),23)</f>
        <v>23</v>
      </c>
      <c r="H257" s="36">
        <f ca="1">IFERROR(__xludf.DUMMYFUNCTION("""COMPUTED_VALUE"""),0)</f>
        <v>0</v>
      </c>
      <c r="I257" s="39">
        <f ca="1">IFERROR(__xludf.DUMMYFUNCTION("""COMPUTED_VALUE"""),30)</f>
        <v>30</v>
      </c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</row>
    <row r="258" spans="1:26">
      <c r="A258" s="36" t="str">
        <f ca="1">IFERROR(__xludf.DUMMYFUNCTION("""COMPUTED_VALUE"""),"Robinia 'Purple Robe'")</f>
        <v>Robinia 'Purple Robe'</v>
      </c>
      <c r="B258" s="36">
        <f ca="1">IFERROR(__xludf.DUMMYFUNCTION("""COMPUTED_VALUE"""),15)</f>
        <v>15</v>
      </c>
      <c r="C258" s="36" t="str">
        <f ca="1">IFERROR(__xludf.DUMMYFUNCTION("""COMPUTED_VALUE"""),"Purple Robe Black Locust")</f>
        <v>Purple Robe Black Locust</v>
      </c>
      <c r="D258" s="36" t="str">
        <f ca="1">IFERROR(__xludf.DUMMYFUNCTION("""COMPUTED_VALUE"""),"#15")</f>
        <v>#15</v>
      </c>
      <c r="E258" s="37" t="str">
        <f ca="1">IFERROR(__xludf.DUMMYFUNCTION("""COMPUTED_VALUE"""),"1.25-1.25""")</f>
        <v>1.25-1.25"</v>
      </c>
      <c r="F258" s="36" t="str">
        <f ca="1">IFERROR(__xludf.DUMMYFUNCTION("""COMPUTED_VALUE"""),"9-11'")</f>
        <v>9-11'</v>
      </c>
      <c r="G258" s="38">
        <f ca="1">IFERROR(__xludf.DUMMYFUNCTION("""COMPUTED_VALUE"""),4)</f>
        <v>4</v>
      </c>
      <c r="H258" s="36">
        <f ca="1">IFERROR(__xludf.DUMMYFUNCTION("""COMPUTED_VALUE"""),0)</f>
        <v>0</v>
      </c>
      <c r="I258" s="39">
        <f ca="1">IFERROR(__xludf.DUMMYFUNCTION("""COMPUTED_VALUE"""),110)</f>
        <v>110</v>
      </c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</row>
    <row r="259" spans="1:26">
      <c r="A259" s="36" t="str">
        <f ca="1">IFERROR(__xludf.DUMMYFUNCTION("""COMPUTED_VALUE"""),"Robinia pseudoacacia")</f>
        <v>Robinia pseudoacacia</v>
      </c>
      <c r="B259" s="36">
        <f ca="1">IFERROR(__xludf.DUMMYFUNCTION("""COMPUTED_VALUE"""),5)</f>
        <v>5</v>
      </c>
      <c r="C259" s="36" t="str">
        <f ca="1">IFERROR(__xludf.DUMMYFUNCTION("""COMPUTED_VALUE"""),"Black Locust")</f>
        <v>Black Locust</v>
      </c>
      <c r="D259" s="36" t="str">
        <f ca="1">IFERROR(__xludf.DUMMYFUNCTION("""COMPUTED_VALUE"""),"#5")</f>
        <v>#5</v>
      </c>
      <c r="E259" s="37" t="str">
        <f ca="1">IFERROR(__xludf.DUMMYFUNCTION("""COMPUTED_VALUE"""),"0.5-1""")</f>
        <v>0.5-1"</v>
      </c>
      <c r="F259" s="36" t="str">
        <f ca="1">IFERROR(__xludf.DUMMYFUNCTION("""COMPUTED_VALUE"""),"5-8'")</f>
        <v>5-8'</v>
      </c>
      <c r="G259" s="38">
        <f ca="1">IFERROR(__xludf.DUMMYFUNCTION("""COMPUTED_VALUE"""),19)</f>
        <v>19</v>
      </c>
      <c r="H259" s="36">
        <f ca="1">IFERROR(__xludf.DUMMYFUNCTION("""COMPUTED_VALUE"""),0)</f>
        <v>0</v>
      </c>
      <c r="I259" s="39">
        <f ca="1">IFERROR(__xludf.DUMMYFUNCTION("""COMPUTED_VALUE"""),35)</f>
        <v>35</v>
      </c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</row>
    <row r="260" spans="1:26">
      <c r="A260" s="36" t="str">
        <f ca="1">IFERROR(__xludf.DUMMYFUNCTION("""COMPUTED_VALUE"""),"Salix babylonica")</f>
        <v>Salix babylonica</v>
      </c>
      <c r="B260" s="36">
        <f ca="1">IFERROR(__xludf.DUMMYFUNCTION("""COMPUTED_VALUE"""),5)</f>
        <v>5</v>
      </c>
      <c r="C260" s="36" t="str">
        <f ca="1">IFERROR(__xludf.DUMMYFUNCTION("""COMPUTED_VALUE"""),"Weeping Willow")</f>
        <v>Weeping Willow</v>
      </c>
      <c r="D260" s="36" t="str">
        <f ca="1">IFERROR(__xludf.DUMMYFUNCTION("""COMPUTED_VALUE"""),"#5")</f>
        <v>#5</v>
      </c>
      <c r="E260" s="37" t="str">
        <f ca="1">IFERROR(__xludf.DUMMYFUNCTION("""COMPUTED_VALUE"""),"0.25-0.5""")</f>
        <v>0.25-0.5"</v>
      </c>
      <c r="F260" s="36" t="str">
        <f ca="1">IFERROR(__xludf.DUMMYFUNCTION("""COMPUTED_VALUE"""),"1-2'")</f>
        <v>1-2'</v>
      </c>
      <c r="G260" s="38">
        <f ca="1">IFERROR(__xludf.DUMMYFUNCTION("""COMPUTED_VALUE"""),0)</f>
        <v>0</v>
      </c>
      <c r="H260" s="36">
        <f ca="1">IFERROR(__xludf.DUMMYFUNCTION("""COMPUTED_VALUE"""),100)</f>
        <v>100</v>
      </c>
      <c r="I260" s="39">
        <f ca="1">IFERROR(__xludf.DUMMYFUNCTION("""COMPUTED_VALUE"""),35)</f>
        <v>35</v>
      </c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</row>
    <row r="261" spans="1:26">
      <c r="A261" s="36" t="str">
        <f ca="1">IFERROR(__xludf.DUMMYFUNCTION("""COMPUTED_VALUE"""),"Salix babylonica")</f>
        <v>Salix babylonica</v>
      </c>
      <c r="B261" s="36">
        <f ca="1">IFERROR(__xludf.DUMMYFUNCTION("""COMPUTED_VALUE"""),7)</f>
        <v>7</v>
      </c>
      <c r="C261" s="36" t="str">
        <f ca="1">IFERROR(__xludf.DUMMYFUNCTION("""COMPUTED_VALUE"""),"Weeping Willow")</f>
        <v>Weeping Willow</v>
      </c>
      <c r="D261" s="36" t="str">
        <f ca="1">IFERROR(__xludf.DUMMYFUNCTION("""COMPUTED_VALUE"""),"#7")</f>
        <v>#7</v>
      </c>
      <c r="E261" s="37" t="str">
        <f ca="1">IFERROR(__xludf.DUMMYFUNCTION("""COMPUTED_VALUE"""),"0.75-1""")</f>
        <v>0.75-1"</v>
      </c>
      <c r="F261" s="36" t="str">
        <f ca="1">IFERROR(__xludf.DUMMYFUNCTION("""COMPUTED_VALUE"""),"7-9'")</f>
        <v>7-9'</v>
      </c>
      <c r="G261" s="38">
        <f ca="1">IFERROR(__xludf.DUMMYFUNCTION("""COMPUTED_VALUE"""),54)</f>
        <v>54</v>
      </c>
      <c r="H261" s="36">
        <f ca="1">IFERROR(__xludf.DUMMYFUNCTION("""COMPUTED_VALUE"""),0)</f>
        <v>0</v>
      </c>
      <c r="I261" s="39">
        <f ca="1">IFERROR(__xludf.DUMMYFUNCTION("""COMPUTED_VALUE"""),50)</f>
        <v>50</v>
      </c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</row>
    <row r="262" spans="1:26">
      <c r="A262" s="36" t="str">
        <f ca="1">IFERROR(__xludf.DUMMYFUNCTION("""COMPUTED_VALUE"""),"Sambucus canadensis")</f>
        <v>Sambucus canadensis</v>
      </c>
      <c r="B262" s="36">
        <f ca="1">IFERROR(__xludf.DUMMYFUNCTION("""COMPUTED_VALUE"""),5)</f>
        <v>5</v>
      </c>
      <c r="C262" s="36" t="str">
        <f ca="1">IFERROR(__xludf.DUMMYFUNCTION("""COMPUTED_VALUE"""),"Elderberry")</f>
        <v>Elderberry</v>
      </c>
      <c r="D262" s="36" t="str">
        <f ca="1">IFERROR(__xludf.DUMMYFUNCTION("""COMPUTED_VALUE"""),"#5")</f>
        <v>#5</v>
      </c>
      <c r="E262" s="37" t="str">
        <f ca="1">IFERROR(__xludf.DUMMYFUNCTION("""COMPUTED_VALUE"""),"Multi")</f>
        <v>Multi</v>
      </c>
      <c r="F262" s="36" t="str">
        <f ca="1">IFERROR(__xludf.DUMMYFUNCTION("""COMPUTED_VALUE"""),"2-3'")</f>
        <v>2-3'</v>
      </c>
      <c r="G262" s="38">
        <f ca="1">IFERROR(__xludf.DUMMYFUNCTION("""COMPUTED_VALUE"""),3)</f>
        <v>3</v>
      </c>
      <c r="H262" s="36">
        <f ca="1">IFERROR(__xludf.DUMMYFUNCTION("""COMPUTED_VALUE"""),300)</f>
        <v>300</v>
      </c>
      <c r="I262" s="39">
        <f ca="1">IFERROR(__xludf.DUMMYFUNCTION("""COMPUTED_VALUE"""),30)</f>
        <v>30</v>
      </c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</row>
    <row r="263" spans="1:26">
      <c r="A263" s="36" t="str">
        <f ca="1">IFERROR(__xludf.DUMMYFUNCTION("""COMPUTED_VALUE"""),"Sassafras albidum")</f>
        <v>Sassafras albidum</v>
      </c>
      <c r="B263" s="36">
        <f ca="1">IFERROR(__xludf.DUMMYFUNCTION("""COMPUTED_VALUE"""),5)</f>
        <v>5</v>
      </c>
      <c r="C263" s="36" t="str">
        <f ca="1">IFERROR(__xludf.DUMMYFUNCTION("""COMPUTED_VALUE"""),"Sassafras")</f>
        <v>Sassafras</v>
      </c>
      <c r="D263" s="36" t="str">
        <f ca="1">IFERROR(__xludf.DUMMYFUNCTION("""COMPUTED_VALUE"""),"#5")</f>
        <v>#5</v>
      </c>
      <c r="E263" s="37" t="str">
        <f ca="1">IFERROR(__xludf.DUMMYFUNCTION("""COMPUTED_VALUE"""),"0.125-0.75""")</f>
        <v>0.125-0.75"</v>
      </c>
      <c r="F263" s="36" t="str">
        <f ca="1">IFERROR(__xludf.DUMMYFUNCTION("""COMPUTED_VALUE"""),"1-7'")</f>
        <v>1-7'</v>
      </c>
      <c r="G263" s="38">
        <f ca="1">IFERROR(__xludf.DUMMYFUNCTION("""COMPUTED_VALUE"""),4)</f>
        <v>4</v>
      </c>
      <c r="H263" s="36">
        <f ca="1">IFERROR(__xludf.DUMMYFUNCTION("""COMPUTED_VALUE"""),100)</f>
        <v>100</v>
      </c>
      <c r="I263" s="39">
        <f ca="1">IFERROR(__xludf.DUMMYFUNCTION("""COMPUTED_VALUE"""),40)</f>
        <v>40</v>
      </c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</row>
    <row r="264" spans="1:26">
      <c r="A264" s="36" t="str">
        <f ca="1">IFERROR(__xludf.DUMMYFUNCTION("""COMPUTED_VALUE"""),"Stewartia pseudocamellia")</f>
        <v>Stewartia pseudocamellia</v>
      </c>
      <c r="B264" s="36">
        <f ca="1">IFERROR(__xludf.DUMMYFUNCTION("""COMPUTED_VALUE"""),5)</f>
        <v>5</v>
      </c>
      <c r="C264" s="36" t="str">
        <f ca="1">IFERROR(__xludf.DUMMYFUNCTION("""COMPUTED_VALUE"""),"Stewartia")</f>
        <v>Stewartia</v>
      </c>
      <c r="D264" s="36" t="str">
        <f ca="1">IFERROR(__xludf.DUMMYFUNCTION("""COMPUTED_VALUE"""),"#5")</f>
        <v>#5</v>
      </c>
      <c r="E264" s="40" t="str">
        <f ca="1">IFERROR(__xludf.DUMMYFUNCTION("""COMPUTED_VALUE"""),"Multi")</f>
        <v>Multi</v>
      </c>
      <c r="F264" s="36" t="str">
        <f ca="1">IFERROR(__xludf.DUMMYFUNCTION("""COMPUTED_VALUE"""),"5-7'")</f>
        <v>5-7'</v>
      </c>
      <c r="G264" s="38">
        <f ca="1">IFERROR(__xludf.DUMMYFUNCTION("""COMPUTED_VALUE"""),27)</f>
        <v>27</v>
      </c>
      <c r="H264" s="36">
        <f ca="1">IFERROR(__xludf.DUMMYFUNCTION("""COMPUTED_VALUE"""),0)</f>
        <v>0</v>
      </c>
      <c r="I264" s="39">
        <f ca="1">IFERROR(__xludf.DUMMYFUNCTION("""COMPUTED_VALUE"""),45)</f>
        <v>45</v>
      </c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</row>
    <row r="265" spans="1:26">
      <c r="A265" s="36" t="str">
        <f ca="1">IFERROR(__xludf.DUMMYFUNCTION("""COMPUTED_VALUE"""),"Styrax japonicus")</f>
        <v>Styrax japonicus</v>
      </c>
      <c r="B265" s="36">
        <f ca="1">IFERROR(__xludf.DUMMYFUNCTION("""COMPUTED_VALUE"""),5)</f>
        <v>5</v>
      </c>
      <c r="C265" s="36" t="str">
        <f ca="1">IFERROR(__xludf.DUMMYFUNCTION("""COMPUTED_VALUE"""),"Japanese Snowbell")</f>
        <v>Japanese Snowbell</v>
      </c>
      <c r="D265" s="36" t="str">
        <f ca="1">IFERROR(__xludf.DUMMYFUNCTION("""COMPUTED_VALUE"""),"#5")</f>
        <v>#5</v>
      </c>
      <c r="E265" s="40" t="str">
        <f ca="1">IFERROR(__xludf.DUMMYFUNCTION("""COMPUTED_VALUE"""),"Multi")</f>
        <v>Multi</v>
      </c>
      <c r="F265" s="36" t="str">
        <f ca="1">IFERROR(__xludf.DUMMYFUNCTION("""COMPUTED_VALUE"""),"5-6'")</f>
        <v>5-6'</v>
      </c>
      <c r="G265" s="38">
        <f ca="1">IFERROR(__xludf.DUMMYFUNCTION("""COMPUTED_VALUE"""),35)</f>
        <v>35</v>
      </c>
      <c r="H265" s="36">
        <f ca="1">IFERROR(__xludf.DUMMYFUNCTION("""COMPUTED_VALUE"""),0)</f>
        <v>0</v>
      </c>
      <c r="I265" s="39">
        <f ca="1">IFERROR(__xludf.DUMMYFUNCTION("""COMPUTED_VALUE"""),35)</f>
        <v>35</v>
      </c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</row>
    <row r="266" spans="1:26">
      <c r="A266" s="36" t="str">
        <f ca="1">IFERROR(__xludf.DUMMYFUNCTION("""COMPUTED_VALUE"""),"Styrax obassia")</f>
        <v>Styrax obassia</v>
      </c>
      <c r="B266" s="36">
        <f ca="1">IFERROR(__xludf.DUMMYFUNCTION("""COMPUTED_VALUE"""),5)</f>
        <v>5</v>
      </c>
      <c r="C266" s="36" t="str">
        <f ca="1">IFERROR(__xludf.DUMMYFUNCTION("""COMPUTED_VALUE"""),"Fragrant Snowbell")</f>
        <v>Fragrant Snowbell</v>
      </c>
      <c r="D266" s="36" t="str">
        <f ca="1">IFERROR(__xludf.DUMMYFUNCTION("""COMPUTED_VALUE"""),"#5")</f>
        <v>#5</v>
      </c>
      <c r="E266" s="37" t="str">
        <f ca="1">IFERROR(__xludf.DUMMYFUNCTION("""COMPUTED_VALUE"""),"0.375-0.5""")</f>
        <v>0.375-0.5"</v>
      </c>
      <c r="F266" s="36" t="str">
        <f ca="1">IFERROR(__xludf.DUMMYFUNCTION("""COMPUTED_VALUE"""),"2-5'")</f>
        <v>2-5'</v>
      </c>
      <c r="G266" s="38">
        <f ca="1">IFERROR(__xludf.DUMMYFUNCTION("""COMPUTED_VALUE"""),45)</f>
        <v>45</v>
      </c>
      <c r="H266" s="36">
        <f ca="1">IFERROR(__xludf.DUMMYFUNCTION("""COMPUTED_VALUE"""),0)</f>
        <v>0</v>
      </c>
      <c r="I266" s="39">
        <f ca="1">IFERROR(__xludf.DUMMYFUNCTION("""COMPUTED_VALUE"""),45)</f>
        <v>45</v>
      </c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</row>
    <row r="267" spans="1:26">
      <c r="A267" s="36" t="str">
        <f ca="1">IFERROR(__xludf.DUMMYFUNCTION("""COMPUTED_VALUE"""),"Syringa reticulata 'Ivory Silk'")</f>
        <v>Syringa reticulata 'Ivory Silk'</v>
      </c>
      <c r="B267" s="36">
        <f ca="1">IFERROR(__xludf.DUMMYFUNCTION("""COMPUTED_VALUE"""),5)</f>
        <v>5</v>
      </c>
      <c r="C267" s="36" t="str">
        <f ca="1">IFERROR(__xludf.DUMMYFUNCTION("""COMPUTED_VALUE"""),"Ivory Silk Japanese Tree Lilac")</f>
        <v>Ivory Silk Japanese Tree Lilac</v>
      </c>
      <c r="D267" s="36" t="str">
        <f ca="1">IFERROR(__xludf.DUMMYFUNCTION("""COMPUTED_VALUE"""),"#5")</f>
        <v>#5</v>
      </c>
      <c r="E267" s="37" t="str">
        <f ca="1">IFERROR(__xludf.DUMMYFUNCTION("""COMPUTED_VALUE"""),"0.25-0.5""")</f>
        <v>0.25-0.5"</v>
      </c>
      <c r="F267" s="36" t="str">
        <f ca="1">IFERROR(__xludf.DUMMYFUNCTION("""COMPUTED_VALUE"""),"2-4'")</f>
        <v>2-4'</v>
      </c>
      <c r="G267" s="38">
        <f ca="1">IFERROR(__xludf.DUMMYFUNCTION("""COMPUTED_VALUE"""),15)</f>
        <v>15</v>
      </c>
      <c r="H267" s="36">
        <f ca="1">IFERROR(__xludf.DUMMYFUNCTION("""COMPUTED_VALUE"""),0)</f>
        <v>0</v>
      </c>
      <c r="I267" s="39">
        <f ca="1">IFERROR(__xludf.DUMMYFUNCTION("""COMPUTED_VALUE"""),35)</f>
        <v>35</v>
      </c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</row>
    <row r="268" spans="1:26">
      <c r="A268" s="36" t="str">
        <f ca="1">IFERROR(__xludf.DUMMYFUNCTION("""COMPUTED_VALUE"""),"Syringa reticulata 'Ivory Silk'")</f>
        <v>Syringa reticulata 'Ivory Silk'</v>
      </c>
      <c r="B268" s="36">
        <f ca="1">IFERROR(__xludf.DUMMYFUNCTION("""COMPUTED_VALUE"""),10)</f>
        <v>10</v>
      </c>
      <c r="C268" s="36" t="str">
        <f ca="1">IFERROR(__xludf.DUMMYFUNCTION("""COMPUTED_VALUE"""),"Ivory Silk Japanese Tree Lilac")</f>
        <v>Ivory Silk Japanese Tree Lilac</v>
      </c>
      <c r="D268" s="36" t="str">
        <f ca="1">IFERROR(__xludf.DUMMYFUNCTION("""COMPUTED_VALUE"""),"#10")</f>
        <v>#10</v>
      </c>
      <c r="E268" s="37" t="str">
        <f ca="1">IFERROR(__xludf.DUMMYFUNCTION("""COMPUTED_VALUE"""),"1-1""")</f>
        <v>1-1"</v>
      </c>
      <c r="F268" s="36" t="str">
        <f ca="1">IFERROR(__xludf.DUMMYFUNCTION("""COMPUTED_VALUE"""),"10-10'")</f>
        <v>10-10'</v>
      </c>
      <c r="G268" s="38">
        <f ca="1">IFERROR(__xludf.DUMMYFUNCTION("""COMPUTED_VALUE"""),6)</f>
        <v>6</v>
      </c>
      <c r="H268" s="36">
        <f ca="1">IFERROR(__xludf.DUMMYFUNCTION("""COMPUTED_VALUE"""),0)</f>
        <v>0</v>
      </c>
      <c r="I268" s="39">
        <f ca="1">IFERROR(__xludf.DUMMYFUNCTION("""COMPUTED_VALUE"""),80)</f>
        <v>80</v>
      </c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</row>
    <row r="269" spans="1:26">
      <c r="A269" s="36" t="str">
        <f ca="1">IFERROR(__xludf.DUMMYFUNCTION("""COMPUTED_VALUE"""),"Syringa reticulata 'Ivory Silk'")</f>
        <v>Syringa reticulata 'Ivory Silk'</v>
      </c>
      <c r="B269" s="36">
        <f ca="1">IFERROR(__xludf.DUMMYFUNCTION("""COMPUTED_VALUE"""),15)</f>
        <v>15</v>
      </c>
      <c r="C269" s="36" t="str">
        <f ca="1">IFERROR(__xludf.DUMMYFUNCTION("""COMPUTED_VALUE"""),"Ivory Silk Japanese Tree Lilac")</f>
        <v>Ivory Silk Japanese Tree Lilac</v>
      </c>
      <c r="D269" s="36" t="str">
        <f ca="1">IFERROR(__xludf.DUMMYFUNCTION("""COMPUTED_VALUE"""),"#15")</f>
        <v>#15</v>
      </c>
      <c r="E269" s="37" t="str">
        <f ca="1">IFERROR(__xludf.DUMMYFUNCTION("""COMPUTED_VALUE"""),"1-1.25""")</f>
        <v>1-1.25"</v>
      </c>
      <c r="F269" s="36" t="str">
        <f ca="1">IFERROR(__xludf.DUMMYFUNCTION("""COMPUTED_VALUE"""),"6-10'")</f>
        <v>6-10'</v>
      </c>
      <c r="G269" s="38">
        <f ca="1">IFERROR(__xludf.DUMMYFUNCTION("""COMPUTED_VALUE"""),16)</f>
        <v>16</v>
      </c>
      <c r="H269" s="36">
        <f ca="1">IFERROR(__xludf.DUMMYFUNCTION("""COMPUTED_VALUE"""),10)</f>
        <v>10</v>
      </c>
      <c r="I269" s="39">
        <f ca="1">IFERROR(__xludf.DUMMYFUNCTION("""COMPUTED_VALUE"""),110)</f>
        <v>110</v>
      </c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</row>
    <row r="270" spans="1:26">
      <c r="A270" s="36" t="str">
        <f ca="1">IFERROR(__xludf.DUMMYFUNCTION("""COMPUTED_VALUE"""),"Taxodium distichum")</f>
        <v>Taxodium distichum</v>
      </c>
      <c r="B270" s="36">
        <f ca="1">IFERROR(__xludf.DUMMYFUNCTION("""COMPUTED_VALUE"""),5)</f>
        <v>5</v>
      </c>
      <c r="C270" s="36" t="str">
        <f ca="1">IFERROR(__xludf.DUMMYFUNCTION("""COMPUTED_VALUE"""),"Bald Cypress")</f>
        <v>Bald Cypress</v>
      </c>
      <c r="D270" s="36" t="str">
        <f ca="1">IFERROR(__xludf.DUMMYFUNCTION("""COMPUTED_VALUE"""),"#5")</f>
        <v>#5</v>
      </c>
      <c r="E270" s="37" t="str">
        <f ca="1">IFERROR(__xludf.DUMMYFUNCTION("""COMPUTED_VALUE"""),"0.75-1.5""")</f>
        <v>0.75-1.5"</v>
      </c>
      <c r="F270" s="36" t="str">
        <f ca="1">IFERROR(__xludf.DUMMYFUNCTION("""COMPUTED_VALUE"""),"4-7'")</f>
        <v>4-7'</v>
      </c>
      <c r="G270" s="38">
        <f ca="1">IFERROR(__xludf.DUMMYFUNCTION("""COMPUTED_VALUE"""),-4)</f>
        <v>-4</v>
      </c>
      <c r="H270" s="36">
        <f ca="1">IFERROR(__xludf.DUMMYFUNCTION("""COMPUTED_VALUE"""),100)</f>
        <v>100</v>
      </c>
      <c r="I270" s="39">
        <f ca="1">IFERROR(__xludf.DUMMYFUNCTION("""COMPUTED_VALUE"""),35)</f>
        <v>35</v>
      </c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</row>
    <row r="271" spans="1:26">
      <c r="A271" s="36" t="str">
        <f ca="1">IFERROR(__xludf.DUMMYFUNCTION("""COMPUTED_VALUE"""),"Taxodium distichum")</f>
        <v>Taxodium distichum</v>
      </c>
      <c r="B271" s="36">
        <f ca="1">IFERROR(__xludf.DUMMYFUNCTION("""COMPUTED_VALUE"""),15)</f>
        <v>15</v>
      </c>
      <c r="C271" s="36" t="str">
        <f ca="1">IFERROR(__xludf.DUMMYFUNCTION("""COMPUTED_VALUE"""),"Bald Cypress")</f>
        <v>Bald Cypress</v>
      </c>
      <c r="D271" s="36" t="str">
        <f ca="1">IFERROR(__xludf.DUMMYFUNCTION("""COMPUTED_VALUE"""),"#15")</f>
        <v>#15</v>
      </c>
      <c r="E271" s="37" t="str">
        <f ca="1">IFERROR(__xludf.DUMMYFUNCTION("""COMPUTED_VALUE"""),"1.25-1.5""")</f>
        <v>1.25-1.5"</v>
      </c>
      <c r="F271" s="36" t="str">
        <f ca="1">IFERROR(__xludf.DUMMYFUNCTION("""COMPUTED_VALUE"""),"4-6'")</f>
        <v>4-6'</v>
      </c>
      <c r="G271" s="38">
        <f ca="1">IFERROR(__xludf.DUMMYFUNCTION("""COMPUTED_VALUE"""),1)</f>
        <v>1</v>
      </c>
      <c r="H271" s="36">
        <f ca="1">IFERROR(__xludf.DUMMYFUNCTION("""COMPUTED_VALUE"""),0)</f>
        <v>0</v>
      </c>
      <c r="I271" s="39">
        <f ca="1">IFERROR(__xludf.DUMMYFUNCTION("""COMPUTED_VALUE"""),110)</f>
        <v>110</v>
      </c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</row>
    <row r="272" spans="1:26">
      <c r="A272" s="36" t="str">
        <f ca="1">IFERROR(__xludf.DUMMYFUNCTION("""COMPUTED_VALUE"""),"Taxodium distichum 'Falling Waters'")</f>
        <v>Taxodium distichum 'Falling Waters'</v>
      </c>
      <c r="B272" s="36">
        <f ca="1">IFERROR(__xludf.DUMMYFUNCTION("""COMPUTED_VALUE"""),7)</f>
        <v>7</v>
      </c>
      <c r="C272" s="36" t="str">
        <f ca="1">IFERROR(__xludf.DUMMYFUNCTION("""COMPUTED_VALUE"""),"Falling Waters Bald Cypress")</f>
        <v>Falling Waters Bald Cypress</v>
      </c>
      <c r="D272" s="36" t="str">
        <f ca="1">IFERROR(__xludf.DUMMYFUNCTION("""COMPUTED_VALUE"""),"#7")</f>
        <v>#7</v>
      </c>
      <c r="E272" s="37" t="str">
        <f ca="1">IFERROR(__xludf.DUMMYFUNCTION("""COMPUTED_VALUE"""),"0.75-1""")</f>
        <v>0.75-1"</v>
      </c>
      <c r="F272" s="36" t="str">
        <f ca="1">IFERROR(__xludf.DUMMYFUNCTION("""COMPUTED_VALUE"""),"4-5'")</f>
        <v>4-5'</v>
      </c>
      <c r="G272" s="38">
        <f ca="1">IFERROR(__xludf.DUMMYFUNCTION("""COMPUTED_VALUE"""),7)</f>
        <v>7</v>
      </c>
      <c r="H272" s="36">
        <f ca="1">IFERROR(__xludf.DUMMYFUNCTION("""COMPUTED_VALUE"""),0)</f>
        <v>0</v>
      </c>
      <c r="I272" s="39">
        <f ca="1">IFERROR(__xludf.DUMMYFUNCTION("""COMPUTED_VALUE"""),60)</f>
        <v>60</v>
      </c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</row>
    <row r="273" spans="1:26">
      <c r="A273" s="36" t="str">
        <f ca="1">IFERROR(__xludf.DUMMYFUNCTION("""COMPUTED_VALUE"""),"Taxus × media 'Everlow'")</f>
        <v>Taxus × media 'Everlow'</v>
      </c>
      <c r="B273" s="36">
        <f ca="1">IFERROR(__xludf.DUMMYFUNCTION("""COMPUTED_VALUE"""),3)</f>
        <v>3</v>
      </c>
      <c r="C273" s="36" t="str">
        <f ca="1">IFERROR(__xludf.DUMMYFUNCTION("""COMPUTED_VALUE"""),"Everlow Yew")</f>
        <v>Everlow Yew</v>
      </c>
      <c r="D273" s="36" t="str">
        <f ca="1">IFERROR(__xludf.DUMMYFUNCTION("""COMPUTED_VALUE"""),"#5")</f>
        <v>#5</v>
      </c>
      <c r="E273" s="37" t="str">
        <f ca="1">IFERROR(__xludf.DUMMYFUNCTION("""COMPUTED_VALUE"""),"Multi")</f>
        <v>Multi</v>
      </c>
      <c r="F273" s="36" t="str">
        <f ca="1">IFERROR(__xludf.DUMMYFUNCTION("""COMPUTED_VALUE"""),"1-2'")</f>
        <v>1-2'</v>
      </c>
      <c r="G273" s="38">
        <f ca="1">IFERROR(__xludf.DUMMYFUNCTION("""COMPUTED_VALUE"""),8)</f>
        <v>8</v>
      </c>
      <c r="H273" s="36">
        <f ca="1">IFERROR(__xludf.DUMMYFUNCTION("""COMPUTED_VALUE"""),0)</f>
        <v>0</v>
      </c>
      <c r="I273" s="39">
        <f ca="1">IFERROR(__xludf.DUMMYFUNCTION("""COMPUTED_VALUE"""),30)</f>
        <v>30</v>
      </c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</row>
    <row r="274" spans="1:26">
      <c r="A274" s="36" t="str">
        <f ca="1">IFERROR(__xludf.DUMMYFUNCTION("""COMPUTED_VALUE"""),"Thuja plicata x standishii 'Green Giant'")</f>
        <v>Thuja plicata x standishii 'Green Giant'</v>
      </c>
      <c r="B274" s="36">
        <f ca="1">IFERROR(__xludf.DUMMYFUNCTION("""COMPUTED_VALUE"""),5)</f>
        <v>5</v>
      </c>
      <c r="C274" s="36" t="str">
        <f ca="1">IFERROR(__xludf.DUMMYFUNCTION("""COMPUTED_VALUE"""),"Green Giant Arborvitae")</f>
        <v>Green Giant Arborvitae</v>
      </c>
      <c r="D274" s="36" t="str">
        <f ca="1">IFERROR(__xludf.DUMMYFUNCTION("""COMPUTED_VALUE"""),"#5")</f>
        <v>#5</v>
      </c>
      <c r="E274" s="40" t="str">
        <f ca="1">IFERROR(__xludf.DUMMYFUNCTION("""COMPUTED_VALUE"""),"Multi")</f>
        <v>Multi</v>
      </c>
      <c r="F274" s="36" t="str">
        <f ca="1">IFERROR(__xludf.DUMMYFUNCTION("""COMPUTED_VALUE"""),"2-4'")</f>
        <v>2-4'</v>
      </c>
      <c r="G274" s="38">
        <f ca="1">IFERROR(__xludf.DUMMYFUNCTION("""COMPUTED_VALUE"""),101)</f>
        <v>101</v>
      </c>
      <c r="H274" s="36">
        <f ca="1">IFERROR(__xludf.DUMMYFUNCTION("""COMPUTED_VALUE"""),0)</f>
        <v>0</v>
      </c>
      <c r="I274" s="39">
        <f ca="1">IFERROR(__xludf.DUMMYFUNCTION("""COMPUTED_VALUE"""),20)</f>
        <v>20</v>
      </c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</row>
    <row r="275" spans="1:26">
      <c r="A275" s="36" t="str">
        <f ca="1">IFERROR(__xludf.DUMMYFUNCTION("""COMPUTED_VALUE"""),"Tilia americana 'Legend'")</f>
        <v>Tilia americana 'Legend'</v>
      </c>
      <c r="B275" s="36">
        <f ca="1">IFERROR(__xludf.DUMMYFUNCTION("""COMPUTED_VALUE"""),15)</f>
        <v>15</v>
      </c>
      <c r="C275" s="36" t="str">
        <f ca="1">IFERROR(__xludf.DUMMYFUNCTION("""COMPUTED_VALUE"""),"Legend American Linden")</f>
        <v>Legend American Linden</v>
      </c>
      <c r="D275" s="36" t="str">
        <f ca="1">IFERROR(__xludf.DUMMYFUNCTION("""COMPUTED_VALUE"""),"#15")</f>
        <v>#15</v>
      </c>
      <c r="E275" s="37" t="str">
        <f ca="1">IFERROR(__xludf.DUMMYFUNCTION("""COMPUTED_VALUE"""),"1.25-1.25""")</f>
        <v>1.25-1.25"</v>
      </c>
      <c r="F275" s="36" t="str">
        <f ca="1">IFERROR(__xludf.DUMMYFUNCTION("""COMPUTED_VALUE"""),"8-9'")</f>
        <v>8-9'</v>
      </c>
      <c r="G275" s="38">
        <f ca="1">IFERROR(__xludf.DUMMYFUNCTION("""COMPUTED_VALUE"""),1)</f>
        <v>1</v>
      </c>
      <c r="H275" s="36">
        <f ca="1">IFERROR(__xludf.DUMMYFUNCTION("""COMPUTED_VALUE"""),0)</f>
        <v>0</v>
      </c>
      <c r="I275" s="39">
        <f ca="1">IFERROR(__xludf.DUMMYFUNCTION("""COMPUTED_VALUE"""),110)</f>
        <v>110</v>
      </c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</row>
    <row r="276" spans="1:26">
      <c r="A276" s="36" t="str">
        <f ca="1">IFERROR(__xludf.DUMMYFUNCTION("""COMPUTED_VALUE"""),"Tilia americana 'Legend'")</f>
        <v>Tilia americana 'Legend'</v>
      </c>
      <c r="B276" s="36">
        <f ca="1">IFERROR(__xludf.DUMMYFUNCTION("""COMPUTED_VALUE"""),25)</f>
        <v>25</v>
      </c>
      <c r="C276" s="36" t="str">
        <f ca="1">IFERROR(__xludf.DUMMYFUNCTION("""COMPUTED_VALUE"""),"Legend American Linden")</f>
        <v>Legend American Linden</v>
      </c>
      <c r="D276" s="36" t="str">
        <f ca="1">IFERROR(__xludf.DUMMYFUNCTION("""COMPUTED_VALUE"""),"#25")</f>
        <v>#25</v>
      </c>
      <c r="E276" s="37" t="str">
        <f ca="1">IFERROR(__xludf.DUMMYFUNCTION("""COMPUTED_VALUE"""),"1.25-1.25""")</f>
        <v>1.25-1.25"</v>
      </c>
      <c r="F276" s="36" t="str">
        <f ca="1">IFERROR(__xludf.DUMMYFUNCTION("""COMPUTED_VALUE"""),"8-9'")</f>
        <v>8-9'</v>
      </c>
      <c r="G276" s="38">
        <f ca="1">IFERROR(__xludf.DUMMYFUNCTION("""COMPUTED_VALUE"""),1)</f>
        <v>1</v>
      </c>
      <c r="H276" s="36">
        <f ca="1">IFERROR(__xludf.DUMMYFUNCTION("""COMPUTED_VALUE"""),0)</f>
        <v>0</v>
      </c>
      <c r="I276" s="39">
        <f ca="1">IFERROR(__xludf.DUMMYFUNCTION("""COMPUTED_VALUE"""),135)</f>
        <v>135</v>
      </c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</row>
    <row r="277" spans="1:26">
      <c r="A277" s="36" t="str">
        <f ca="1">IFERROR(__xludf.DUMMYFUNCTION("""COMPUTED_VALUE"""),"Tilia americana 'Redmond'")</f>
        <v>Tilia americana 'Redmond'</v>
      </c>
      <c r="B277" s="36">
        <f ca="1">IFERROR(__xludf.DUMMYFUNCTION("""COMPUTED_VALUE"""),15)</f>
        <v>15</v>
      </c>
      <c r="C277" s="36" t="str">
        <f ca="1">IFERROR(__xludf.DUMMYFUNCTION("""COMPUTED_VALUE"""),"Redmond American Linden")</f>
        <v>Redmond American Linden</v>
      </c>
      <c r="D277" s="36" t="str">
        <f ca="1">IFERROR(__xludf.DUMMYFUNCTION("""COMPUTED_VALUE"""),"#15")</f>
        <v>#15</v>
      </c>
      <c r="E277" s="37" t="str">
        <f ca="1">IFERROR(__xludf.DUMMYFUNCTION("""COMPUTED_VALUE"""),"1.25-1.5""")</f>
        <v>1.25-1.5"</v>
      </c>
      <c r="F277" s="36" t="str">
        <f ca="1">IFERROR(__xludf.DUMMYFUNCTION("""COMPUTED_VALUE"""),"8-10'")</f>
        <v>8-10'</v>
      </c>
      <c r="G277" s="38">
        <f ca="1">IFERROR(__xludf.DUMMYFUNCTION("""COMPUTED_VALUE"""),4)</f>
        <v>4</v>
      </c>
      <c r="H277" s="36">
        <f ca="1">IFERROR(__xludf.DUMMYFUNCTION("""COMPUTED_VALUE"""),0)</f>
        <v>0</v>
      </c>
      <c r="I277" s="39">
        <f ca="1">IFERROR(__xludf.DUMMYFUNCTION("""COMPUTED_VALUE"""),110)</f>
        <v>110</v>
      </c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</row>
    <row r="278" spans="1:26">
      <c r="A278" s="36" t="str">
        <f ca="1">IFERROR(__xludf.DUMMYFUNCTION("""COMPUTED_VALUE"""),"Tilia americana 'Redmond'")</f>
        <v>Tilia americana 'Redmond'</v>
      </c>
      <c r="B278" s="36">
        <f ca="1">IFERROR(__xludf.DUMMYFUNCTION("""COMPUTED_VALUE"""),25)</f>
        <v>25</v>
      </c>
      <c r="C278" s="36" t="str">
        <f ca="1">IFERROR(__xludf.DUMMYFUNCTION("""COMPUTED_VALUE"""),"Redmond American Linden")</f>
        <v>Redmond American Linden</v>
      </c>
      <c r="D278" s="36" t="str">
        <f ca="1">IFERROR(__xludf.DUMMYFUNCTION("""COMPUTED_VALUE"""),"#25")</f>
        <v>#25</v>
      </c>
      <c r="E278" s="37" t="str">
        <f ca="1">IFERROR(__xludf.DUMMYFUNCTION("""COMPUTED_VALUE"""),"1.25-1.5""")</f>
        <v>1.25-1.5"</v>
      </c>
      <c r="F278" s="36" t="str">
        <f ca="1">IFERROR(__xludf.DUMMYFUNCTION("""COMPUTED_VALUE"""),"8-10'")</f>
        <v>8-10'</v>
      </c>
      <c r="G278" s="38">
        <f ca="1">IFERROR(__xludf.DUMMYFUNCTION("""COMPUTED_VALUE"""),1)</f>
        <v>1</v>
      </c>
      <c r="H278" s="36">
        <f ca="1">IFERROR(__xludf.DUMMYFUNCTION("""COMPUTED_VALUE"""),0)</f>
        <v>0</v>
      </c>
      <c r="I278" s="39">
        <f ca="1">IFERROR(__xludf.DUMMYFUNCTION("""COMPUTED_VALUE"""),135)</f>
        <v>135</v>
      </c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</row>
    <row r="279" spans="1:26">
      <c r="A279" s="36" t="str">
        <f ca="1">IFERROR(__xludf.DUMMYFUNCTION("""COMPUTED_VALUE"""),"Tilia cordata")</f>
        <v>Tilia cordata</v>
      </c>
      <c r="B279" s="36">
        <f ca="1">IFERROR(__xludf.DUMMYFUNCTION("""COMPUTED_VALUE"""),5)</f>
        <v>5</v>
      </c>
      <c r="C279" s="36" t="str">
        <f ca="1">IFERROR(__xludf.DUMMYFUNCTION("""COMPUTED_VALUE"""),"Littleleaf Linden")</f>
        <v>Littleleaf Linden</v>
      </c>
      <c r="D279" s="36" t="str">
        <f ca="1">IFERROR(__xludf.DUMMYFUNCTION("""COMPUTED_VALUE"""),"#5")</f>
        <v>#5</v>
      </c>
      <c r="E279" s="37" t="str">
        <f ca="1">IFERROR(__xludf.DUMMYFUNCTION("""COMPUTED_VALUE"""),"0.125-0.75""")</f>
        <v>0.125-0.75"</v>
      </c>
      <c r="F279" s="36" t="str">
        <f ca="1">IFERROR(__xludf.DUMMYFUNCTION("""COMPUTED_VALUE"""),"1-5'")</f>
        <v>1-5'</v>
      </c>
      <c r="G279" s="38">
        <f ca="1">IFERROR(__xludf.DUMMYFUNCTION("""COMPUTED_VALUE"""),6)</f>
        <v>6</v>
      </c>
      <c r="H279" s="36">
        <f ca="1">IFERROR(__xludf.DUMMYFUNCTION("""COMPUTED_VALUE"""),25)</f>
        <v>25</v>
      </c>
      <c r="I279" s="39">
        <f ca="1">IFERROR(__xludf.DUMMYFUNCTION("""COMPUTED_VALUE"""),35)</f>
        <v>35</v>
      </c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</row>
    <row r="280" spans="1:26">
      <c r="A280" s="36" t="str">
        <f ca="1">IFERROR(__xludf.DUMMYFUNCTION("""COMPUTED_VALUE"""),"Tilia cordata")</f>
        <v>Tilia cordata</v>
      </c>
      <c r="B280" s="36">
        <f ca="1">IFERROR(__xludf.DUMMYFUNCTION("""COMPUTED_VALUE"""),15)</f>
        <v>15</v>
      </c>
      <c r="C280" s="36" t="str">
        <f ca="1">IFERROR(__xludf.DUMMYFUNCTION("""COMPUTED_VALUE"""),"Littleleaf Linden")</f>
        <v>Littleleaf Linden</v>
      </c>
      <c r="D280" s="36" t="str">
        <f ca="1">IFERROR(__xludf.DUMMYFUNCTION("""COMPUTED_VALUE"""),"#15")</f>
        <v>#15</v>
      </c>
      <c r="E280" s="37" t="str">
        <f ca="1">IFERROR(__xludf.DUMMYFUNCTION("""COMPUTED_VALUE"""),"1.5-1.75""")</f>
        <v>1.5-1.75"</v>
      </c>
      <c r="F280" s="36" t="str">
        <f ca="1">IFERROR(__xludf.DUMMYFUNCTION("""COMPUTED_VALUE"""),"10-12'")</f>
        <v>10-12'</v>
      </c>
      <c r="G280" s="38">
        <f ca="1">IFERROR(__xludf.DUMMYFUNCTION("""COMPUTED_VALUE"""),5)</f>
        <v>5</v>
      </c>
      <c r="H280" s="36">
        <f ca="1">IFERROR(__xludf.DUMMYFUNCTION("""COMPUTED_VALUE"""),0)</f>
        <v>0</v>
      </c>
      <c r="I280" s="39">
        <f ca="1">IFERROR(__xludf.DUMMYFUNCTION("""COMPUTED_VALUE"""),110)</f>
        <v>110</v>
      </c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</row>
    <row r="281" spans="1:26">
      <c r="A281" s="36" t="str">
        <f ca="1">IFERROR(__xludf.DUMMYFUNCTION("""COMPUTED_VALUE"""),"Tilia tomentosa")</f>
        <v>Tilia tomentosa</v>
      </c>
      <c r="B281" s="36">
        <f ca="1">IFERROR(__xludf.DUMMYFUNCTION("""COMPUTED_VALUE"""),5)</f>
        <v>5</v>
      </c>
      <c r="C281" s="36" t="str">
        <f ca="1">IFERROR(__xludf.DUMMYFUNCTION("""COMPUTED_VALUE"""),"Silver Linden")</f>
        <v>Silver Linden</v>
      </c>
      <c r="D281" s="36" t="str">
        <f ca="1">IFERROR(__xludf.DUMMYFUNCTION("""COMPUTED_VALUE"""),"#5")</f>
        <v>#5</v>
      </c>
      <c r="E281" s="37" t="str">
        <f ca="1">IFERROR(__xludf.DUMMYFUNCTION("""COMPUTED_VALUE"""),"0.25-0.5""")</f>
        <v>0.25-0.5"</v>
      </c>
      <c r="F281" s="36" t="str">
        <f ca="1">IFERROR(__xludf.DUMMYFUNCTION("""COMPUTED_VALUE"""),"3-6'")</f>
        <v>3-6'</v>
      </c>
      <c r="G281" s="38">
        <f ca="1">IFERROR(__xludf.DUMMYFUNCTION("""COMPUTED_VALUE"""),20)</f>
        <v>20</v>
      </c>
      <c r="H281" s="36">
        <f ca="1">IFERROR(__xludf.DUMMYFUNCTION("""COMPUTED_VALUE"""),0)</f>
        <v>0</v>
      </c>
      <c r="I281" s="39">
        <f ca="1">IFERROR(__xludf.DUMMYFUNCTION("""COMPUTED_VALUE"""),35)</f>
        <v>35</v>
      </c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</row>
    <row r="282" spans="1:26">
      <c r="A282" s="36" t="str">
        <f ca="1">IFERROR(__xludf.DUMMYFUNCTION("""COMPUTED_VALUE"""),"Ulmus 'Homestead'")</f>
        <v>Ulmus 'Homestead'</v>
      </c>
      <c r="B282" s="36">
        <f ca="1">IFERROR(__xludf.DUMMYFUNCTION("""COMPUTED_VALUE"""),15)</f>
        <v>15</v>
      </c>
      <c r="C282" s="36" t="str">
        <f ca="1">IFERROR(__xludf.DUMMYFUNCTION("""COMPUTED_VALUE"""),"Homestead Elm")</f>
        <v>Homestead Elm</v>
      </c>
      <c r="D282" s="36" t="str">
        <f ca="1">IFERROR(__xludf.DUMMYFUNCTION("""COMPUTED_VALUE"""),"#15")</f>
        <v>#15</v>
      </c>
      <c r="E282" s="37" t="str">
        <f ca="1">IFERROR(__xludf.DUMMYFUNCTION("""COMPUTED_VALUE"""),"1.75-1.75""")</f>
        <v>1.75-1.75"</v>
      </c>
      <c r="F282" s="36" t="str">
        <f ca="1">IFERROR(__xludf.DUMMYFUNCTION("""COMPUTED_VALUE"""),"12-12'")</f>
        <v>12-12'</v>
      </c>
      <c r="G282" s="38">
        <f ca="1">IFERROR(__xludf.DUMMYFUNCTION("""COMPUTED_VALUE"""),1)</f>
        <v>1</v>
      </c>
      <c r="H282" s="36">
        <f ca="1">IFERROR(__xludf.DUMMYFUNCTION("""COMPUTED_VALUE"""),0)</f>
        <v>0</v>
      </c>
      <c r="I282" s="39">
        <f ca="1">IFERROR(__xludf.DUMMYFUNCTION("""COMPUTED_VALUE"""),110)</f>
        <v>110</v>
      </c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</row>
    <row r="283" spans="1:26">
      <c r="A283" s="36" t="str">
        <f ca="1">IFERROR(__xludf.DUMMYFUNCTION("""COMPUTED_VALUE"""),"Ulmus 'Homestead'")</f>
        <v>Ulmus 'Homestead'</v>
      </c>
      <c r="B283" s="36">
        <f ca="1">IFERROR(__xludf.DUMMYFUNCTION("""COMPUTED_VALUE"""),25)</f>
        <v>25</v>
      </c>
      <c r="C283" s="36" t="str">
        <f ca="1">IFERROR(__xludf.DUMMYFUNCTION("""COMPUTED_VALUE"""),"Homestead Elm")</f>
        <v>Homestead Elm</v>
      </c>
      <c r="D283" s="36" t="str">
        <f ca="1">IFERROR(__xludf.DUMMYFUNCTION("""COMPUTED_VALUE"""),"#25 ")</f>
        <v xml:space="preserve">#25 </v>
      </c>
      <c r="E283" s="37" t="str">
        <f ca="1">IFERROR(__xludf.DUMMYFUNCTION("""COMPUTED_VALUE"""),"1.75-1.75""")</f>
        <v>1.75-1.75"</v>
      </c>
      <c r="F283" s="36" t="str">
        <f ca="1">IFERROR(__xludf.DUMMYFUNCTION("""COMPUTED_VALUE"""),"12-12'")</f>
        <v>12-12'</v>
      </c>
      <c r="G283" s="38">
        <f ca="1">IFERROR(__xludf.DUMMYFUNCTION("""COMPUTED_VALUE"""),1)</f>
        <v>1</v>
      </c>
      <c r="H283" s="36">
        <f ca="1">IFERROR(__xludf.DUMMYFUNCTION("""COMPUTED_VALUE"""),0)</f>
        <v>0</v>
      </c>
      <c r="I283" s="39">
        <f ca="1">IFERROR(__xludf.DUMMYFUNCTION("""COMPUTED_VALUE"""),135)</f>
        <v>135</v>
      </c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</row>
    <row r="284" spans="1:26">
      <c r="A284" s="36" t="str">
        <f ca="1">IFERROR(__xludf.DUMMYFUNCTION("""COMPUTED_VALUE"""),"Ulmus 'New Horizon'")</f>
        <v>Ulmus 'New Horizon'</v>
      </c>
      <c r="B284" s="36">
        <f ca="1">IFERROR(__xludf.DUMMYFUNCTION("""COMPUTED_VALUE"""),15)</f>
        <v>15</v>
      </c>
      <c r="C284" s="36" t="str">
        <f ca="1">IFERROR(__xludf.DUMMYFUNCTION("""COMPUTED_VALUE"""),"New Horizon Elm")</f>
        <v>New Horizon Elm</v>
      </c>
      <c r="D284" s="36" t="str">
        <f ca="1">IFERROR(__xludf.DUMMYFUNCTION("""COMPUTED_VALUE"""),"#15")</f>
        <v>#15</v>
      </c>
      <c r="E284" s="37" t="str">
        <f ca="1">IFERROR(__xludf.DUMMYFUNCTION("""COMPUTED_VALUE"""),"1.5-1.5""")</f>
        <v>1.5-1.5"</v>
      </c>
      <c r="F284" s="36" t="str">
        <f ca="1">IFERROR(__xludf.DUMMYFUNCTION("""COMPUTED_VALUE"""),"12-12'")</f>
        <v>12-12'</v>
      </c>
      <c r="G284" s="38">
        <f ca="1">IFERROR(__xludf.DUMMYFUNCTION("""COMPUTED_VALUE"""),2)</f>
        <v>2</v>
      </c>
      <c r="H284" s="36">
        <f ca="1">IFERROR(__xludf.DUMMYFUNCTION("""COMPUTED_VALUE"""),0)</f>
        <v>0</v>
      </c>
      <c r="I284" s="39">
        <f ca="1">IFERROR(__xludf.DUMMYFUNCTION("""COMPUTED_VALUE"""),110)</f>
        <v>110</v>
      </c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</row>
    <row r="285" spans="1:26">
      <c r="A285" s="36" t="str">
        <f ca="1">IFERROR(__xludf.DUMMYFUNCTION("""COMPUTED_VALUE"""),"Ulmus americana 'Princeton'")</f>
        <v>Ulmus americana 'Princeton'</v>
      </c>
      <c r="B285" s="36">
        <f ca="1">IFERROR(__xludf.DUMMYFUNCTION("""COMPUTED_VALUE"""),5)</f>
        <v>5</v>
      </c>
      <c r="C285" s="36" t="str">
        <f ca="1">IFERROR(__xludf.DUMMYFUNCTION("""COMPUTED_VALUE"""),"Princeton Elm")</f>
        <v>Princeton Elm</v>
      </c>
      <c r="D285" s="36" t="str">
        <f ca="1">IFERROR(__xludf.DUMMYFUNCTION("""COMPUTED_VALUE"""),"#5")</f>
        <v>#5</v>
      </c>
      <c r="E285" s="37" t="str">
        <f ca="1">IFERROR(__xludf.DUMMYFUNCTION("""COMPUTED_VALUE"""),"1-1""")</f>
        <v>1-1"</v>
      </c>
      <c r="F285" s="36" t="str">
        <f ca="1">IFERROR(__xludf.DUMMYFUNCTION("""COMPUTED_VALUE"""),"7-8'")</f>
        <v>7-8'</v>
      </c>
      <c r="G285" s="38">
        <f ca="1">IFERROR(__xludf.DUMMYFUNCTION("""COMPUTED_VALUE"""),2)</f>
        <v>2</v>
      </c>
      <c r="H285" s="36">
        <f ca="1">IFERROR(__xludf.DUMMYFUNCTION("""COMPUTED_VALUE"""),125)</f>
        <v>125</v>
      </c>
      <c r="I285" s="39">
        <f ca="1">IFERROR(__xludf.DUMMYFUNCTION("""COMPUTED_VALUE"""),35)</f>
        <v>35</v>
      </c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</row>
    <row r="286" spans="1:26">
      <c r="A286" s="36" t="str">
        <f ca="1">IFERROR(__xludf.DUMMYFUNCTION("""COMPUTED_VALUE"""),"Ulmus americana 'Princeton'")</f>
        <v>Ulmus americana 'Princeton'</v>
      </c>
      <c r="B286" s="36">
        <f ca="1">IFERROR(__xludf.DUMMYFUNCTION("""COMPUTED_VALUE"""),7)</f>
        <v>7</v>
      </c>
      <c r="C286" s="36" t="str">
        <f ca="1">IFERROR(__xludf.DUMMYFUNCTION("""COMPUTED_VALUE"""),"Princeton Elm")</f>
        <v>Princeton Elm</v>
      </c>
      <c r="D286" s="36" t="str">
        <f ca="1">IFERROR(__xludf.DUMMYFUNCTION("""COMPUTED_VALUE"""),"#7")</f>
        <v>#7</v>
      </c>
      <c r="E286" s="37" t="str">
        <f ca="1">IFERROR(__xludf.DUMMYFUNCTION("""COMPUTED_VALUE"""),"0.25-0.5""")</f>
        <v>0.25-0.5"</v>
      </c>
      <c r="F286" s="36" t="str">
        <f ca="1">IFERROR(__xludf.DUMMYFUNCTION("""COMPUTED_VALUE"""),"3-5'")</f>
        <v>3-5'</v>
      </c>
      <c r="G286" s="38">
        <f ca="1">IFERROR(__xludf.DUMMYFUNCTION("""COMPUTED_VALUE"""),43)</f>
        <v>43</v>
      </c>
      <c r="H286" s="36">
        <f ca="1">IFERROR(__xludf.DUMMYFUNCTION("""COMPUTED_VALUE"""),0)</f>
        <v>0</v>
      </c>
      <c r="I286" s="39">
        <f ca="1">IFERROR(__xludf.DUMMYFUNCTION("""COMPUTED_VALUE"""),40)</f>
        <v>40</v>
      </c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</row>
    <row r="287" spans="1:26">
      <c r="A287" s="36" t="str">
        <f ca="1">IFERROR(__xludf.DUMMYFUNCTION("""COMPUTED_VALUE"""),"Ulmus americana 'Princeton'")</f>
        <v>Ulmus americana 'Princeton'</v>
      </c>
      <c r="B287" s="36">
        <f ca="1">IFERROR(__xludf.DUMMYFUNCTION("""COMPUTED_VALUE"""),15)</f>
        <v>15</v>
      </c>
      <c r="C287" s="36" t="str">
        <f ca="1">IFERROR(__xludf.DUMMYFUNCTION("""COMPUTED_VALUE"""),"Princeton Elm")</f>
        <v>Princeton Elm</v>
      </c>
      <c r="D287" s="36" t="str">
        <f ca="1">IFERROR(__xludf.DUMMYFUNCTION("""COMPUTED_VALUE"""),"#15")</f>
        <v>#15</v>
      </c>
      <c r="E287" s="37" t="str">
        <f ca="1">IFERROR(__xludf.DUMMYFUNCTION("""COMPUTED_VALUE"""),"1-1.25""")</f>
        <v>1-1.25"</v>
      </c>
      <c r="F287" s="36" t="str">
        <f ca="1">IFERROR(__xludf.DUMMYFUNCTION("""COMPUTED_VALUE"""),"9-10'")</f>
        <v>9-10'</v>
      </c>
      <c r="G287" s="38">
        <f ca="1">IFERROR(__xludf.DUMMYFUNCTION("""COMPUTED_VALUE"""),7)</f>
        <v>7</v>
      </c>
      <c r="H287" s="36">
        <f ca="1">IFERROR(__xludf.DUMMYFUNCTION("""COMPUTED_VALUE"""),10)</f>
        <v>10</v>
      </c>
      <c r="I287" s="39">
        <f ca="1">IFERROR(__xludf.DUMMYFUNCTION("""COMPUTED_VALUE"""),110)</f>
        <v>110</v>
      </c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</row>
    <row r="288" spans="1:26">
      <c r="A288" s="36" t="str">
        <f ca="1">IFERROR(__xludf.DUMMYFUNCTION("""COMPUTED_VALUE"""),"Ulmus americana 'Valley Forge'")</f>
        <v>Ulmus americana 'Valley Forge'</v>
      </c>
      <c r="B288" s="36">
        <f ca="1">IFERROR(__xludf.DUMMYFUNCTION("""COMPUTED_VALUE"""),15)</f>
        <v>15</v>
      </c>
      <c r="C288" s="36" t="str">
        <f ca="1">IFERROR(__xludf.DUMMYFUNCTION("""COMPUTED_VALUE"""),"Valley Forge Elm")</f>
        <v>Valley Forge Elm</v>
      </c>
      <c r="D288" s="36" t="str">
        <f ca="1">IFERROR(__xludf.DUMMYFUNCTION("""COMPUTED_VALUE"""),"#15")</f>
        <v>#15</v>
      </c>
      <c r="E288" s="37" t="str">
        <f ca="1">IFERROR(__xludf.DUMMYFUNCTION("""COMPUTED_VALUE"""),"1.25-1.25""")</f>
        <v>1.25-1.25"</v>
      </c>
      <c r="F288" s="36" t="str">
        <f ca="1">IFERROR(__xludf.DUMMYFUNCTION("""COMPUTED_VALUE"""),"13-15'")</f>
        <v>13-15'</v>
      </c>
      <c r="G288" s="38">
        <f ca="1">IFERROR(__xludf.DUMMYFUNCTION("""COMPUTED_VALUE"""),6)</f>
        <v>6</v>
      </c>
      <c r="H288" s="36">
        <f ca="1">IFERROR(__xludf.DUMMYFUNCTION("""COMPUTED_VALUE"""),10)</f>
        <v>10</v>
      </c>
      <c r="I288" s="39">
        <f ca="1">IFERROR(__xludf.DUMMYFUNCTION("""COMPUTED_VALUE"""),110)</f>
        <v>110</v>
      </c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</row>
    <row r="289" spans="1:26">
      <c r="A289" s="36" t="str">
        <f ca="1">IFERROR(__xludf.DUMMYFUNCTION("""COMPUTED_VALUE"""),"Ulmus parvifolia")</f>
        <v>Ulmus parvifolia</v>
      </c>
      <c r="B289" s="36">
        <f ca="1">IFERROR(__xludf.DUMMYFUNCTION("""COMPUTED_VALUE"""),5)</f>
        <v>5</v>
      </c>
      <c r="C289" s="36" t="str">
        <f ca="1">IFERROR(__xludf.DUMMYFUNCTION("""COMPUTED_VALUE"""),"Chinese Elm")</f>
        <v>Chinese Elm</v>
      </c>
      <c r="D289" s="36" t="str">
        <f ca="1">IFERROR(__xludf.DUMMYFUNCTION("""COMPUTED_VALUE"""),"#5")</f>
        <v>#5</v>
      </c>
      <c r="E289" s="37" t="str">
        <f ca="1">IFERROR(__xludf.DUMMYFUNCTION("""COMPUTED_VALUE"""),"1.25-1.5""")</f>
        <v>1.25-1.5"</v>
      </c>
      <c r="F289" s="36" t="str">
        <f ca="1">IFERROR(__xludf.DUMMYFUNCTION("""COMPUTED_VALUE"""),"9-10'")</f>
        <v>9-10'</v>
      </c>
      <c r="G289" s="38">
        <f ca="1">IFERROR(__xludf.DUMMYFUNCTION("""COMPUTED_VALUE"""),5)</f>
        <v>5</v>
      </c>
      <c r="H289" s="36">
        <f ca="1">IFERROR(__xludf.DUMMYFUNCTION("""COMPUTED_VALUE"""),0)</f>
        <v>0</v>
      </c>
      <c r="I289" s="39">
        <f ca="1">IFERROR(__xludf.DUMMYFUNCTION("""COMPUTED_VALUE"""),40)</f>
        <v>40</v>
      </c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</row>
    <row r="290" spans="1:26">
      <c r="A290" s="36" t="str">
        <f ca="1">IFERROR(__xludf.DUMMYFUNCTION("""COMPUTED_VALUE"""),"Ulmus parvifolia 'Frontier'")</f>
        <v>Ulmus parvifolia 'Frontier'</v>
      </c>
      <c r="B290" s="36">
        <f ca="1">IFERROR(__xludf.DUMMYFUNCTION("""COMPUTED_VALUE"""),5)</f>
        <v>5</v>
      </c>
      <c r="C290" s="36" t="str">
        <f ca="1">IFERROR(__xludf.DUMMYFUNCTION("""COMPUTED_VALUE"""),"Frontier Chinese Elm")</f>
        <v>Frontier Chinese Elm</v>
      </c>
      <c r="D290" s="36" t="str">
        <f ca="1">IFERROR(__xludf.DUMMYFUNCTION("""COMPUTED_VALUE"""),"#5")</f>
        <v>#5</v>
      </c>
      <c r="E290" s="37" t="str">
        <f ca="1">IFERROR(__xludf.DUMMYFUNCTION("""COMPUTED_VALUE"""),"0.75-1""")</f>
        <v>0.75-1"</v>
      </c>
      <c r="F290" s="36" t="str">
        <f ca="1">IFERROR(__xludf.DUMMYFUNCTION("""COMPUTED_VALUE"""),"6-8'")</f>
        <v>6-8'</v>
      </c>
      <c r="G290" s="38">
        <f ca="1">IFERROR(__xludf.DUMMYFUNCTION("""COMPUTED_VALUE"""),9)</f>
        <v>9</v>
      </c>
      <c r="H290" s="36">
        <f ca="1">IFERROR(__xludf.DUMMYFUNCTION("""COMPUTED_VALUE"""),0)</f>
        <v>0</v>
      </c>
      <c r="I290" s="39">
        <f ca="1">IFERROR(__xludf.DUMMYFUNCTION("""COMPUTED_VALUE"""),35)</f>
        <v>35</v>
      </c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</row>
    <row r="291" spans="1:26">
      <c r="A291" s="36" t="str">
        <f ca="1">IFERROR(__xludf.DUMMYFUNCTION("""COMPUTED_VALUE"""),"Ulmus wilsoniana 'Prospector'")</f>
        <v>Ulmus wilsoniana 'Prospector'</v>
      </c>
      <c r="B291" s="36">
        <f ca="1">IFERROR(__xludf.DUMMYFUNCTION("""COMPUTED_VALUE"""),15)</f>
        <v>15</v>
      </c>
      <c r="C291" s="36" t="str">
        <f ca="1">IFERROR(__xludf.DUMMYFUNCTION("""COMPUTED_VALUE"""),"Prospector Elm")</f>
        <v>Prospector Elm</v>
      </c>
      <c r="D291" s="36" t="str">
        <f ca="1">IFERROR(__xludf.DUMMYFUNCTION("""COMPUTED_VALUE"""),"#15")</f>
        <v>#15</v>
      </c>
      <c r="E291" s="37" t="str">
        <f ca="1">IFERROR(__xludf.DUMMYFUNCTION("""COMPUTED_VALUE"""),"1-1.5""")</f>
        <v>1-1.5"</v>
      </c>
      <c r="F291" s="36" t="str">
        <f ca="1">IFERROR(__xludf.DUMMYFUNCTION("""COMPUTED_VALUE"""),"9-12'")</f>
        <v>9-12'</v>
      </c>
      <c r="G291" s="38">
        <f ca="1">IFERROR(__xludf.DUMMYFUNCTION("""COMPUTED_VALUE"""),4)</f>
        <v>4</v>
      </c>
      <c r="H291" s="36">
        <f ca="1">IFERROR(__xludf.DUMMYFUNCTION("""COMPUTED_VALUE"""),0)</f>
        <v>0</v>
      </c>
      <c r="I291" s="39">
        <f ca="1">IFERROR(__xludf.DUMMYFUNCTION("""COMPUTED_VALUE"""),110)</f>
        <v>110</v>
      </c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</row>
    <row r="292" spans="1:26">
      <c r="A292" s="36" t="str">
        <f ca="1">IFERROR(__xludf.DUMMYFUNCTION("""COMPUTED_VALUE"""),"Ulmus wilsoniana 'Prospector'")</f>
        <v>Ulmus wilsoniana 'Prospector'</v>
      </c>
      <c r="B292" s="36">
        <f ca="1">IFERROR(__xludf.DUMMYFUNCTION("""COMPUTED_VALUE"""),25)</f>
        <v>25</v>
      </c>
      <c r="C292" s="36" t="str">
        <f ca="1">IFERROR(__xludf.DUMMYFUNCTION("""COMPUTED_VALUE"""),"Prospector Elm")</f>
        <v>Prospector Elm</v>
      </c>
      <c r="D292" s="36" t="str">
        <f ca="1">IFERROR(__xludf.DUMMYFUNCTION("""COMPUTED_VALUE"""),"#25p")</f>
        <v>#25p</v>
      </c>
      <c r="E292" s="37" t="str">
        <f ca="1">IFERROR(__xludf.DUMMYFUNCTION("""COMPUTED_VALUE"""),"1.5-1.5""")</f>
        <v>1.5-1.5"</v>
      </c>
      <c r="F292" s="36" t="str">
        <f ca="1">IFERROR(__xludf.DUMMYFUNCTION("""COMPUTED_VALUE"""),"13-14'")</f>
        <v>13-14'</v>
      </c>
      <c r="G292" s="38">
        <f ca="1">IFERROR(__xludf.DUMMYFUNCTION("""COMPUTED_VALUE"""),2)</f>
        <v>2</v>
      </c>
      <c r="H292" s="36">
        <f ca="1">IFERROR(__xludf.DUMMYFUNCTION("""COMPUTED_VALUE"""),0)</f>
        <v>0</v>
      </c>
      <c r="I292" s="39">
        <f ca="1">IFERROR(__xludf.DUMMYFUNCTION("""COMPUTED_VALUE"""),135)</f>
        <v>135</v>
      </c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</row>
    <row r="293" spans="1:26">
      <c r="A293" s="36" t="str">
        <f ca="1">IFERROR(__xludf.DUMMYFUNCTION("""COMPUTED_VALUE"""),"Viburnum dentatum")</f>
        <v>Viburnum dentatum</v>
      </c>
      <c r="B293" s="36">
        <f ca="1">IFERROR(__xludf.DUMMYFUNCTION("""COMPUTED_VALUE"""),5)</f>
        <v>5</v>
      </c>
      <c r="C293" s="36" t="str">
        <f ca="1">IFERROR(__xludf.DUMMYFUNCTION("""COMPUTED_VALUE"""),"Arrowwood Viburnum")</f>
        <v>Arrowwood Viburnum</v>
      </c>
      <c r="D293" s="36" t="str">
        <f ca="1">IFERROR(__xludf.DUMMYFUNCTION("""COMPUTED_VALUE"""),"#5")</f>
        <v>#5</v>
      </c>
      <c r="E293" s="37" t="str">
        <f ca="1">IFERROR(__xludf.DUMMYFUNCTION("""COMPUTED_VALUE"""),"Multi")</f>
        <v>Multi</v>
      </c>
      <c r="F293" s="36" t="str">
        <f ca="1">IFERROR(__xludf.DUMMYFUNCTION("""COMPUTED_VALUE"""),"4-4'")</f>
        <v>4-4'</v>
      </c>
      <c r="G293" s="38">
        <f ca="1">IFERROR(__xludf.DUMMYFUNCTION("""COMPUTED_VALUE"""),2)</f>
        <v>2</v>
      </c>
      <c r="H293" s="36">
        <f ca="1">IFERROR(__xludf.DUMMYFUNCTION("""COMPUTED_VALUE"""),100)</f>
        <v>100</v>
      </c>
      <c r="I293" s="39">
        <f ca="1">IFERROR(__xludf.DUMMYFUNCTION("""COMPUTED_VALUE"""),30)</f>
        <v>30</v>
      </c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</row>
    <row r="294" spans="1:26">
      <c r="A294" s="36" t="str">
        <f ca="1">IFERROR(__xludf.DUMMYFUNCTION("""COMPUTED_VALUE"""),"Viburnum prunifolium")</f>
        <v>Viburnum prunifolium</v>
      </c>
      <c r="B294" s="36">
        <f ca="1">IFERROR(__xludf.DUMMYFUNCTION("""COMPUTED_VALUE"""),5)</f>
        <v>5</v>
      </c>
      <c r="C294" s="36" t="str">
        <f ca="1">IFERROR(__xludf.DUMMYFUNCTION("""COMPUTED_VALUE"""),"Blackhaw Vibrunum")</f>
        <v>Blackhaw Vibrunum</v>
      </c>
      <c r="D294" s="36" t="str">
        <f ca="1">IFERROR(__xludf.DUMMYFUNCTION("""COMPUTED_VALUE"""),"#5")</f>
        <v>#5</v>
      </c>
      <c r="E294" s="37" t="str">
        <f ca="1">IFERROR(__xludf.DUMMYFUNCTION("""COMPUTED_VALUE"""),"Multi")</f>
        <v>Multi</v>
      </c>
      <c r="F294" s="36" t="str">
        <f ca="1">IFERROR(__xludf.DUMMYFUNCTION("""COMPUTED_VALUE"""),"4-4'")</f>
        <v>4-4'</v>
      </c>
      <c r="G294" s="38">
        <f ca="1">IFERROR(__xludf.DUMMYFUNCTION("""COMPUTED_VALUE"""),2)</f>
        <v>2</v>
      </c>
      <c r="H294" s="36">
        <f ca="1">IFERROR(__xludf.DUMMYFUNCTION("""COMPUTED_VALUE"""),0)</f>
        <v>0</v>
      </c>
      <c r="I294" s="39">
        <f ca="1">IFERROR(__xludf.DUMMYFUNCTION("""COMPUTED_VALUE"""),40)</f>
        <v>40</v>
      </c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</row>
    <row r="295" spans="1:26">
      <c r="A295" s="36" t="str">
        <f ca="1">IFERROR(__xludf.DUMMYFUNCTION("""COMPUTED_VALUE"""),"X Gordlinia grandiflora")</f>
        <v>X Gordlinia grandiflora</v>
      </c>
      <c r="B295" s="36">
        <f ca="1">IFERROR(__xludf.DUMMYFUNCTION("""COMPUTED_VALUE"""),5)</f>
        <v>5</v>
      </c>
      <c r="C295" s="36" t="str">
        <f ca="1">IFERROR(__xludf.DUMMYFUNCTION("""COMPUTED_VALUE"""),"Gordlinia")</f>
        <v>Gordlinia</v>
      </c>
      <c r="D295" s="36" t="str">
        <f ca="1">IFERROR(__xludf.DUMMYFUNCTION("""COMPUTED_VALUE"""),"#5")</f>
        <v>#5</v>
      </c>
      <c r="E295" s="37" t="str">
        <f ca="1">IFERROR(__xludf.DUMMYFUNCTION("""COMPUTED_VALUE"""),"1-1""")</f>
        <v>1-1"</v>
      </c>
      <c r="F295" s="36" t="str">
        <f ca="1">IFERROR(__xludf.DUMMYFUNCTION("""COMPUTED_VALUE"""),"5-7'")</f>
        <v>5-7'</v>
      </c>
      <c r="G295" s="38">
        <f ca="1">IFERROR(__xludf.DUMMYFUNCTION("""COMPUTED_VALUE"""),12)</f>
        <v>12</v>
      </c>
      <c r="H295" s="36">
        <f ca="1">IFERROR(__xludf.DUMMYFUNCTION("""COMPUTED_VALUE"""),50)</f>
        <v>50</v>
      </c>
      <c r="I295" s="39">
        <f ca="1">IFERROR(__xludf.DUMMYFUNCTION("""COMPUTED_VALUE"""),40)</f>
        <v>40</v>
      </c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</row>
    <row r="296" spans="1:26">
      <c r="A296" s="36" t="str">
        <f ca="1">IFERROR(__xludf.DUMMYFUNCTION("""COMPUTED_VALUE"""),"Zelkova serrata 'Green Vase'")</f>
        <v>Zelkova serrata 'Green Vase'</v>
      </c>
      <c r="B296" s="36">
        <f ca="1">IFERROR(__xludf.DUMMYFUNCTION("""COMPUTED_VALUE"""),15)</f>
        <v>15</v>
      </c>
      <c r="C296" s="36" t="str">
        <f ca="1">IFERROR(__xludf.DUMMYFUNCTION("""COMPUTED_VALUE"""),"Green Vase Zelkova")</f>
        <v>Green Vase Zelkova</v>
      </c>
      <c r="D296" s="36" t="str">
        <f ca="1">IFERROR(__xludf.DUMMYFUNCTION("""COMPUTED_VALUE"""),"#15")</f>
        <v>#15</v>
      </c>
      <c r="E296" s="37" t="str">
        <f ca="1">IFERROR(__xludf.DUMMYFUNCTION("""COMPUTED_VALUE"""),"1.5-1.5""")</f>
        <v>1.5-1.5"</v>
      </c>
      <c r="F296" s="36" t="str">
        <f ca="1">IFERROR(__xludf.DUMMYFUNCTION("""COMPUTED_VALUE"""),"10-12'")</f>
        <v>10-12'</v>
      </c>
      <c r="G296" s="38">
        <f ca="1">IFERROR(__xludf.DUMMYFUNCTION("""COMPUTED_VALUE"""),6)</f>
        <v>6</v>
      </c>
      <c r="H296" s="36">
        <f ca="1">IFERROR(__xludf.DUMMYFUNCTION("""COMPUTED_VALUE"""),10)</f>
        <v>10</v>
      </c>
      <c r="I296" s="39">
        <f ca="1">IFERROR(__xludf.DUMMYFUNCTION("""COMPUTED_VALUE"""),110)</f>
        <v>110</v>
      </c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</row>
    <row r="297" spans="1:26">
      <c r="A297" s="36" t="str">
        <f ca="1">IFERROR(__xludf.DUMMYFUNCTION("""COMPUTED_VALUE"""),"Zelkova serrata 'Musashino'")</f>
        <v>Zelkova serrata 'Musashino'</v>
      </c>
      <c r="B297" s="36">
        <f ca="1">IFERROR(__xludf.DUMMYFUNCTION("""COMPUTED_VALUE"""),15)</f>
        <v>15</v>
      </c>
      <c r="C297" s="36" t="str">
        <f ca="1">IFERROR(__xludf.DUMMYFUNCTION("""COMPUTED_VALUE"""),"Musashino Zelkova")</f>
        <v>Musashino Zelkova</v>
      </c>
      <c r="D297" s="36" t="str">
        <f ca="1">IFERROR(__xludf.DUMMYFUNCTION("""COMPUTED_VALUE"""),"#15")</f>
        <v>#15</v>
      </c>
      <c r="E297" s="37" t="str">
        <f ca="1">IFERROR(__xludf.DUMMYFUNCTION("""COMPUTED_VALUE"""),"1.5-1.5""")</f>
        <v>1.5-1.5"</v>
      </c>
      <c r="F297" s="36" t="str">
        <f ca="1">IFERROR(__xludf.DUMMYFUNCTION("""COMPUTED_VALUE"""),"10-11'")</f>
        <v>10-11'</v>
      </c>
      <c r="G297" s="38">
        <f ca="1">IFERROR(__xludf.DUMMYFUNCTION("""COMPUTED_VALUE"""),2)</f>
        <v>2</v>
      </c>
      <c r="H297" s="36">
        <f ca="1">IFERROR(__xludf.DUMMYFUNCTION("""COMPUTED_VALUE"""),0)</f>
        <v>0</v>
      </c>
      <c r="I297" s="39">
        <f ca="1">IFERROR(__xludf.DUMMYFUNCTION("""COMPUTED_VALUE"""),110)</f>
        <v>110</v>
      </c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</row>
    <row r="298" spans="1:26">
      <c r="A298" s="36"/>
      <c r="B298" s="36"/>
      <c r="C298" s="36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</row>
    <row r="299" spans="1:26">
      <c r="A299" s="36"/>
      <c r="B299" s="36"/>
      <c r="C299" s="36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</row>
    <row r="300" spans="1:26">
      <c r="A300" s="36"/>
      <c r="B300" s="36"/>
      <c r="C300" s="36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</row>
    <row r="301" spans="1:26">
      <c r="A301" s="36"/>
      <c r="B301" s="36"/>
      <c r="C301" s="36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</row>
    <row r="302" spans="1:26">
      <c r="A302" s="36"/>
      <c r="B302" s="36"/>
      <c r="C302" s="36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</row>
    <row r="303" spans="1:26">
      <c r="A303" s="36"/>
      <c r="B303" s="36"/>
      <c r="C303" s="36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</row>
    <row r="304" spans="1:26">
      <c r="A304" s="36"/>
      <c r="B304" s="36"/>
      <c r="C304" s="36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</row>
    <row r="305" spans="1:26">
      <c r="A305" s="36"/>
      <c r="B305" s="36"/>
      <c r="C305" s="36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</row>
    <row r="306" spans="1:26">
      <c r="A306" s="36"/>
      <c r="B306" s="36"/>
      <c r="C306" s="36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</row>
    <row r="307" spans="1:26">
      <c r="A307" s="36"/>
      <c r="B307" s="36"/>
      <c r="C307" s="36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</row>
    <row r="308" spans="1:26">
      <c r="A308" s="36"/>
      <c r="B308" s="36"/>
      <c r="C308" s="36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</row>
    <row r="309" spans="1:26">
      <c r="A309" s="36"/>
      <c r="B309" s="36"/>
      <c r="C309" s="36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</row>
    <row r="310" spans="1:26">
      <c r="A310" s="36"/>
      <c r="B310" s="36"/>
      <c r="C310" s="36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</row>
    <row r="311" spans="1:26">
      <c r="A311" s="36"/>
      <c r="B311" s="36"/>
      <c r="C311" s="36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</row>
    <row r="312" spans="1:26">
      <c r="A312" s="36"/>
      <c r="B312" s="36"/>
      <c r="C312" s="36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</row>
    <row r="313" spans="1:26">
      <c r="A313" s="36"/>
      <c r="B313" s="36"/>
      <c r="C313" s="36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</row>
    <row r="314" spans="1:26">
      <c r="A314" s="36"/>
      <c r="B314" s="36"/>
      <c r="C314" s="36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</row>
    <row r="315" spans="1:26">
      <c r="A315" s="36"/>
      <c r="B315" s="36"/>
      <c r="C315" s="36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</row>
    <row r="316" spans="1:26">
      <c r="A316" s="36"/>
      <c r="B316" s="36"/>
      <c r="C316" s="36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</row>
    <row r="317" spans="1:26">
      <c r="A317" s="36"/>
      <c r="B317" s="36"/>
      <c r="C317" s="36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</row>
    <row r="318" spans="1:26">
      <c r="A318" s="36"/>
      <c r="B318" s="36"/>
      <c r="C318" s="36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</row>
    <row r="319" spans="1:26">
      <c r="A319" s="36"/>
      <c r="B319" s="36"/>
      <c r="C319" s="36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</row>
    <row r="320" spans="1:26">
      <c r="A320" s="36"/>
      <c r="B320" s="36"/>
      <c r="C320" s="36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</row>
    <row r="321" spans="1:26">
      <c r="A321" s="36"/>
      <c r="B321" s="36"/>
      <c r="C321" s="36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</row>
    <row r="322" spans="1:26">
      <c r="A322" s="36"/>
      <c r="B322" s="36"/>
      <c r="C322" s="36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</row>
    <row r="323" spans="1:26">
      <c r="A323" s="36"/>
      <c r="B323" s="36"/>
      <c r="C323" s="36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</row>
    <row r="324" spans="1:26">
      <c r="A324" s="36"/>
      <c r="B324" s="36"/>
      <c r="C324" s="36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</row>
    <row r="325" spans="1:26">
      <c r="A325" s="36"/>
      <c r="B325" s="36"/>
      <c r="C325" s="36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</row>
    <row r="326" spans="1:26">
      <c r="A326" s="36"/>
      <c r="B326" s="36"/>
      <c r="C326" s="36"/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</row>
    <row r="327" spans="1:26">
      <c r="A327" s="36"/>
      <c r="B327" s="36"/>
      <c r="C327" s="36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</row>
    <row r="328" spans="1:26">
      <c r="A328" s="36"/>
      <c r="B328" s="36"/>
      <c r="C328" s="36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</row>
    <row r="329" spans="1:26">
      <c r="A329" s="36"/>
      <c r="B329" s="36"/>
      <c r="C329" s="36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</row>
    <row r="330" spans="1:26">
      <c r="A330" s="36"/>
      <c r="B330" s="36"/>
      <c r="C330" s="36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</row>
    <row r="331" spans="1:26">
      <c r="A331" s="36"/>
      <c r="B331" s="36"/>
      <c r="C331" s="36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</row>
    <row r="332" spans="1:26">
      <c r="A332" s="36"/>
      <c r="B332" s="36"/>
      <c r="C332" s="36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</row>
    <row r="333" spans="1:26">
      <c r="A333" s="36"/>
      <c r="B333" s="36"/>
      <c r="C333" s="36"/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</row>
    <row r="334" spans="1:26">
      <c r="A334" s="36"/>
      <c r="B334" s="36"/>
      <c r="C334" s="36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</row>
    <row r="335" spans="1:26">
      <c r="A335" s="36"/>
      <c r="B335" s="36"/>
      <c r="C335" s="36"/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</row>
    <row r="336" spans="1:26">
      <c r="A336" s="36"/>
      <c r="B336" s="36"/>
      <c r="C336" s="36"/>
      <c r="D336" s="36"/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</row>
    <row r="337" spans="1:26">
      <c r="A337" s="36"/>
      <c r="B337" s="36"/>
      <c r="C337" s="36"/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</row>
    <row r="338" spans="1:26">
      <c r="A338" s="36"/>
      <c r="B338" s="36"/>
      <c r="C338" s="36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</row>
    <row r="339" spans="1:26">
      <c r="A339" s="36"/>
      <c r="B339" s="36"/>
      <c r="C339" s="36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</row>
    <row r="340" spans="1:26">
      <c r="A340" s="36"/>
      <c r="B340" s="36"/>
      <c r="C340" s="36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</row>
    <row r="341" spans="1:26">
      <c r="A341" s="36"/>
      <c r="B341" s="36"/>
      <c r="C341" s="36"/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</row>
    <row r="342" spans="1:26">
      <c r="A342" s="36"/>
      <c r="B342" s="36"/>
      <c r="C342" s="36"/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</row>
    <row r="343" spans="1:26">
      <c r="A343" s="36"/>
      <c r="B343" s="36"/>
      <c r="C343" s="36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</row>
    <row r="344" spans="1:26">
      <c r="A344" s="36"/>
      <c r="B344" s="36"/>
      <c r="C344" s="36"/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</row>
    <row r="345" spans="1:26">
      <c r="A345" s="36"/>
      <c r="B345" s="36"/>
      <c r="C345" s="36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</row>
    <row r="346" spans="1:26">
      <c r="A346" s="36"/>
      <c r="B346" s="36"/>
      <c r="C346" s="36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</row>
    <row r="347" spans="1:26">
      <c r="A347" s="36"/>
      <c r="B347" s="36"/>
      <c r="C347" s="36"/>
      <c r="D347" s="36"/>
      <c r="E347" s="36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</row>
    <row r="348" spans="1:26">
      <c r="A348" s="36"/>
      <c r="B348" s="36"/>
      <c r="C348" s="36"/>
      <c r="D348" s="36"/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</row>
    <row r="349" spans="1:26">
      <c r="A349" s="36"/>
      <c r="B349" s="36"/>
      <c r="C349" s="36"/>
      <c r="D349" s="36"/>
      <c r="E349" s="36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</row>
    <row r="350" spans="1:26">
      <c r="A350" s="36"/>
      <c r="B350" s="36"/>
      <c r="C350" s="36"/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</row>
    <row r="351" spans="1:26">
      <c r="A351" s="36"/>
      <c r="B351" s="36"/>
      <c r="C351" s="36"/>
      <c r="D351" s="36"/>
      <c r="E351" s="36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6"/>
    </row>
    <row r="352" spans="1:26">
      <c r="A352" s="36"/>
      <c r="B352" s="36"/>
      <c r="C352" s="36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</row>
    <row r="353" spans="1:26">
      <c r="A353" s="36"/>
      <c r="B353" s="36"/>
      <c r="C353" s="36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</row>
    <row r="354" spans="1:26">
      <c r="A354" s="36"/>
      <c r="B354" s="36"/>
      <c r="C354" s="36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</row>
    <row r="355" spans="1:26">
      <c r="A355" s="36"/>
      <c r="B355" s="36"/>
      <c r="C355" s="36"/>
      <c r="D355" s="36"/>
      <c r="E355" s="36"/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6"/>
    </row>
    <row r="356" spans="1:26">
      <c r="A356" s="36"/>
      <c r="B356" s="36"/>
      <c r="C356" s="36"/>
      <c r="D356" s="36"/>
      <c r="E356" s="36"/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</row>
    <row r="357" spans="1:26">
      <c r="A357" s="36"/>
      <c r="B357" s="36"/>
      <c r="C357" s="36"/>
      <c r="D357" s="36"/>
      <c r="E357" s="36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6"/>
    </row>
    <row r="358" spans="1:26">
      <c r="A358" s="36"/>
      <c r="B358" s="36"/>
      <c r="C358" s="36"/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</row>
    <row r="359" spans="1:26">
      <c r="A359" s="36"/>
      <c r="B359" s="36"/>
      <c r="C359" s="36"/>
      <c r="D359" s="36"/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</row>
    <row r="360" spans="1:26">
      <c r="A360" s="36"/>
      <c r="B360" s="36"/>
      <c r="C360" s="36"/>
      <c r="D360" s="36"/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</row>
    <row r="361" spans="1:26">
      <c r="A361" s="36"/>
      <c r="B361" s="36"/>
      <c r="C361" s="36"/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</row>
    <row r="362" spans="1:26">
      <c r="A362" s="36"/>
      <c r="B362" s="36"/>
      <c r="C362" s="36"/>
      <c r="D362" s="36"/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6"/>
    </row>
    <row r="363" spans="1:26">
      <c r="A363" s="36"/>
      <c r="B363" s="36"/>
      <c r="C363" s="36"/>
      <c r="D363" s="36"/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6"/>
    </row>
    <row r="364" spans="1:26">
      <c r="A364" s="36"/>
      <c r="B364" s="36"/>
      <c r="C364" s="36"/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</row>
    <row r="365" spans="1:26">
      <c r="A365" s="36"/>
      <c r="B365" s="36"/>
      <c r="C365" s="36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6"/>
    </row>
    <row r="366" spans="1:26">
      <c r="A366" s="36"/>
      <c r="B366" s="36"/>
      <c r="C366" s="36"/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36"/>
    </row>
    <row r="367" spans="1:26">
      <c r="A367" s="36"/>
      <c r="B367" s="36"/>
      <c r="C367" s="36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36"/>
    </row>
    <row r="368" spans="1:26">
      <c r="A368" s="36"/>
      <c r="B368" s="36"/>
      <c r="C368" s="36"/>
      <c r="D368" s="36"/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6"/>
      <c r="W368" s="36"/>
      <c r="X368" s="36"/>
      <c r="Y368" s="36"/>
      <c r="Z368" s="36"/>
    </row>
    <row r="369" spans="1:26">
      <c r="A369" s="36"/>
      <c r="B369" s="36"/>
      <c r="C369" s="36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36"/>
    </row>
    <row r="370" spans="1:26">
      <c r="A370" s="36"/>
      <c r="B370" s="36"/>
      <c r="C370" s="36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6"/>
      <c r="Z370" s="36"/>
    </row>
    <row r="371" spans="1:26">
      <c r="A371" s="36"/>
      <c r="B371" s="36"/>
      <c r="C371" s="36"/>
      <c r="D371" s="36"/>
      <c r="E371" s="36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36"/>
      <c r="U371" s="36"/>
      <c r="V371" s="36"/>
      <c r="W371" s="36"/>
      <c r="X371" s="36"/>
      <c r="Y371" s="36"/>
      <c r="Z371" s="36"/>
    </row>
    <row r="372" spans="1:26">
      <c r="A372" s="36"/>
      <c r="B372" s="36"/>
      <c r="C372" s="36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36"/>
    </row>
    <row r="373" spans="1:26">
      <c r="A373" s="36"/>
      <c r="B373" s="36"/>
      <c r="C373" s="36"/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36"/>
    </row>
    <row r="374" spans="1:26">
      <c r="A374" s="36"/>
      <c r="B374" s="36"/>
      <c r="C374" s="36"/>
      <c r="D374" s="36"/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36"/>
    </row>
    <row r="375" spans="1:26">
      <c r="A375" s="36"/>
      <c r="B375" s="36"/>
      <c r="C375" s="36"/>
      <c r="D375" s="36"/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6"/>
    </row>
    <row r="376" spans="1:26">
      <c r="A376" s="36"/>
      <c r="B376" s="36"/>
      <c r="C376" s="36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</row>
    <row r="377" spans="1:26">
      <c r="A377" s="36"/>
      <c r="B377" s="36"/>
      <c r="C377" s="36"/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36"/>
    </row>
    <row r="378" spans="1:26">
      <c r="A378" s="36"/>
      <c r="B378" s="36"/>
      <c r="C378" s="36"/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</row>
    <row r="379" spans="1:26">
      <c r="A379" s="36"/>
      <c r="B379" s="36"/>
      <c r="C379" s="36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/>
    </row>
    <row r="380" spans="1:26">
      <c r="A380" s="36"/>
      <c r="B380" s="36"/>
      <c r="C380" s="36"/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6"/>
    </row>
    <row r="381" spans="1:26">
      <c r="A381" s="36"/>
      <c r="B381" s="36"/>
      <c r="C381" s="36"/>
      <c r="D381" s="36"/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</row>
    <row r="382" spans="1:26">
      <c r="A382" s="36"/>
      <c r="B382" s="36"/>
      <c r="C382" s="36"/>
      <c r="D382" s="36"/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6"/>
    </row>
    <row r="383" spans="1:26">
      <c r="A383" s="36"/>
      <c r="B383" s="36"/>
      <c r="C383" s="36"/>
      <c r="D383" s="36"/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</row>
    <row r="384" spans="1:26">
      <c r="A384" s="36"/>
      <c r="B384" s="36"/>
      <c r="C384" s="36"/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6"/>
    </row>
    <row r="385" spans="1:26">
      <c r="A385" s="36"/>
      <c r="B385" s="36"/>
      <c r="C385" s="36"/>
      <c r="D385" s="36"/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6"/>
    </row>
    <row r="386" spans="1:26">
      <c r="A386" s="36"/>
      <c r="B386" s="36"/>
      <c r="C386" s="36"/>
      <c r="D386" s="36"/>
      <c r="E386" s="36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6"/>
    </row>
    <row r="387" spans="1:26">
      <c r="A387" s="36"/>
      <c r="B387" s="36"/>
      <c r="C387" s="36"/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36"/>
    </row>
    <row r="388" spans="1:26">
      <c r="A388" s="36"/>
      <c r="B388" s="36"/>
      <c r="C388" s="36"/>
      <c r="D388" s="36"/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6"/>
    </row>
    <row r="389" spans="1:26">
      <c r="A389" s="36"/>
      <c r="B389" s="36"/>
      <c r="C389" s="36"/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36"/>
    </row>
    <row r="390" spans="1:26">
      <c r="A390" s="36"/>
      <c r="B390" s="36"/>
      <c r="C390" s="36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36"/>
    </row>
    <row r="391" spans="1:26">
      <c r="A391" s="36"/>
      <c r="B391" s="36"/>
      <c r="C391" s="36"/>
      <c r="D391" s="36"/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</row>
    <row r="392" spans="1:26">
      <c r="A392" s="36"/>
      <c r="B392" s="36"/>
      <c r="C392" s="36"/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</row>
    <row r="393" spans="1:26">
      <c r="A393" s="36"/>
      <c r="B393" s="36"/>
      <c r="C393" s="36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36"/>
    </row>
    <row r="394" spans="1:26">
      <c r="A394" s="36"/>
      <c r="B394" s="36"/>
      <c r="C394" s="36"/>
      <c r="D394" s="36"/>
      <c r="E394" s="36"/>
      <c r="F394" s="36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</row>
    <row r="395" spans="1:26">
      <c r="A395" s="36"/>
      <c r="B395" s="36"/>
      <c r="C395" s="36"/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6"/>
    </row>
    <row r="396" spans="1:26">
      <c r="A396" s="36"/>
      <c r="B396" s="36"/>
      <c r="C396" s="36"/>
      <c r="D396" s="36"/>
      <c r="E396" s="36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</row>
    <row r="397" spans="1:26">
      <c r="A397" s="36"/>
      <c r="B397" s="36"/>
      <c r="C397" s="36"/>
      <c r="D397" s="36"/>
      <c r="E397" s="36"/>
      <c r="F397" s="36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6"/>
    </row>
    <row r="398" spans="1:26">
      <c r="A398" s="36"/>
      <c r="B398" s="36"/>
      <c r="C398" s="36"/>
      <c r="D398" s="36"/>
      <c r="E398" s="36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6"/>
    </row>
    <row r="399" spans="1:26">
      <c r="A399" s="36"/>
      <c r="B399" s="36"/>
      <c r="C399" s="36"/>
      <c r="D399" s="36"/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</row>
    <row r="400" spans="1:26">
      <c r="A400" s="36"/>
      <c r="B400" s="36"/>
      <c r="C400" s="36"/>
      <c r="D400" s="36"/>
      <c r="E400" s="36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36"/>
    </row>
    <row r="401" spans="1:26">
      <c r="A401" s="36"/>
      <c r="B401" s="36"/>
      <c r="C401" s="36"/>
      <c r="D401" s="36"/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36"/>
    </row>
    <row r="402" spans="1:26">
      <c r="A402" s="36"/>
      <c r="B402" s="36"/>
      <c r="C402" s="36"/>
      <c r="D402" s="36"/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6"/>
    </row>
    <row r="403" spans="1:26">
      <c r="A403" s="36"/>
      <c r="B403" s="36"/>
      <c r="C403" s="36"/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6"/>
    </row>
    <row r="404" spans="1:26">
      <c r="A404" s="36"/>
      <c r="B404" s="36"/>
      <c r="C404" s="36"/>
      <c r="D404" s="36"/>
      <c r="E404" s="36"/>
      <c r="F404" s="36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6"/>
    </row>
    <row r="405" spans="1:26">
      <c r="A405" s="36"/>
      <c r="B405" s="36"/>
      <c r="C405" s="36"/>
      <c r="D405" s="36"/>
      <c r="E405" s="36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36"/>
    </row>
    <row r="406" spans="1:26">
      <c r="A406" s="36"/>
      <c r="B406" s="36"/>
      <c r="C406" s="36"/>
      <c r="D406" s="36"/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36"/>
    </row>
    <row r="407" spans="1:26">
      <c r="A407" s="36"/>
      <c r="B407" s="36"/>
      <c r="C407" s="36"/>
      <c r="D407" s="36"/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6"/>
      <c r="T407" s="36"/>
      <c r="U407" s="36"/>
      <c r="V407" s="36"/>
      <c r="W407" s="36"/>
      <c r="X407" s="36"/>
      <c r="Y407" s="36"/>
      <c r="Z407" s="36"/>
    </row>
    <row r="408" spans="1:26">
      <c r="A408" s="36"/>
      <c r="B408" s="36"/>
      <c r="C408" s="36"/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36"/>
      <c r="U408" s="36"/>
      <c r="V408" s="36"/>
      <c r="W408" s="36"/>
      <c r="X408" s="36"/>
      <c r="Y408" s="36"/>
      <c r="Z408" s="36"/>
    </row>
    <row r="409" spans="1:26">
      <c r="A409" s="36"/>
      <c r="B409" s="36"/>
      <c r="C409" s="36"/>
      <c r="D409" s="36"/>
      <c r="E409" s="36"/>
      <c r="F409" s="36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6"/>
      <c r="T409" s="36"/>
      <c r="U409" s="36"/>
      <c r="V409" s="36"/>
      <c r="W409" s="36"/>
      <c r="X409" s="36"/>
      <c r="Y409" s="36"/>
      <c r="Z409" s="36"/>
    </row>
    <row r="410" spans="1:26">
      <c r="A410" s="36"/>
      <c r="B410" s="36"/>
      <c r="C410" s="36"/>
      <c r="D410" s="36"/>
      <c r="E410" s="36"/>
      <c r="F410" s="36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6"/>
      <c r="T410" s="36"/>
      <c r="U410" s="36"/>
      <c r="V410" s="36"/>
      <c r="W410" s="36"/>
      <c r="X410" s="36"/>
      <c r="Y410" s="36"/>
      <c r="Z410" s="36"/>
    </row>
    <row r="411" spans="1:26">
      <c r="A411" s="36"/>
      <c r="B411" s="36"/>
      <c r="C411" s="36"/>
      <c r="D411" s="36"/>
      <c r="E411" s="36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6"/>
      <c r="T411" s="36"/>
      <c r="U411" s="36"/>
      <c r="V411" s="36"/>
      <c r="W411" s="36"/>
      <c r="X411" s="36"/>
      <c r="Y411" s="36"/>
      <c r="Z411" s="36"/>
    </row>
    <row r="412" spans="1:26">
      <c r="A412" s="36"/>
      <c r="B412" s="36"/>
      <c r="C412" s="36"/>
      <c r="D412" s="36"/>
      <c r="E412" s="36"/>
      <c r="F412" s="36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36"/>
      <c r="U412" s="36"/>
      <c r="V412" s="36"/>
      <c r="W412" s="36"/>
      <c r="X412" s="36"/>
      <c r="Y412" s="36"/>
      <c r="Z412" s="36"/>
    </row>
    <row r="413" spans="1:26">
      <c r="A413" s="36"/>
      <c r="B413" s="36"/>
      <c r="C413" s="36"/>
      <c r="D413" s="36"/>
      <c r="E413" s="36"/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6"/>
      <c r="T413" s="36"/>
      <c r="U413" s="36"/>
      <c r="V413" s="36"/>
      <c r="W413" s="36"/>
      <c r="X413" s="36"/>
      <c r="Y413" s="36"/>
      <c r="Z413" s="36"/>
    </row>
    <row r="414" spans="1:26">
      <c r="A414" s="36"/>
      <c r="B414" s="36"/>
      <c r="C414" s="36"/>
      <c r="D414" s="36"/>
      <c r="E414" s="36"/>
      <c r="F414" s="36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36"/>
      <c r="U414" s="36"/>
      <c r="V414" s="36"/>
      <c r="W414" s="36"/>
      <c r="X414" s="36"/>
      <c r="Y414" s="36"/>
      <c r="Z414" s="36"/>
    </row>
    <row r="415" spans="1:26">
      <c r="A415" s="36"/>
      <c r="B415" s="36"/>
      <c r="C415" s="36"/>
      <c r="D415" s="36"/>
      <c r="E415" s="36"/>
      <c r="F415" s="36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6"/>
      <c r="T415" s="36"/>
      <c r="U415" s="36"/>
      <c r="V415" s="36"/>
      <c r="W415" s="36"/>
      <c r="X415" s="36"/>
      <c r="Y415" s="36"/>
      <c r="Z415" s="36"/>
    </row>
    <row r="416" spans="1:26">
      <c r="A416" s="36"/>
      <c r="B416" s="36"/>
      <c r="C416" s="36"/>
      <c r="D416" s="36"/>
      <c r="E416" s="36"/>
      <c r="F416" s="36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36"/>
    </row>
    <row r="417" spans="1:26">
      <c r="A417" s="36"/>
      <c r="B417" s="36"/>
      <c r="C417" s="36"/>
      <c r="D417" s="36"/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6"/>
      <c r="T417" s="36"/>
      <c r="U417" s="36"/>
      <c r="V417" s="36"/>
      <c r="W417" s="36"/>
      <c r="X417" s="36"/>
      <c r="Y417" s="36"/>
      <c r="Z417" s="36"/>
    </row>
    <row r="418" spans="1:26">
      <c r="A418" s="36"/>
      <c r="B418" s="36"/>
      <c r="C418" s="36"/>
      <c r="D418" s="36"/>
      <c r="E418" s="36"/>
      <c r="F418" s="36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6"/>
      <c r="T418" s="36"/>
      <c r="U418" s="36"/>
      <c r="V418" s="36"/>
      <c r="W418" s="36"/>
      <c r="X418" s="36"/>
      <c r="Y418" s="36"/>
      <c r="Z418" s="36"/>
    </row>
    <row r="419" spans="1:26">
      <c r="A419" s="36"/>
      <c r="B419" s="36"/>
      <c r="C419" s="36"/>
      <c r="D419" s="36"/>
      <c r="E419" s="36"/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6"/>
      <c r="T419" s="36"/>
      <c r="U419" s="36"/>
      <c r="V419" s="36"/>
      <c r="W419" s="36"/>
      <c r="X419" s="36"/>
      <c r="Y419" s="36"/>
      <c r="Z419" s="36"/>
    </row>
    <row r="420" spans="1:26">
      <c r="A420" s="36"/>
      <c r="B420" s="36"/>
      <c r="C420" s="36"/>
      <c r="D420" s="36"/>
      <c r="E420" s="36"/>
      <c r="F420" s="36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6"/>
      <c r="T420" s="36"/>
      <c r="U420" s="36"/>
      <c r="V420" s="36"/>
      <c r="W420" s="36"/>
      <c r="X420" s="36"/>
      <c r="Y420" s="36"/>
      <c r="Z420" s="36"/>
    </row>
    <row r="421" spans="1:26">
      <c r="A421" s="36"/>
      <c r="B421" s="36"/>
      <c r="C421" s="36"/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6"/>
      <c r="T421" s="36"/>
      <c r="U421" s="36"/>
      <c r="V421" s="36"/>
      <c r="W421" s="36"/>
      <c r="X421" s="36"/>
      <c r="Y421" s="36"/>
      <c r="Z421" s="36"/>
    </row>
    <row r="422" spans="1:26">
      <c r="A422" s="36"/>
      <c r="B422" s="36"/>
      <c r="C422" s="36"/>
      <c r="D422" s="36"/>
      <c r="E422" s="36"/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6"/>
      <c r="T422" s="36"/>
      <c r="U422" s="36"/>
      <c r="V422" s="36"/>
      <c r="W422" s="36"/>
      <c r="X422" s="36"/>
      <c r="Y422" s="36"/>
      <c r="Z422" s="36"/>
    </row>
    <row r="423" spans="1:26">
      <c r="A423" s="36"/>
      <c r="B423" s="36"/>
      <c r="C423" s="36"/>
      <c r="D423" s="36"/>
      <c r="E423" s="36"/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6"/>
      <c r="T423" s="36"/>
      <c r="U423" s="36"/>
      <c r="V423" s="36"/>
      <c r="W423" s="36"/>
      <c r="X423" s="36"/>
      <c r="Y423" s="36"/>
      <c r="Z423" s="36"/>
    </row>
    <row r="424" spans="1:26">
      <c r="A424" s="36"/>
      <c r="B424" s="36"/>
      <c r="C424" s="36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  <c r="U424" s="36"/>
      <c r="V424" s="36"/>
      <c r="W424" s="36"/>
      <c r="X424" s="36"/>
      <c r="Y424" s="36"/>
      <c r="Z424" s="36"/>
    </row>
    <row r="425" spans="1:26">
      <c r="A425" s="36"/>
      <c r="B425" s="36"/>
      <c r="C425" s="36"/>
      <c r="D425" s="36"/>
      <c r="E425" s="36"/>
      <c r="F425" s="36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6"/>
      <c r="T425" s="36"/>
      <c r="U425" s="36"/>
      <c r="V425" s="36"/>
      <c r="W425" s="36"/>
      <c r="X425" s="36"/>
      <c r="Y425" s="36"/>
      <c r="Z425" s="36"/>
    </row>
    <row r="426" spans="1:26">
      <c r="A426" s="36"/>
      <c r="B426" s="36"/>
      <c r="C426" s="36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U426" s="36"/>
      <c r="V426" s="36"/>
      <c r="W426" s="36"/>
      <c r="X426" s="36"/>
      <c r="Y426" s="36"/>
      <c r="Z426" s="36"/>
    </row>
    <row r="427" spans="1:26">
      <c r="A427" s="36"/>
      <c r="B427" s="36"/>
      <c r="C427" s="36"/>
      <c r="D427" s="36"/>
      <c r="E427" s="36"/>
      <c r="F427" s="36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6"/>
      <c r="T427" s="36"/>
      <c r="U427" s="36"/>
      <c r="V427" s="36"/>
      <c r="W427" s="36"/>
      <c r="X427" s="36"/>
      <c r="Y427" s="36"/>
      <c r="Z427" s="36"/>
    </row>
    <row r="428" spans="1:26">
      <c r="A428" s="36"/>
      <c r="B428" s="36"/>
      <c r="C428" s="36"/>
      <c r="D428" s="36"/>
      <c r="E428" s="36"/>
      <c r="F428" s="36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6"/>
      <c r="T428" s="36"/>
      <c r="U428" s="36"/>
      <c r="V428" s="36"/>
      <c r="W428" s="36"/>
      <c r="X428" s="36"/>
      <c r="Y428" s="36"/>
      <c r="Z428" s="36"/>
    </row>
    <row r="429" spans="1:26">
      <c r="A429" s="36"/>
      <c r="B429" s="36"/>
      <c r="C429" s="36"/>
      <c r="D429" s="36"/>
      <c r="E429" s="36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6"/>
      <c r="T429" s="36"/>
      <c r="U429" s="36"/>
      <c r="V429" s="36"/>
      <c r="W429" s="36"/>
      <c r="X429" s="36"/>
      <c r="Y429" s="36"/>
      <c r="Z429" s="36"/>
    </row>
    <row r="430" spans="1:26">
      <c r="A430" s="36"/>
      <c r="B430" s="36"/>
      <c r="C430" s="36"/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U430" s="36"/>
      <c r="V430" s="36"/>
      <c r="W430" s="36"/>
      <c r="X430" s="36"/>
      <c r="Y430" s="36"/>
      <c r="Z430" s="36"/>
    </row>
    <row r="431" spans="1:26">
      <c r="A431" s="36"/>
      <c r="B431" s="36"/>
      <c r="C431" s="36"/>
      <c r="D431" s="36"/>
      <c r="E431" s="36"/>
      <c r="F431" s="36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6"/>
      <c r="T431" s="36"/>
      <c r="U431" s="36"/>
      <c r="V431" s="36"/>
      <c r="W431" s="36"/>
      <c r="X431" s="36"/>
      <c r="Y431" s="36"/>
      <c r="Z431" s="36"/>
    </row>
    <row r="432" spans="1:26">
      <c r="A432" s="36"/>
      <c r="B432" s="36"/>
      <c r="C432" s="36"/>
      <c r="D432" s="36"/>
      <c r="E432" s="36"/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6"/>
      <c r="T432" s="36"/>
      <c r="U432" s="36"/>
      <c r="V432" s="36"/>
      <c r="W432" s="36"/>
      <c r="X432" s="36"/>
      <c r="Y432" s="36"/>
      <c r="Z432" s="36"/>
    </row>
    <row r="433" spans="1:26">
      <c r="A433" s="36"/>
      <c r="B433" s="36"/>
      <c r="C433" s="36"/>
      <c r="D433" s="36"/>
      <c r="E433" s="36"/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6"/>
      <c r="T433" s="36"/>
      <c r="U433" s="36"/>
      <c r="V433" s="36"/>
      <c r="W433" s="36"/>
      <c r="X433" s="36"/>
      <c r="Y433" s="36"/>
      <c r="Z433" s="36"/>
    </row>
    <row r="434" spans="1:26">
      <c r="A434" s="36"/>
      <c r="B434" s="36"/>
      <c r="C434" s="36"/>
      <c r="D434" s="36"/>
      <c r="E434" s="36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6"/>
      <c r="T434" s="36"/>
      <c r="U434" s="36"/>
      <c r="V434" s="36"/>
      <c r="W434" s="36"/>
      <c r="X434" s="36"/>
      <c r="Y434" s="36"/>
      <c r="Z434" s="36"/>
    </row>
    <row r="435" spans="1:26">
      <c r="A435" s="36"/>
      <c r="B435" s="36"/>
      <c r="C435" s="36"/>
      <c r="D435" s="36"/>
      <c r="E435" s="36"/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6"/>
      <c r="T435" s="36"/>
      <c r="U435" s="36"/>
      <c r="V435" s="36"/>
      <c r="W435" s="36"/>
      <c r="X435" s="36"/>
      <c r="Y435" s="36"/>
      <c r="Z435" s="36"/>
    </row>
    <row r="436" spans="1:26">
      <c r="A436" s="36"/>
      <c r="B436" s="36"/>
      <c r="C436" s="36"/>
      <c r="D436" s="36"/>
      <c r="E436" s="36"/>
      <c r="F436" s="36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6"/>
      <c r="T436" s="36"/>
      <c r="U436" s="36"/>
      <c r="V436" s="36"/>
      <c r="W436" s="36"/>
      <c r="X436" s="36"/>
      <c r="Y436" s="36"/>
      <c r="Z436" s="36"/>
    </row>
    <row r="437" spans="1:26">
      <c r="A437" s="36"/>
      <c r="B437" s="36"/>
      <c r="C437" s="36"/>
      <c r="D437" s="36"/>
      <c r="E437" s="36"/>
      <c r="F437" s="36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6"/>
      <c r="T437" s="36"/>
      <c r="U437" s="36"/>
      <c r="V437" s="36"/>
      <c r="W437" s="36"/>
      <c r="X437" s="36"/>
      <c r="Y437" s="36"/>
      <c r="Z437" s="36"/>
    </row>
    <row r="438" spans="1:26">
      <c r="A438" s="36"/>
      <c r="B438" s="36"/>
      <c r="C438" s="36"/>
      <c r="D438" s="36"/>
      <c r="E438" s="36"/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6"/>
      <c r="T438" s="36"/>
      <c r="U438" s="36"/>
      <c r="V438" s="36"/>
      <c r="W438" s="36"/>
      <c r="X438" s="36"/>
      <c r="Y438" s="36"/>
      <c r="Z438" s="36"/>
    </row>
    <row r="439" spans="1:26">
      <c r="A439" s="36"/>
      <c r="B439" s="36"/>
      <c r="C439" s="36"/>
      <c r="D439" s="36"/>
      <c r="E439" s="36"/>
      <c r="F439" s="36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6"/>
      <c r="T439" s="36"/>
      <c r="U439" s="36"/>
      <c r="V439" s="36"/>
      <c r="W439" s="36"/>
      <c r="X439" s="36"/>
      <c r="Y439" s="36"/>
      <c r="Z439" s="36"/>
    </row>
    <row r="440" spans="1:26">
      <c r="A440" s="36"/>
      <c r="B440" s="36"/>
      <c r="C440" s="36"/>
      <c r="D440" s="36"/>
      <c r="E440" s="36"/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6"/>
      <c r="T440" s="36"/>
      <c r="U440" s="36"/>
      <c r="V440" s="36"/>
      <c r="W440" s="36"/>
      <c r="X440" s="36"/>
      <c r="Y440" s="36"/>
      <c r="Z440" s="36"/>
    </row>
    <row r="441" spans="1:26">
      <c r="A441" s="36"/>
      <c r="B441" s="36"/>
      <c r="C441" s="36"/>
      <c r="D441" s="36"/>
      <c r="E441" s="36"/>
      <c r="F441" s="36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6"/>
      <c r="T441" s="36"/>
      <c r="U441" s="36"/>
      <c r="V441" s="36"/>
      <c r="W441" s="36"/>
      <c r="X441" s="36"/>
      <c r="Y441" s="36"/>
      <c r="Z441" s="36"/>
    </row>
    <row r="442" spans="1:26">
      <c r="A442" s="36"/>
      <c r="B442" s="36"/>
      <c r="C442" s="36"/>
      <c r="D442" s="36"/>
      <c r="E442" s="36"/>
      <c r="F442" s="36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6"/>
      <c r="T442" s="36"/>
      <c r="U442" s="36"/>
      <c r="V442" s="36"/>
      <c r="W442" s="36"/>
      <c r="X442" s="36"/>
      <c r="Y442" s="36"/>
      <c r="Z442" s="36"/>
    </row>
    <row r="443" spans="1:26">
      <c r="A443" s="36"/>
      <c r="B443" s="36"/>
      <c r="C443" s="36"/>
      <c r="D443" s="36"/>
      <c r="E443" s="36"/>
      <c r="F443" s="36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6"/>
      <c r="T443" s="36"/>
      <c r="U443" s="36"/>
      <c r="V443" s="36"/>
      <c r="W443" s="36"/>
      <c r="X443" s="36"/>
      <c r="Y443" s="36"/>
      <c r="Z443" s="36"/>
    </row>
    <row r="444" spans="1:26">
      <c r="A444" s="36"/>
      <c r="B444" s="36"/>
      <c r="C444" s="36"/>
      <c r="D444" s="36"/>
      <c r="E444" s="36"/>
      <c r="F444" s="36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6"/>
      <c r="T444" s="36"/>
      <c r="U444" s="36"/>
      <c r="V444" s="36"/>
      <c r="W444" s="36"/>
      <c r="X444" s="36"/>
      <c r="Y444" s="36"/>
      <c r="Z444" s="36"/>
    </row>
    <row r="445" spans="1:26">
      <c r="A445" s="36"/>
      <c r="B445" s="36"/>
      <c r="C445" s="36"/>
      <c r="D445" s="36"/>
      <c r="E445" s="36"/>
      <c r="F445" s="36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6"/>
      <c r="T445" s="36"/>
      <c r="U445" s="36"/>
      <c r="V445" s="36"/>
      <c r="W445" s="36"/>
      <c r="X445" s="36"/>
      <c r="Y445" s="36"/>
      <c r="Z445" s="36"/>
    </row>
    <row r="446" spans="1:26">
      <c r="A446" s="36"/>
      <c r="B446" s="36"/>
      <c r="C446" s="36"/>
      <c r="D446" s="36"/>
      <c r="E446" s="36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6"/>
      <c r="T446" s="36"/>
      <c r="U446" s="36"/>
      <c r="V446" s="36"/>
      <c r="W446" s="36"/>
      <c r="X446" s="36"/>
      <c r="Y446" s="36"/>
      <c r="Z446" s="36"/>
    </row>
    <row r="447" spans="1:26">
      <c r="A447" s="36"/>
      <c r="B447" s="36"/>
      <c r="C447" s="36"/>
      <c r="D447" s="36"/>
      <c r="E447" s="36"/>
      <c r="F447" s="36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6"/>
      <c r="T447" s="36"/>
      <c r="U447" s="36"/>
      <c r="V447" s="36"/>
      <c r="W447" s="36"/>
      <c r="X447" s="36"/>
      <c r="Y447" s="36"/>
      <c r="Z447" s="36"/>
    </row>
    <row r="448" spans="1:26">
      <c r="A448" s="36"/>
      <c r="B448" s="36"/>
      <c r="C448" s="36"/>
      <c r="D448" s="36"/>
      <c r="E448" s="36"/>
      <c r="F448" s="36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6"/>
      <c r="T448" s="36"/>
      <c r="U448" s="36"/>
      <c r="V448" s="36"/>
      <c r="W448" s="36"/>
      <c r="X448" s="36"/>
      <c r="Y448" s="36"/>
      <c r="Z448" s="36"/>
    </row>
    <row r="449" spans="1:26">
      <c r="A449" s="36"/>
      <c r="B449" s="36"/>
      <c r="C449" s="36"/>
      <c r="D449" s="36"/>
      <c r="E449" s="36"/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6"/>
      <c r="T449" s="36"/>
      <c r="U449" s="36"/>
      <c r="V449" s="36"/>
      <c r="W449" s="36"/>
      <c r="X449" s="36"/>
      <c r="Y449" s="36"/>
      <c r="Z449" s="36"/>
    </row>
    <row r="450" spans="1:26">
      <c r="A450" s="36"/>
      <c r="B450" s="36"/>
      <c r="C450" s="36"/>
      <c r="D450" s="36"/>
      <c r="E450" s="36"/>
      <c r="F450" s="36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6"/>
      <c r="T450" s="36"/>
      <c r="U450" s="36"/>
      <c r="V450" s="36"/>
      <c r="W450" s="36"/>
      <c r="X450" s="36"/>
      <c r="Y450" s="36"/>
      <c r="Z450" s="36"/>
    </row>
    <row r="451" spans="1:26">
      <c r="A451" s="36"/>
      <c r="B451" s="36"/>
      <c r="C451" s="36"/>
      <c r="D451" s="36"/>
      <c r="E451" s="36"/>
      <c r="F451" s="36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6"/>
      <c r="T451" s="36"/>
      <c r="U451" s="36"/>
      <c r="V451" s="36"/>
      <c r="W451" s="36"/>
      <c r="X451" s="36"/>
      <c r="Y451" s="36"/>
      <c r="Z451" s="36"/>
    </row>
    <row r="452" spans="1:26">
      <c r="A452" s="36"/>
      <c r="B452" s="36"/>
      <c r="C452" s="36"/>
      <c r="D452" s="36"/>
      <c r="E452" s="36"/>
      <c r="F452" s="36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6"/>
      <c r="T452" s="36"/>
      <c r="U452" s="36"/>
      <c r="V452" s="36"/>
      <c r="W452" s="36"/>
      <c r="X452" s="36"/>
      <c r="Y452" s="36"/>
      <c r="Z452" s="36"/>
    </row>
    <row r="453" spans="1:26">
      <c r="A453" s="36"/>
      <c r="B453" s="36"/>
      <c r="C453" s="36"/>
      <c r="D453" s="36"/>
      <c r="E453" s="36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36"/>
      <c r="U453" s="36"/>
      <c r="V453" s="36"/>
      <c r="W453" s="36"/>
      <c r="X453" s="36"/>
      <c r="Y453" s="36"/>
      <c r="Z453" s="36"/>
    </row>
    <row r="454" spans="1:26">
      <c r="A454" s="36"/>
      <c r="B454" s="36"/>
      <c r="C454" s="36"/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U454" s="36"/>
      <c r="V454" s="36"/>
      <c r="W454" s="36"/>
      <c r="X454" s="36"/>
      <c r="Y454" s="36"/>
      <c r="Z454" s="36"/>
    </row>
    <row r="455" spans="1:26">
      <c r="A455" s="36"/>
      <c r="B455" s="36"/>
      <c r="C455" s="36"/>
      <c r="D455" s="36"/>
      <c r="E455" s="36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6"/>
      <c r="T455" s="36"/>
      <c r="U455" s="36"/>
      <c r="V455" s="36"/>
      <c r="W455" s="36"/>
      <c r="X455" s="36"/>
      <c r="Y455" s="36"/>
      <c r="Z455" s="36"/>
    </row>
    <row r="456" spans="1:26">
      <c r="A456" s="36"/>
      <c r="B456" s="36"/>
      <c r="C456" s="36"/>
      <c r="D456" s="36"/>
      <c r="E456" s="36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6"/>
      <c r="T456" s="36"/>
      <c r="U456" s="36"/>
      <c r="V456" s="36"/>
      <c r="W456" s="36"/>
      <c r="X456" s="36"/>
      <c r="Y456" s="36"/>
      <c r="Z456" s="36"/>
    </row>
    <row r="457" spans="1:26">
      <c r="A457" s="36"/>
      <c r="B457" s="36"/>
      <c r="C457" s="36"/>
      <c r="D457" s="36"/>
      <c r="E457" s="36"/>
      <c r="F457" s="36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6"/>
      <c r="T457" s="36"/>
      <c r="U457" s="36"/>
      <c r="V457" s="36"/>
      <c r="W457" s="36"/>
      <c r="X457" s="36"/>
      <c r="Y457" s="36"/>
      <c r="Z457" s="36"/>
    </row>
    <row r="458" spans="1:26">
      <c r="A458" s="36"/>
      <c r="B458" s="36"/>
      <c r="C458" s="36"/>
      <c r="D458" s="36"/>
      <c r="E458" s="36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6"/>
      <c r="T458" s="36"/>
      <c r="U458" s="36"/>
      <c r="V458" s="36"/>
      <c r="W458" s="36"/>
      <c r="X458" s="36"/>
      <c r="Y458" s="36"/>
      <c r="Z458" s="36"/>
    </row>
    <row r="459" spans="1:26">
      <c r="A459" s="36"/>
      <c r="B459" s="36"/>
      <c r="C459" s="36"/>
      <c r="D459" s="36"/>
      <c r="E459" s="36"/>
      <c r="F459" s="36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6"/>
      <c r="T459" s="36"/>
      <c r="U459" s="36"/>
      <c r="V459" s="36"/>
      <c r="W459" s="36"/>
      <c r="X459" s="36"/>
      <c r="Y459" s="36"/>
      <c r="Z459" s="36"/>
    </row>
    <row r="460" spans="1:26">
      <c r="A460" s="36"/>
      <c r="B460" s="36"/>
      <c r="C460" s="36"/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36"/>
      <c r="U460" s="36"/>
      <c r="V460" s="36"/>
      <c r="W460" s="36"/>
      <c r="X460" s="36"/>
      <c r="Y460" s="36"/>
      <c r="Z460" s="36"/>
    </row>
    <row r="461" spans="1:26">
      <c r="A461" s="36"/>
      <c r="B461" s="36"/>
      <c r="C461" s="36"/>
      <c r="D461" s="36"/>
      <c r="E461" s="36"/>
      <c r="F461" s="36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6"/>
      <c r="T461" s="36"/>
      <c r="U461" s="36"/>
      <c r="V461" s="36"/>
      <c r="W461" s="36"/>
      <c r="X461" s="36"/>
      <c r="Y461" s="36"/>
      <c r="Z461" s="36"/>
    </row>
    <row r="462" spans="1:26">
      <c r="A462" s="36"/>
      <c r="B462" s="36"/>
      <c r="C462" s="36"/>
      <c r="D462" s="36"/>
      <c r="E462" s="36"/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36"/>
      <c r="U462" s="36"/>
      <c r="V462" s="36"/>
      <c r="W462" s="36"/>
      <c r="X462" s="36"/>
      <c r="Y462" s="36"/>
      <c r="Z462" s="36"/>
    </row>
    <row r="463" spans="1:26">
      <c r="A463" s="36"/>
      <c r="B463" s="36"/>
      <c r="C463" s="36"/>
      <c r="D463" s="36"/>
      <c r="E463" s="36"/>
      <c r="F463" s="36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6"/>
      <c r="T463" s="36"/>
      <c r="U463" s="36"/>
      <c r="V463" s="36"/>
      <c r="W463" s="36"/>
      <c r="X463" s="36"/>
      <c r="Y463" s="36"/>
      <c r="Z463" s="36"/>
    </row>
    <row r="464" spans="1:26">
      <c r="A464" s="36"/>
      <c r="B464" s="36"/>
      <c r="C464" s="36"/>
      <c r="D464" s="36"/>
      <c r="E464" s="36"/>
      <c r="F464" s="36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6"/>
      <c r="T464" s="36"/>
      <c r="U464" s="36"/>
      <c r="V464" s="36"/>
      <c r="W464" s="36"/>
      <c r="X464" s="36"/>
      <c r="Y464" s="36"/>
      <c r="Z464" s="36"/>
    </row>
    <row r="465" spans="1:26">
      <c r="A465" s="36"/>
      <c r="B465" s="36"/>
      <c r="C465" s="36"/>
      <c r="D465" s="36"/>
      <c r="E465" s="36"/>
      <c r="F465" s="36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6"/>
      <c r="T465" s="36"/>
      <c r="U465" s="36"/>
      <c r="V465" s="36"/>
      <c r="W465" s="36"/>
      <c r="X465" s="36"/>
      <c r="Y465" s="36"/>
      <c r="Z465" s="36"/>
    </row>
    <row r="466" spans="1:26">
      <c r="A466" s="36"/>
      <c r="B466" s="36"/>
      <c r="C466" s="36"/>
      <c r="D466" s="36"/>
      <c r="E466" s="36"/>
      <c r="F466" s="36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6"/>
      <c r="T466" s="36"/>
      <c r="U466" s="36"/>
      <c r="V466" s="36"/>
      <c r="W466" s="36"/>
      <c r="X466" s="36"/>
      <c r="Y466" s="36"/>
      <c r="Z466" s="36"/>
    </row>
    <row r="467" spans="1:26">
      <c r="A467" s="36"/>
      <c r="B467" s="36"/>
      <c r="C467" s="36"/>
      <c r="D467" s="36"/>
      <c r="E467" s="36"/>
      <c r="F467" s="36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6"/>
      <c r="T467" s="36"/>
      <c r="U467" s="36"/>
      <c r="V467" s="36"/>
      <c r="W467" s="36"/>
      <c r="X467" s="36"/>
      <c r="Y467" s="36"/>
      <c r="Z467" s="36"/>
    </row>
    <row r="468" spans="1:26">
      <c r="A468" s="36"/>
      <c r="B468" s="36"/>
      <c r="C468" s="36"/>
      <c r="D468" s="36"/>
      <c r="E468" s="36"/>
      <c r="F468" s="36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6"/>
      <c r="T468" s="36"/>
      <c r="U468" s="36"/>
      <c r="V468" s="36"/>
      <c r="W468" s="36"/>
      <c r="X468" s="36"/>
      <c r="Y468" s="36"/>
      <c r="Z468" s="36"/>
    </row>
    <row r="469" spans="1:26">
      <c r="A469" s="36"/>
      <c r="B469" s="36"/>
      <c r="C469" s="36"/>
      <c r="D469" s="36"/>
      <c r="E469" s="36"/>
      <c r="F469" s="36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6"/>
      <c r="T469" s="36"/>
      <c r="U469" s="36"/>
      <c r="V469" s="36"/>
      <c r="W469" s="36"/>
      <c r="X469" s="36"/>
      <c r="Y469" s="36"/>
      <c r="Z469" s="36"/>
    </row>
    <row r="470" spans="1:26">
      <c r="A470" s="36"/>
      <c r="B470" s="36"/>
      <c r="C470" s="36"/>
      <c r="D470" s="36"/>
      <c r="E470" s="36"/>
      <c r="F470" s="36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6"/>
      <c r="T470" s="36"/>
      <c r="U470" s="36"/>
      <c r="V470" s="36"/>
      <c r="W470" s="36"/>
      <c r="X470" s="36"/>
      <c r="Y470" s="36"/>
      <c r="Z470" s="36"/>
    </row>
    <row r="471" spans="1:26">
      <c r="A471" s="36"/>
      <c r="B471" s="36"/>
      <c r="C471" s="36"/>
      <c r="D471" s="36"/>
      <c r="E471" s="36"/>
      <c r="F471" s="36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6"/>
      <c r="T471" s="36"/>
      <c r="U471" s="36"/>
      <c r="V471" s="36"/>
      <c r="W471" s="36"/>
      <c r="X471" s="36"/>
      <c r="Y471" s="36"/>
      <c r="Z471" s="36"/>
    </row>
    <row r="472" spans="1:26">
      <c r="A472" s="36"/>
      <c r="B472" s="36"/>
      <c r="C472" s="36"/>
      <c r="D472" s="36"/>
      <c r="E472" s="36"/>
      <c r="F472" s="36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6"/>
      <c r="T472" s="36"/>
      <c r="U472" s="36"/>
      <c r="V472" s="36"/>
      <c r="W472" s="36"/>
      <c r="X472" s="36"/>
      <c r="Y472" s="36"/>
      <c r="Z472" s="36"/>
    </row>
    <row r="473" spans="1:26">
      <c r="A473" s="36"/>
      <c r="B473" s="36"/>
      <c r="C473" s="36"/>
      <c r="D473" s="36"/>
      <c r="E473" s="36"/>
      <c r="F473" s="36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6"/>
      <c r="T473" s="36"/>
      <c r="U473" s="36"/>
      <c r="V473" s="36"/>
      <c r="W473" s="36"/>
      <c r="X473" s="36"/>
      <c r="Y473" s="36"/>
      <c r="Z473" s="36"/>
    </row>
    <row r="474" spans="1:26">
      <c r="A474" s="36"/>
      <c r="B474" s="36"/>
      <c r="C474" s="36"/>
      <c r="D474" s="36"/>
      <c r="E474" s="36"/>
      <c r="F474" s="36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6"/>
      <c r="T474" s="36"/>
      <c r="U474" s="36"/>
      <c r="V474" s="36"/>
      <c r="W474" s="36"/>
      <c r="X474" s="36"/>
      <c r="Y474" s="36"/>
      <c r="Z474" s="36"/>
    </row>
    <row r="475" spans="1:26">
      <c r="A475" s="36"/>
      <c r="B475" s="36"/>
      <c r="C475" s="36"/>
      <c r="D475" s="36"/>
      <c r="E475" s="36"/>
      <c r="F475" s="36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6"/>
      <c r="T475" s="36"/>
      <c r="U475" s="36"/>
      <c r="V475" s="36"/>
      <c r="W475" s="36"/>
      <c r="X475" s="36"/>
      <c r="Y475" s="36"/>
      <c r="Z475" s="36"/>
    </row>
    <row r="476" spans="1:26">
      <c r="A476" s="36"/>
      <c r="B476" s="36"/>
      <c r="C476" s="36"/>
      <c r="D476" s="36"/>
      <c r="E476" s="36"/>
      <c r="F476" s="36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6"/>
      <c r="T476" s="36"/>
      <c r="U476" s="36"/>
      <c r="V476" s="36"/>
      <c r="W476" s="36"/>
      <c r="X476" s="36"/>
      <c r="Y476" s="36"/>
      <c r="Z476" s="36"/>
    </row>
    <row r="477" spans="1:26">
      <c r="A477" s="36"/>
      <c r="B477" s="36"/>
      <c r="C477" s="36"/>
      <c r="D477" s="36"/>
      <c r="E477" s="36"/>
      <c r="F477" s="36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6"/>
      <c r="T477" s="36"/>
      <c r="U477" s="36"/>
      <c r="V477" s="36"/>
      <c r="W477" s="36"/>
      <c r="X477" s="36"/>
      <c r="Y477" s="36"/>
      <c r="Z477" s="36"/>
    </row>
    <row r="478" spans="1:26">
      <c r="A478" s="36"/>
      <c r="B478" s="36"/>
      <c r="C478" s="36"/>
      <c r="D478" s="36"/>
      <c r="E478" s="36"/>
      <c r="F478" s="36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6"/>
      <c r="T478" s="36"/>
      <c r="U478" s="36"/>
      <c r="V478" s="36"/>
      <c r="W478" s="36"/>
      <c r="X478" s="36"/>
      <c r="Y478" s="36"/>
      <c r="Z478" s="36"/>
    </row>
    <row r="479" spans="1:26">
      <c r="A479" s="36"/>
      <c r="B479" s="36"/>
      <c r="C479" s="36"/>
      <c r="D479" s="36"/>
      <c r="E479" s="36"/>
      <c r="F479" s="36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6"/>
      <c r="T479" s="36"/>
      <c r="U479" s="36"/>
      <c r="V479" s="36"/>
      <c r="W479" s="36"/>
      <c r="X479" s="36"/>
      <c r="Y479" s="36"/>
      <c r="Z479" s="36"/>
    </row>
    <row r="480" spans="1:26">
      <c r="A480" s="36"/>
      <c r="B480" s="36"/>
      <c r="C480" s="36"/>
      <c r="D480" s="36"/>
      <c r="E480" s="36"/>
      <c r="F480" s="36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6"/>
      <c r="T480" s="36"/>
      <c r="U480" s="36"/>
      <c r="V480" s="36"/>
      <c r="W480" s="36"/>
      <c r="X480" s="36"/>
      <c r="Y480" s="36"/>
      <c r="Z480" s="36"/>
    </row>
    <row r="481" spans="1:26">
      <c r="A481" s="36"/>
      <c r="B481" s="36"/>
      <c r="C481" s="36"/>
      <c r="D481" s="36"/>
      <c r="E481" s="36"/>
      <c r="F481" s="36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6"/>
      <c r="T481" s="36"/>
      <c r="U481" s="36"/>
      <c r="V481" s="36"/>
      <c r="W481" s="36"/>
      <c r="X481" s="36"/>
      <c r="Y481" s="36"/>
      <c r="Z481" s="36"/>
    </row>
    <row r="482" spans="1:26">
      <c r="A482" s="36"/>
      <c r="B482" s="36"/>
      <c r="C482" s="36"/>
      <c r="D482" s="36"/>
      <c r="E482" s="36"/>
      <c r="F482" s="36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6"/>
      <c r="T482" s="36"/>
      <c r="U482" s="36"/>
      <c r="V482" s="36"/>
      <c r="W482" s="36"/>
      <c r="X482" s="36"/>
      <c r="Y482" s="36"/>
      <c r="Z482" s="36"/>
    </row>
    <row r="483" spans="1:26">
      <c r="A483" s="36"/>
      <c r="B483" s="36"/>
      <c r="C483" s="36"/>
      <c r="D483" s="36"/>
      <c r="E483" s="36"/>
      <c r="F483" s="36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6"/>
      <c r="T483" s="36"/>
      <c r="U483" s="36"/>
      <c r="V483" s="36"/>
      <c r="W483" s="36"/>
      <c r="X483" s="36"/>
      <c r="Y483" s="36"/>
      <c r="Z483" s="36"/>
    </row>
    <row r="484" spans="1:26">
      <c r="A484" s="36"/>
      <c r="B484" s="36"/>
      <c r="C484" s="36"/>
      <c r="D484" s="36"/>
      <c r="E484" s="36"/>
      <c r="F484" s="36"/>
      <c r="G484" s="36"/>
      <c r="H484" s="36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6"/>
      <c r="T484" s="36"/>
      <c r="U484" s="36"/>
      <c r="V484" s="36"/>
      <c r="W484" s="36"/>
      <c r="X484" s="36"/>
      <c r="Y484" s="36"/>
      <c r="Z484" s="36"/>
    </row>
    <row r="485" spans="1:26">
      <c r="A485" s="36"/>
      <c r="B485" s="36"/>
      <c r="C485" s="36"/>
      <c r="D485" s="36"/>
      <c r="E485" s="36"/>
      <c r="F485" s="36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6"/>
      <c r="T485" s="36"/>
      <c r="U485" s="36"/>
      <c r="V485" s="36"/>
      <c r="W485" s="36"/>
      <c r="X485" s="36"/>
      <c r="Y485" s="36"/>
      <c r="Z485" s="36"/>
    </row>
    <row r="486" spans="1:26">
      <c r="A486" s="36"/>
      <c r="B486" s="36"/>
      <c r="C486" s="36"/>
      <c r="D486" s="36"/>
      <c r="E486" s="36"/>
      <c r="F486" s="36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6"/>
      <c r="T486" s="36"/>
      <c r="U486" s="36"/>
      <c r="V486" s="36"/>
      <c r="W486" s="36"/>
      <c r="X486" s="36"/>
      <c r="Y486" s="36"/>
      <c r="Z486" s="36"/>
    </row>
    <row r="487" spans="1:26">
      <c r="A487" s="36"/>
      <c r="B487" s="36"/>
      <c r="C487" s="36"/>
      <c r="D487" s="36"/>
      <c r="E487" s="36"/>
      <c r="F487" s="36"/>
      <c r="G487" s="36"/>
      <c r="H487" s="36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6"/>
      <c r="T487" s="36"/>
      <c r="U487" s="36"/>
      <c r="V487" s="36"/>
      <c r="W487" s="36"/>
      <c r="X487" s="36"/>
      <c r="Y487" s="36"/>
      <c r="Z487" s="36"/>
    </row>
    <row r="488" spans="1:26">
      <c r="A488" s="36"/>
      <c r="B488" s="36"/>
      <c r="C488" s="36"/>
      <c r="D488" s="36"/>
      <c r="E488" s="36"/>
      <c r="F488" s="36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6"/>
      <c r="T488" s="36"/>
      <c r="U488" s="36"/>
      <c r="V488" s="36"/>
      <c r="W488" s="36"/>
      <c r="X488" s="36"/>
      <c r="Y488" s="36"/>
      <c r="Z488" s="36"/>
    </row>
    <row r="489" spans="1:26">
      <c r="A489" s="36"/>
      <c r="B489" s="36"/>
      <c r="C489" s="36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  <c r="Z489" s="36"/>
    </row>
    <row r="490" spans="1:26">
      <c r="A490" s="36"/>
      <c r="B490" s="36"/>
      <c r="C490" s="36"/>
      <c r="D490" s="36"/>
      <c r="E490" s="36"/>
      <c r="F490" s="36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6"/>
      <c r="T490" s="36"/>
      <c r="U490" s="36"/>
      <c r="V490" s="36"/>
      <c r="W490" s="36"/>
      <c r="X490" s="36"/>
      <c r="Y490" s="36"/>
      <c r="Z490" s="36"/>
    </row>
    <row r="491" spans="1:26">
      <c r="A491" s="36"/>
      <c r="B491" s="36"/>
      <c r="C491" s="36"/>
      <c r="D491" s="36"/>
      <c r="E491" s="36"/>
      <c r="F491" s="36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6"/>
      <c r="T491" s="36"/>
      <c r="U491" s="36"/>
      <c r="V491" s="36"/>
      <c r="W491" s="36"/>
      <c r="X491" s="36"/>
      <c r="Y491" s="36"/>
      <c r="Z491" s="36"/>
    </row>
    <row r="492" spans="1:26">
      <c r="A492" s="36"/>
      <c r="B492" s="36"/>
      <c r="C492" s="36"/>
      <c r="D492" s="36"/>
      <c r="E492" s="36"/>
      <c r="F492" s="36"/>
      <c r="G492" s="36"/>
      <c r="H492" s="36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6"/>
      <c r="T492" s="36"/>
      <c r="U492" s="36"/>
      <c r="V492" s="36"/>
      <c r="W492" s="36"/>
      <c r="X492" s="36"/>
      <c r="Y492" s="36"/>
      <c r="Z492" s="36"/>
    </row>
    <row r="493" spans="1:26">
      <c r="A493" s="36"/>
      <c r="B493" s="36"/>
      <c r="C493" s="36"/>
      <c r="D493" s="36"/>
      <c r="E493" s="36"/>
      <c r="F493" s="36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6"/>
      <c r="T493" s="36"/>
      <c r="U493" s="36"/>
      <c r="V493" s="36"/>
      <c r="W493" s="36"/>
      <c r="X493" s="36"/>
      <c r="Y493" s="36"/>
      <c r="Z493" s="36"/>
    </row>
    <row r="494" spans="1:26">
      <c r="A494" s="36"/>
      <c r="B494" s="36"/>
      <c r="C494" s="36"/>
      <c r="D494" s="36"/>
      <c r="E494" s="36"/>
      <c r="F494" s="36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6"/>
      <c r="T494" s="36"/>
      <c r="U494" s="36"/>
      <c r="V494" s="36"/>
      <c r="W494" s="36"/>
      <c r="X494" s="36"/>
      <c r="Y494" s="36"/>
      <c r="Z494" s="36"/>
    </row>
    <row r="495" spans="1:26">
      <c r="A495" s="36"/>
      <c r="B495" s="36"/>
      <c r="C495" s="36"/>
      <c r="D495" s="36"/>
      <c r="E495" s="36"/>
      <c r="F495" s="36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6"/>
      <c r="T495" s="36"/>
      <c r="U495" s="36"/>
      <c r="V495" s="36"/>
      <c r="W495" s="36"/>
      <c r="X495" s="36"/>
      <c r="Y495" s="36"/>
      <c r="Z495" s="36"/>
    </row>
    <row r="496" spans="1:26">
      <c r="A496" s="36"/>
      <c r="B496" s="36"/>
      <c r="C496" s="36"/>
      <c r="D496" s="36"/>
      <c r="E496" s="36"/>
      <c r="F496" s="36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6"/>
      <c r="T496" s="36"/>
      <c r="U496" s="36"/>
      <c r="V496" s="36"/>
      <c r="W496" s="36"/>
      <c r="X496" s="36"/>
      <c r="Y496" s="36"/>
      <c r="Z496" s="36"/>
    </row>
    <row r="497" spans="1:26">
      <c r="A497" s="36"/>
      <c r="B497" s="36"/>
      <c r="C497" s="36"/>
      <c r="D497" s="36"/>
      <c r="E497" s="36"/>
      <c r="F497" s="36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6"/>
      <c r="T497" s="36"/>
      <c r="U497" s="36"/>
      <c r="V497" s="36"/>
      <c r="W497" s="36"/>
      <c r="X497" s="36"/>
      <c r="Y497" s="36"/>
      <c r="Z497" s="36"/>
    </row>
    <row r="498" spans="1:26">
      <c r="A498" s="36"/>
      <c r="B498" s="36"/>
      <c r="C498" s="36"/>
      <c r="D498" s="36"/>
      <c r="E498" s="36"/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6"/>
      <c r="T498" s="36"/>
      <c r="U498" s="36"/>
      <c r="V498" s="36"/>
      <c r="W498" s="36"/>
      <c r="X498" s="36"/>
      <c r="Y498" s="36"/>
      <c r="Z498" s="36"/>
    </row>
    <row r="499" spans="1:26">
      <c r="A499" s="36"/>
      <c r="B499" s="36"/>
      <c r="C499" s="36"/>
      <c r="D499" s="36"/>
      <c r="E499" s="36"/>
      <c r="F499" s="36"/>
      <c r="G499" s="36"/>
      <c r="H499" s="36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6"/>
      <c r="T499" s="36"/>
      <c r="U499" s="36"/>
      <c r="V499" s="36"/>
      <c r="W499" s="36"/>
      <c r="X499" s="36"/>
      <c r="Y499" s="36"/>
      <c r="Z499" s="36"/>
    </row>
    <row r="500" spans="1:26">
      <c r="A500" s="36"/>
      <c r="B500" s="36"/>
      <c r="C500" s="36"/>
      <c r="D500" s="36"/>
      <c r="E500" s="36"/>
      <c r="F500" s="36"/>
      <c r="G500" s="36"/>
      <c r="H500" s="36"/>
      <c r="I500" s="36"/>
      <c r="J500" s="36"/>
      <c r="K500" s="36"/>
      <c r="L500" s="36"/>
      <c r="M500" s="36"/>
      <c r="N500" s="36"/>
      <c r="O500" s="36"/>
      <c r="P500" s="36"/>
      <c r="Q500" s="36"/>
      <c r="R500" s="36"/>
      <c r="S500" s="36"/>
      <c r="T500" s="36"/>
      <c r="U500" s="36"/>
      <c r="V500" s="36"/>
      <c r="W500" s="36"/>
      <c r="X500" s="36"/>
      <c r="Y500" s="36"/>
      <c r="Z500" s="36"/>
    </row>
    <row r="501" spans="1:26">
      <c r="A501" s="36"/>
      <c r="B501" s="36"/>
      <c r="C501" s="36"/>
      <c r="D501" s="36"/>
      <c r="E501" s="36"/>
      <c r="F501" s="36"/>
      <c r="G501" s="36"/>
      <c r="H501" s="36"/>
      <c r="I501" s="36"/>
      <c r="J501" s="36"/>
      <c r="K501" s="36"/>
      <c r="L501" s="36"/>
      <c r="M501" s="36"/>
      <c r="N501" s="36"/>
      <c r="O501" s="36"/>
      <c r="P501" s="36"/>
      <c r="Q501" s="36"/>
      <c r="R501" s="36"/>
      <c r="S501" s="36"/>
      <c r="T501" s="36"/>
      <c r="U501" s="36"/>
      <c r="V501" s="36"/>
      <c r="W501" s="36"/>
      <c r="X501" s="36"/>
      <c r="Y501" s="36"/>
      <c r="Z501" s="36"/>
    </row>
    <row r="502" spans="1:26">
      <c r="A502" s="36"/>
      <c r="B502" s="36"/>
      <c r="C502" s="36"/>
      <c r="D502" s="36"/>
      <c r="E502" s="36"/>
      <c r="F502" s="36"/>
      <c r="G502" s="36"/>
      <c r="H502" s="36"/>
      <c r="I502" s="36"/>
      <c r="J502" s="36"/>
      <c r="K502" s="36"/>
      <c r="L502" s="36"/>
      <c r="M502" s="36"/>
      <c r="N502" s="36"/>
      <c r="O502" s="36"/>
      <c r="P502" s="36"/>
      <c r="Q502" s="36"/>
      <c r="R502" s="36"/>
      <c r="S502" s="36"/>
      <c r="T502" s="36"/>
      <c r="U502" s="36"/>
      <c r="V502" s="36"/>
      <c r="W502" s="36"/>
      <c r="X502" s="36"/>
      <c r="Y502" s="36"/>
      <c r="Z502" s="36"/>
    </row>
    <row r="503" spans="1:26">
      <c r="A503" s="36"/>
      <c r="B503" s="36"/>
      <c r="C503" s="36"/>
      <c r="D503" s="36"/>
      <c r="E503" s="36"/>
      <c r="F503" s="36"/>
      <c r="G503" s="36"/>
      <c r="H503" s="36"/>
      <c r="I503" s="36"/>
      <c r="J503" s="36"/>
      <c r="K503" s="36"/>
      <c r="L503" s="36"/>
      <c r="M503" s="36"/>
      <c r="N503" s="36"/>
      <c r="O503" s="36"/>
      <c r="P503" s="36"/>
      <c r="Q503" s="36"/>
      <c r="R503" s="36"/>
      <c r="S503" s="36"/>
      <c r="T503" s="36"/>
      <c r="U503" s="36"/>
      <c r="V503" s="36"/>
      <c r="W503" s="36"/>
      <c r="X503" s="36"/>
      <c r="Y503" s="36"/>
      <c r="Z503" s="36"/>
    </row>
    <row r="504" spans="1:26">
      <c r="A504" s="36"/>
      <c r="B504" s="36"/>
      <c r="C504" s="36"/>
      <c r="D504" s="36"/>
      <c r="E504" s="36"/>
      <c r="F504" s="36"/>
      <c r="G504" s="36"/>
      <c r="H504" s="36"/>
      <c r="I504" s="36"/>
      <c r="J504" s="36"/>
      <c r="K504" s="36"/>
      <c r="L504" s="36"/>
      <c r="M504" s="36"/>
      <c r="N504" s="36"/>
      <c r="O504" s="36"/>
      <c r="P504" s="36"/>
      <c r="Q504" s="36"/>
      <c r="R504" s="36"/>
      <c r="S504" s="36"/>
      <c r="T504" s="36"/>
      <c r="U504" s="36"/>
      <c r="V504" s="36"/>
      <c r="W504" s="36"/>
      <c r="X504" s="36"/>
      <c r="Y504" s="36"/>
      <c r="Z504" s="36"/>
    </row>
    <row r="505" spans="1:26">
      <c r="A505" s="36"/>
      <c r="B505" s="36"/>
      <c r="C505" s="36"/>
      <c r="D505" s="36"/>
      <c r="E505" s="36"/>
      <c r="F505" s="36"/>
      <c r="G505" s="36"/>
      <c r="H505" s="36"/>
      <c r="I505" s="36"/>
      <c r="J505" s="36"/>
      <c r="K505" s="36"/>
      <c r="L505" s="36"/>
      <c r="M505" s="36"/>
      <c r="N505" s="36"/>
      <c r="O505" s="36"/>
      <c r="P505" s="36"/>
      <c r="Q505" s="36"/>
      <c r="R505" s="36"/>
      <c r="S505" s="36"/>
      <c r="T505" s="36"/>
      <c r="U505" s="36"/>
      <c r="V505" s="36"/>
      <c r="W505" s="36"/>
      <c r="X505" s="36"/>
      <c r="Y505" s="36"/>
      <c r="Z505" s="36"/>
    </row>
    <row r="506" spans="1:26">
      <c r="A506" s="36"/>
      <c r="B506" s="36"/>
      <c r="C506" s="36"/>
      <c r="D506" s="36"/>
      <c r="E506" s="36"/>
      <c r="F506" s="36"/>
      <c r="G506" s="36"/>
      <c r="H506" s="36"/>
      <c r="I506" s="36"/>
      <c r="J506" s="36"/>
      <c r="K506" s="36"/>
      <c r="L506" s="36"/>
      <c r="M506" s="36"/>
      <c r="N506" s="36"/>
      <c r="O506" s="36"/>
      <c r="P506" s="36"/>
      <c r="Q506" s="36"/>
      <c r="R506" s="36"/>
      <c r="S506" s="36"/>
      <c r="T506" s="36"/>
      <c r="U506" s="36"/>
      <c r="V506" s="36"/>
      <c r="W506" s="36"/>
      <c r="X506" s="36"/>
      <c r="Y506" s="36"/>
      <c r="Z506" s="36"/>
    </row>
    <row r="507" spans="1:26">
      <c r="A507" s="36"/>
      <c r="B507" s="36"/>
      <c r="C507" s="36"/>
      <c r="D507" s="36"/>
      <c r="E507" s="36"/>
      <c r="F507" s="36"/>
      <c r="G507" s="36"/>
      <c r="H507" s="36"/>
      <c r="I507" s="36"/>
      <c r="J507" s="36"/>
      <c r="K507" s="36"/>
      <c r="L507" s="36"/>
      <c r="M507" s="36"/>
      <c r="N507" s="36"/>
      <c r="O507" s="36"/>
      <c r="P507" s="36"/>
      <c r="Q507" s="36"/>
      <c r="R507" s="36"/>
      <c r="S507" s="36"/>
      <c r="T507" s="36"/>
      <c r="U507" s="36"/>
      <c r="V507" s="36"/>
      <c r="W507" s="36"/>
      <c r="X507" s="36"/>
      <c r="Y507" s="36"/>
      <c r="Z507" s="36"/>
    </row>
    <row r="508" spans="1:26">
      <c r="A508" s="36"/>
      <c r="B508" s="36"/>
      <c r="C508" s="36"/>
      <c r="D508" s="36"/>
      <c r="E508" s="36"/>
      <c r="F508" s="36"/>
      <c r="G508" s="36"/>
      <c r="H508" s="36"/>
      <c r="I508" s="36"/>
      <c r="J508" s="36"/>
      <c r="K508" s="36"/>
      <c r="L508" s="36"/>
      <c r="M508" s="36"/>
      <c r="N508" s="36"/>
      <c r="O508" s="36"/>
      <c r="P508" s="36"/>
      <c r="Q508" s="36"/>
      <c r="R508" s="36"/>
      <c r="S508" s="36"/>
      <c r="T508" s="36"/>
      <c r="U508" s="36"/>
      <c r="V508" s="36"/>
      <c r="W508" s="36"/>
      <c r="X508" s="36"/>
      <c r="Y508" s="36"/>
      <c r="Z508" s="36"/>
    </row>
    <row r="509" spans="1:26">
      <c r="A509" s="36"/>
      <c r="B509" s="36"/>
      <c r="C509" s="36"/>
      <c r="D509" s="36"/>
      <c r="E509" s="36"/>
      <c r="F509" s="36"/>
      <c r="G509" s="36"/>
      <c r="H509" s="36"/>
      <c r="I509" s="36"/>
      <c r="J509" s="36"/>
      <c r="K509" s="36"/>
      <c r="L509" s="36"/>
      <c r="M509" s="36"/>
      <c r="N509" s="36"/>
      <c r="O509" s="36"/>
      <c r="P509" s="36"/>
      <c r="Q509" s="36"/>
      <c r="R509" s="36"/>
      <c r="S509" s="36"/>
      <c r="T509" s="36"/>
      <c r="U509" s="36"/>
      <c r="V509" s="36"/>
      <c r="W509" s="36"/>
      <c r="X509" s="36"/>
      <c r="Y509" s="36"/>
      <c r="Z509" s="36"/>
    </row>
    <row r="510" spans="1:26">
      <c r="A510" s="36"/>
      <c r="B510" s="36"/>
      <c r="C510" s="36"/>
      <c r="D510" s="36"/>
      <c r="E510" s="36"/>
      <c r="F510" s="36"/>
      <c r="G510" s="36"/>
      <c r="H510" s="36"/>
      <c r="I510" s="36"/>
      <c r="J510" s="36"/>
      <c r="K510" s="36"/>
      <c r="L510" s="36"/>
      <c r="M510" s="36"/>
      <c r="N510" s="36"/>
      <c r="O510" s="36"/>
      <c r="P510" s="36"/>
      <c r="Q510" s="36"/>
      <c r="R510" s="36"/>
      <c r="S510" s="36"/>
      <c r="T510" s="36"/>
      <c r="U510" s="36"/>
      <c r="V510" s="36"/>
      <c r="W510" s="36"/>
      <c r="X510" s="36"/>
      <c r="Y510" s="36"/>
      <c r="Z510" s="36"/>
    </row>
    <row r="511" spans="1:26">
      <c r="A511" s="36"/>
      <c r="B511" s="36"/>
      <c r="C511" s="36"/>
      <c r="D511" s="36"/>
      <c r="E511" s="36"/>
      <c r="F511" s="36"/>
      <c r="G511" s="36"/>
      <c r="H511" s="36"/>
      <c r="I511" s="36"/>
      <c r="J511" s="36"/>
      <c r="K511" s="36"/>
      <c r="L511" s="36"/>
      <c r="M511" s="36"/>
      <c r="N511" s="36"/>
      <c r="O511" s="36"/>
      <c r="P511" s="36"/>
      <c r="Q511" s="36"/>
      <c r="R511" s="36"/>
      <c r="S511" s="36"/>
      <c r="T511" s="36"/>
      <c r="U511" s="36"/>
      <c r="V511" s="36"/>
      <c r="W511" s="36"/>
      <c r="X511" s="36"/>
      <c r="Y511" s="36"/>
      <c r="Z511" s="36"/>
    </row>
    <row r="512" spans="1:26">
      <c r="A512" s="36"/>
      <c r="B512" s="36"/>
      <c r="C512" s="36"/>
      <c r="D512" s="36"/>
      <c r="E512" s="36"/>
      <c r="F512" s="36"/>
      <c r="G512" s="36"/>
      <c r="H512" s="36"/>
      <c r="I512" s="36"/>
      <c r="J512" s="36"/>
      <c r="K512" s="36"/>
      <c r="L512" s="36"/>
      <c r="M512" s="36"/>
      <c r="N512" s="36"/>
      <c r="O512" s="36"/>
      <c r="P512" s="36"/>
      <c r="Q512" s="36"/>
      <c r="R512" s="36"/>
      <c r="S512" s="36"/>
      <c r="T512" s="36"/>
      <c r="U512" s="36"/>
      <c r="V512" s="36"/>
      <c r="W512" s="36"/>
      <c r="X512" s="36"/>
      <c r="Y512" s="36"/>
      <c r="Z512" s="36"/>
    </row>
    <row r="513" spans="1:26">
      <c r="A513" s="36"/>
      <c r="B513" s="36"/>
      <c r="C513" s="36"/>
      <c r="D513" s="36"/>
      <c r="E513" s="36"/>
      <c r="F513" s="36"/>
      <c r="G513" s="36"/>
      <c r="H513" s="36"/>
      <c r="I513" s="36"/>
      <c r="J513" s="36"/>
      <c r="K513" s="36"/>
      <c r="L513" s="36"/>
      <c r="M513" s="36"/>
      <c r="N513" s="36"/>
      <c r="O513" s="36"/>
      <c r="P513" s="36"/>
      <c r="Q513" s="36"/>
      <c r="R513" s="36"/>
      <c r="S513" s="36"/>
      <c r="T513" s="36"/>
      <c r="U513" s="36"/>
      <c r="V513" s="36"/>
      <c r="W513" s="36"/>
      <c r="X513" s="36"/>
      <c r="Y513" s="36"/>
      <c r="Z513" s="36"/>
    </row>
    <row r="514" spans="1:26">
      <c r="A514" s="36"/>
      <c r="B514" s="36"/>
      <c r="C514" s="36"/>
      <c r="D514" s="36"/>
      <c r="E514" s="36"/>
      <c r="F514" s="36"/>
      <c r="G514" s="36"/>
      <c r="H514" s="36"/>
      <c r="I514" s="36"/>
      <c r="J514" s="36"/>
      <c r="K514" s="36"/>
      <c r="L514" s="36"/>
      <c r="M514" s="36"/>
      <c r="N514" s="36"/>
      <c r="O514" s="36"/>
      <c r="P514" s="36"/>
      <c r="Q514" s="36"/>
      <c r="R514" s="36"/>
      <c r="S514" s="36"/>
      <c r="T514" s="36"/>
      <c r="U514" s="36"/>
      <c r="V514" s="36"/>
      <c r="W514" s="36"/>
      <c r="X514" s="36"/>
      <c r="Y514" s="36"/>
      <c r="Z514" s="36"/>
    </row>
    <row r="515" spans="1:26">
      <c r="A515" s="36"/>
      <c r="B515" s="36"/>
      <c r="C515" s="36"/>
      <c r="D515" s="36"/>
      <c r="E515" s="36"/>
      <c r="F515" s="36"/>
      <c r="G515" s="36"/>
      <c r="H515" s="36"/>
      <c r="I515" s="36"/>
      <c r="J515" s="36"/>
      <c r="K515" s="36"/>
      <c r="L515" s="36"/>
      <c r="M515" s="36"/>
      <c r="N515" s="36"/>
      <c r="O515" s="36"/>
      <c r="P515" s="36"/>
      <c r="Q515" s="36"/>
      <c r="R515" s="36"/>
      <c r="S515" s="36"/>
      <c r="T515" s="36"/>
      <c r="U515" s="36"/>
      <c r="V515" s="36"/>
      <c r="W515" s="36"/>
      <c r="X515" s="36"/>
      <c r="Y515" s="36"/>
      <c r="Z515" s="36"/>
    </row>
    <row r="516" spans="1:26">
      <c r="A516" s="36"/>
      <c r="B516" s="36"/>
      <c r="C516" s="36"/>
      <c r="D516" s="36"/>
      <c r="E516" s="36"/>
      <c r="F516" s="36"/>
      <c r="G516" s="36"/>
      <c r="H516" s="36"/>
      <c r="I516" s="36"/>
      <c r="J516" s="36"/>
      <c r="K516" s="36"/>
      <c r="L516" s="36"/>
      <c r="M516" s="36"/>
      <c r="N516" s="36"/>
      <c r="O516" s="36"/>
      <c r="P516" s="36"/>
      <c r="Q516" s="36"/>
      <c r="R516" s="36"/>
      <c r="S516" s="36"/>
      <c r="T516" s="36"/>
      <c r="U516" s="36"/>
      <c r="V516" s="36"/>
      <c r="W516" s="36"/>
      <c r="X516" s="36"/>
      <c r="Y516" s="36"/>
      <c r="Z516" s="36"/>
    </row>
    <row r="517" spans="1:26">
      <c r="A517" s="36"/>
      <c r="B517" s="36"/>
      <c r="C517" s="36"/>
      <c r="D517" s="36"/>
      <c r="E517" s="36"/>
      <c r="F517" s="36"/>
      <c r="G517" s="36"/>
      <c r="H517" s="36"/>
      <c r="I517" s="36"/>
      <c r="J517" s="36"/>
      <c r="K517" s="36"/>
      <c r="L517" s="36"/>
      <c r="M517" s="36"/>
      <c r="N517" s="36"/>
      <c r="O517" s="36"/>
      <c r="P517" s="36"/>
      <c r="Q517" s="36"/>
      <c r="R517" s="36"/>
      <c r="S517" s="36"/>
      <c r="T517" s="36"/>
      <c r="U517" s="36"/>
      <c r="V517" s="36"/>
      <c r="W517" s="36"/>
      <c r="X517" s="36"/>
      <c r="Y517" s="36"/>
      <c r="Z517" s="36"/>
    </row>
    <row r="518" spans="1:26">
      <c r="A518" s="36"/>
      <c r="B518" s="36"/>
      <c r="C518" s="36"/>
      <c r="D518" s="36"/>
      <c r="E518" s="36"/>
      <c r="F518" s="36"/>
      <c r="G518" s="36"/>
      <c r="H518" s="36"/>
      <c r="I518" s="36"/>
      <c r="J518" s="36"/>
      <c r="K518" s="36"/>
      <c r="L518" s="36"/>
      <c r="M518" s="36"/>
      <c r="N518" s="36"/>
      <c r="O518" s="36"/>
      <c r="P518" s="36"/>
      <c r="Q518" s="36"/>
      <c r="R518" s="36"/>
      <c r="S518" s="36"/>
      <c r="T518" s="36"/>
      <c r="U518" s="36"/>
      <c r="V518" s="36"/>
      <c r="W518" s="36"/>
      <c r="X518" s="36"/>
      <c r="Y518" s="36"/>
      <c r="Z518" s="36"/>
    </row>
    <row r="519" spans="1:26">
      <c r="A519" s="36"/>
      <c r="B519" s="36"/>
      <c r="C519" s="36"/>
      <c r="D519" s="36"/>
      <c r="E519" s="36"/>
      <c r="F519" s="36"/>
      <c r="G519" s="36"/>
      <c r="H519" s="36"/>
      <c r="I519" s="36"/>
      <c r="J519" s="36"/>
      <c r="K519" s="36"/>
      <c r="L519" s="36"/>
      <c r="M519" s="36"/>
      <c r="N519" s="36"/>
      <c r="O519" s="36"/>
      <c r="P519" s="36"/>
      <c r="Q519" s="36"/>
      <c r="R519" s="36"/>
      <c r="S519" s="36"/>
      <c r="T519" s="36"/>
      <c r="U519" s="36"/>
      <c r="V519" s="36"/>
      <c r="W519" s="36"/>
      <c r="X519" s="36"/>
      <c r="Y519" s="36"/>
      <c r="Z519" s="36"/>
    </row>
    <row r="520" spans="1:26">
      <c r="A520" s="36"/>
      <c r="B520" s="36"/>
      <c r="C520" s="36"/>
      <c r="D520" s="36"/>
      <c r="E520" s="36"/>
      <c r="F520" s="36"/>
      <c r="G520" s="36"/>
      <c r="H520" s="36"/>
      <c r="I520" s="36"/>
      <c r="J520" s="36"/>
      <c r="K520" s="36"/>
      <c r="L520" s="36"/>
      <c r="M520" s="36"/>
      <c r="N520" s="36"/>
      <c r="O520" s="36"/>
      <c r="P520" s="36"/>
      <c r="Q520" s="36"/>
      <c r="R520" s="36"/>
      <c r="S520" s="36"/>
      <c r="T520" s="36"/>
      <c r="U520" s="36"/>
      <c r="V520" s="36"/>
      <c r="W520" s="36"/>
      <c r="X520" s="36"/>
      <c r="Y520" s="36"/>
      <c r="Z520" s="36"/>
    </row>
    <row r="521" spans="1:26">
      <c r="A521" s="36"/>
      <c r="B521" s="36"/>
      <c r="C521" s="36"/>
      <c r="D521" s="36"/>
      <c r="E521" s="36"/>
      <c r="F521" s="36"/>
      <c r="G521" s="36"/>
      <c r="H521" s="36"/>
      <c r="I521" s="36"/>
      <c r="J521" s="36"/>
      <c r="K521" s="36"/>
      <c r="L521" s="36"/>
      <c r="M521" s="36"/>
      <c r="N521" s="36"/>
      <c r="O521" s="36"/>
      <c r="P521" s="36"/>
      <c r="Q521" s="36"/>
      <c r="R521" s="36"/>
      <c r="S521" s="36"/>
      <c r="T521" s="36"/>
      <c r="U521" s="36"/>
      <c r="V521" s="36"/>
      <c r="W521" s="36"/>
      <c r="X521" s="36"/>
      <c r="Y521" s="36"/>
      <c r="Z521" s="36"/>
    </row>
    <row r="522" spans="1:26">
      <c r="A522" s="36"/>
      <c r="B522" s="36"/>
      <c r="C522" s="36"/>
      <c r="D522" s="36"/>
      <c r="E522" s="36"/>
      <c r="F522" s="36"/>
      <c r="G522" s="36"/>
      <c r="H522" s="36"/>
      <c r="I522" s="36"/>
      <c r="J522" s="36"/>
      <c r="K522" s="36"/>
      <c r="L522" s="36"/>
      <c r="M522" s="36"/>
      <c r="N522" s="36"/>
      <c r="O522" s="36"/>
      <c r="P522" s="36"/>
      <c r="Q522" s="36"/>
      <c r="R522" s="36"/>
      <c r="S522" s="36"/>
      <c r="T522" s="36"/>
      <c r="U522" s="36"/>
      <c r="V522" s="36"/>
      <c r="W522" s="36"/>
      <c r="X522" s="36"/>
      <c r="Y522" s="36"/>
      <c r="Z522" s="36"/>
    </row>
    <row r="523" spans="1:26">
      <c r="A523" s="36"/>
      <c r="B523" s="36"/>
      <c r="C523" s="36"/>
      <c r="D523" s="36"/>
      <c r="E523" s="36"/>
      <c r="F523" s="36"/>
      <c r="G523" s="36"/>
      <c r="H523" s="36"/>
      <c r="I523" s="36"/>
      <c r="J523" s="36"/>
      <c r="K523" s="36"/>
      <c r="L523" s="36"/>
      <c r="M523" s="36"/>
      <c r="N523" s="36"/>
      <c r="O523" s="36"/>
      <c r="P523" s="36"/>
      <c r="Q523" s="36"/>
      <c r="R523" s="36"/>
      <c r="S523" s="36"/>
      <c r="T523" s="36"/>
      <c r="U523" s="36"/>
      <c r="V523" s="36"/>
      <c r="W523" s="36"/>
      <c r="X523" s="36"/>
      <c r="Y523" s="36"/>
      <c r="Z523" s="36"/>
    </row>
    <row r="524" spans="1:26">
      <c r="A524" s="36"/>
      <c r="B524" s="36"/>
      <c r="C524" s="36"/>
      <c r="D524" s="36"/>
      <c r="E524" s="36"/>
      <c r="F524" s="36"/>
      <c r="G524" s="36"/>
      <c r="H524" s="36"/>
      <c r="I524" s="36"/>
      <c r="J524" s="36"/>
      <c r="K524" s="36"/>
      <c r="L524" s="36"/>
      <c r="M524" s="36"/>
      <c r="N524" s="36"/>
      <c r="O524" s="36"/>
      <c r="P524" s="36"/>
      <c r="Q524" s="36"/>
      <c r="R524" s="36"/>
      <c r="S524" s="36"/>
      <c r="T524" s="36"/>
      <c r="U524" s="36"/>
      <c r="V524" s="36"/>
      <c r="W524" s="36"/>
      <c r="X524" s="36"/>
      <c r="Y524" s="36"/>
      <c r="Z524" s="36"/>
    </row>
    <row r="525" spans="1:26">
      <c r="A525" s="36"/>
      <c r="B525" s="36"/>
      <c r="C525" s="36"/>
      <c r="D525" s="36"/>
      <c r="E525" s="36"/>
      <c r="F525" s="36"/>
      <c r="G525" s="36"/>
      <c r="H525" s="36"/>
      <c r="I525" s="36"/>
      <c r="J525" s="36"/>
      <c r="K525" s="36"/>
      <c r="L525" s="36"/>
      <c r="M525" s="36"/>
      <c r="N525" s="36"/>
      <c r="O525" s="36"/>
      <c r="P525" s="36"/>
      <c r="Q525" s="36"/>
      <c r="R525" s="36"/>
      <c r="S525" s="36"/>
      <c r="T525" s="36"/>
      <c r="U525" s="36"/>
      <c r="V525" s="36"/>
      <c r="W525" s="36"/>
      <c r="X525" s="36"/>
      <c r="Y525" s="36"/>
      <c r="Z525" s="36"/>
    </row>
    <row r="526" spans="1:26">
      <c r="A526" s="36"/>
      <c r="B526" s="36"/>
      <c r="C526" s="36"/>
      <c r="D526" s="36"/>
      <c r="E526" s="36"/>
      <c r="F526" s="36"/>
      <c r="G526" s="36"/>
      <c r="H526" s="36"/>
      <c r="I526" s="36"/>
      <c r="J526" s="36"/>
      <c r="K526" s="36"/>
      <c r="L526" s="36"/>
      <c r="M526" s="36"/>
      <c r="N526" s="36"/>
      <c r="O526" s="36"/>
      <c r="P526" s="36"/>
      <c r="Q526" s="36"/>
      <c r="R526" s="36"/>
      <c r="S526" s="36"/>
      <c r="T526" s="36"/>
      <c r="U526" s="36"/>
      <c r="V526" s="36"/>
      <c r="W526" s="36"/>
      <c r="X526" s="36"/>
      <c r="Y526" s="36"/>
      <c r="Z526" s="36"/>
    </row>
    <row r="527" spans="1:26">
      <c r="A527" s="36"/>
      <c r="B527" s="36"/>
      <c r="C527" s="36"/>
      <c r="D527" s="36"/>
      <c r="E527" s="36"/>
      <c r="F527" s="36"/>
      <c r="G527" s="36"/>
      <c r="H527" s="36"/>
      <c r="I527" s="36"/>
      <c r="J527" s="36"/>
      <c r="K527" s="36"/>
      <c r="L527" s="36"/>
      <c r="M527" s="36"/>
      <c r="N527" s="36"/>
      <c r="O527" s="36"/>
      <c r="P527" s="36"/>
      <c r="Q527" s="36"/>
      <c r="R527" s="36"/>
      <c r="S527" s="36"/>
      <c r="T527" s="36"/>
      <c r="U527" s="36"/>
      <c r="V527" s="36"/>
      <c r="W527" s="36"/>
      <c r="X527" s="36"/>
      <c r="Y527" s="36"/>
      <c r="Z527" s="36"/>
    </row>
    <row r="528" spans="1:26">
      <c r="A528" s="36"/>
      <c r="B528" s="36"/>
      <c r="C528" s="36"/>
      <c r="D528" s="36"/>
      <c r="E528" s="36"/>
      <c r="F528" s="36"/>
      <c r="G528" s="36"/>
      <c r="H528" s="36"/>
      <c r="I528" s="36"/>
      <c r="J528" s="36"/>
      <c r="K528" s="36"/>
      <c r="L528" s="36"/>
      <c r="M528" s="36"/>
      <c r="N528" s="36"/>
      <c r="O528" s="36"/>
      <c r="P528" s="36"/>
      <c r="Q528" s="36"/>
      <c r="R528" s="36"/>
      <c r="S528" s="36"/>
      <c r="T528" s="36"/>
      <c r="U528" s="36"/>
      <c r="V528" s="36"/>
      <c r="W528" s="36"/>
      <c r="X528" s="36"/>
      <c r="Y528" s="36"/>
      <c r="Z528" s="36"/>
    </row>
    <row r="529" spans="1:26">
      <c r="A529" s="36"/>
      <c r="B529" s="36"/>
      <c r="C529" s="36"/>
      <c r="D529" s="36"/>
      <c r="E529" s="36"/>
      <c r="F529" s="36"/>
      <c r="G529" s="36"/>
      <c r="H529" s="36"/>
      <c r="I529" s="36"/>
      <c r="J529" s="36"/>
      <c r="K529" s="36"/>
      <c r="L529" s="36"/>
      <c r="M529" s="36"/>
      <c r="N529" s="36"/>
      <c r="O529" s="36"/>
      <c r="P529" s="36"/>
      <c r="Q529" s="36"/>
      <c r="R529" s="36"/>
      <c r="S529" s="36"/>
      <c r="T529" s="36"/>
      <c r="U529" s="36"/>
      <c r="V529" s="36"/>
      <c r="W529" s="36"/>
      <c r="X529" s="36"/>
      <c r="Y529" s="36"/>
      <c r="Z529" s="36"/>
    </row>
    <row r="530" spans="1:26">
      <c r="A530" s="36"/>
      <c r="B530" s="36"/>
      <c r="C530" s="36"/>
      <c r="D530" s="36"/>
      <c r="E530" s="36"/>
      <c r="F530" s="36"/>
      <c r="G530" s="36"/>
      <c r="H530" s="36"/>
      <c r="I530" s="36"/>
      <c r="J530" s="36"/>
      <c r="K530" s="36"/>
      <c r="L530" s="36"/>
      <c r="M530" s="36"/>
      <c r="N530" s="36"/>
      <c r="O530" s="36"/>
      <c r="P530" s="36"/>
      <c r="Q530" s="36"/>
      <c r="R530" s="36"/>
      <c r="S530" s="36"/>
      <c r="T530" s="36"/>
      <c r="U530" s="36"/>
      <c r="V530" s="36"/>
      <c r="W530" s="36"/>
      <c r="X530" s="36"/>
      <c r="Y530" s="36"/>
      <c r="Z530" s="36"/>
    </row>
    <row r="531" spans="1:26">
      <c r="A531" s="36"/>
      <c r="B531" s="36"/>
      <c r="C531" s="36"/>
      <c r="D531" s="36"/>
      <c r="E531" s="36"/>
      <c r="F531" s="36"/>
      <c r="G531" s="36"/>
      <c r="H531" s="36"/>
      <c r="I531" s="36"/>
      <c r="J531" s="36"/>
      <c r="K531" s="36"/>
      <c r="L531" s="36"/>
      <c r="M531" s="36"/>
      <c r="N531" s="36"/>
      <c r="O531" s="36"/>
      <c r="P531" s="36"/>
      <c r="Q531" s="36"/>
      <c r="R531" s="36"/>
      <c r="S531" s="36"/>
      <c r="T531" s="36"/>
      <c r="U531" s="36"/>
      <c r="V531" s="36"/>
      <c r="W531" s="36"/>
      <c r="X531" s="36"/>
      <c r="Y531" s="36"/>
      <c r="Z531" s="36"/>
    </row>
    <row r="532" spans="1:26">
      <c r="A532" s="36"/>
      <c r="B532" s="36"/>
      <c r="C532" s="36"/>
      <c r="D532" s="36"/>
      <c r="E532" s="36"/>
      <c r="F532" s="36"/>
      <c r="G532" s="36"/>
      <c r="H532" s="36"/>
      <c r="I532" s="36"/>
      <c r="J532" s="36"/>
      <c r="K532" s="36"/>
      <c r="L532" s="36"/>
      <c r="M532" s="36"/>
      <c r="N532" s="36"/>
      <c r="O532" s="36"/>
      <c r="P532" s="36"/>
      <c r="Q532" s="36"/>
      <c r="R532" s="36"/>
      <c r="S532" s="36"/>
      <c r="T532" s="36"/>
      <c r="U532" s="36"/>
      <c r="V532" s="36"/>
      <c r="W532" s="36"/>
      <c r="X532" s="36"/>
      <c r="Y532" s="36"/>
      <c r="Z532" s="36"/>
    </row>
    <row r="533" spans="1:26">
      <c r="A533" s="36"/>
      <c r="B533" s="36"/>
      <c r="C533" s="36"/>
      <c r="D533" s="36"/>
      <c r="E533" s="36"/>
      <c r="F533" s="36"/>
      <c r="G533" s="36"/>
      <c r="H533" s="36"/>
      <c r="I533" s="36"/>
      <c r="J533" s="36"/>
      <c r="K533" s="36"/>
      <c r="L533" s="36"/>
      <c r="M533" s="36"/>
      <c r="N533" s="36"/>
      <c r="O533" s="36"/>
      <c r="P533" s="36"/>
      <c r="Q533" s="36"/>
      <c r="R533" s="36"/>
      <c r="S533" s="36"/>
      <c r="T533" s="36"/>
      <c r="U533" s="36"/>
      <c r="V533" s="36"/>
      <c r="W533" s="36"/>
      <c r="X533" s="36"/>
      <c r="Y533" s="36"/>
      <c r="Z533" s="36"/>
    </row>
    <row r="534" spans="1:26">
      <c r="A534" s="36"/>
      <c r="B534" s="36"/>
      <c r="C534" s="36"/>
      <c r="D534" s="36"/>
      <c r="E534" s="36"/>
      <c r="F534" s="36"/>
      <c r="G534" s="36"/>
      <c r="H534" s="36"/>
      <c r="I534" s="36"/>
      <c r="J534" s="36"/>
      <c r="K534" s="36"/>
      <c r="L534" s="36"/>
      <c r="M534" s="36"/>
      <c r="N534" s="36"/>
      <c r="O534" s="36"/>
      <c r="P534" s="36"/>
      <c r="Q534" s="36"/>
      <c r="R534" s="36"/>
      <c r="S534" s="36"/>
      <c r="T534" s="36"/>
      <c r="U534" s="36"/>
      <c r="V534" s="36"/>
      <c r="W534" s="36"/>
      <c r="X534" s="36"/>
      <c r="Y534" s="36"/>
      <c r="Z534" s="36"/>
    </row>
    <row r="535" spans="1:26">
      <c r="A535" s="36"/>
      <c r="B535" s="36"/>
      <c r="C535" s="36"/>
      <c r="D535" s="36"/>
      <c r="E535" s="36"/>
      <c r="F535" s="36"/>
      <c r="G535" s="36"/>
      <c r="H535" s="36"/>
      <c r="I535" s="36"/>
      <c r="J535" s="36"/>
      <c r="K535" s="36"/>
      <c r="L535" s="36"/>
      <c r="M535" s="36"/>
      <c r="N535" s="36"/>
      <c r="O535" s="36"/>
      <c r="P535" s="36"/>
      <c r="Q535" s="36"/>
      <c r="R535" s="36"/>
      <c r="S535" s="36"/>
      <c r="T535" s="36"/>
      <c r="U535" s="36"/>
      <c r="V535" s="36"/>
      <c r="W535" s="36"/>
      <c r="X535" s="36"/>
      <c r="Y535" s="36"/>
      <c r="Z535" s="36"/>
    </row>
    <row r="536" spans="1:26">
      <c r="A536" s="36"/>
      <c r="B536" s="36"/>
      <c r="C536" s="36"/>
      <c r="D536" s="36"/>
      <c r="E536" s="36"/>
      <c r="F536" s="36"/>
      <c r="G536" s="36"/>
      <c r="H536" s="36"/>
      <c r="I536" s="36"/>
      <c r="J536" s="36"/>
      <c r="K536" s="36"/>
      <c r="L536" s="36"/>
      <c r="M536" s="36"/>
      <c r="N536" s="36"/>
      <c r="O536" s="36"/>
      <c r="P536" s="36"/>
      <c r="Q536" s="36"/>
      <c r="R536" s="36"/>
      <c r="S536" s="36"/>
      <c r="T536" s="36"/>
      <c r="U536" s="36"/>
      <c r="V536" s="36"/>
      <c r="W536" s="36"/>
      <c r="X536" s="36"/>
      <c r="Y536" s="36"/>
      <c r="Z536" s="36"/>
    </row>
    <row r="537" spans="1:26">
      <c r="A537" s="36"/>
      <c r="B537" s="36"/>
      <c r="C537" s="36"/>
      <c r="D537" s="36"/>
      <c r="E537" s="36"/>
      <c r="F537" s="36"/>
      <c r="G537" s="36"/>
      <c r="H537" s="36"/>
      <c r="I537" s="36"/>
      <c r="J537" s="36"/>
      <c r="K537" s="36"/>
      <c r="L537" s="36"/>
      <c r="M537" s="36"/>
      <c r="N537" s="36"/>
      <c r="O537" s="36"/>
      <c r="P537" s="36"/>
      <c r="Q537" s="36"/>
      <c r="R537" s="36"/>
      <c r="S537" s="36"/>
      <c r="T537" s="36"/>
      <c r="U537" s="36"/>
      <c r="V537" s="36"/>
      <c r="W537" s="36"/>
      <c r="X537" s="36"/>
      <c r="Y537" s="36"/>
      <c r="Z537" s="36"/>
    </row>
    <row r="538" spans="1:26">
      <c r="A538" s="36"/>
      <c r="B538" s="36"/>
      <c r="C538" s="36"/>
      <c r="D538" s="36"/>
      <c r="E538" s="36"/>
      <c r="F538" s="36"/>
      <c r="G538" s="36"/>
      <c r="H538" s="36"/>
      <c r="I538" s="36"/>
      <c r="J538" s="36"/>
      <c r="K538" s="36"/>
      <c r="L538" s="36"/>
      <c r="M538" s="36"/>
      <c r="N538" s="36"/>
      <c r="O538" s="36"/>
      <c r="P538" s="36"/>
      <c r="Q538" s="36"/>
      <c r="R538" s="36"/>
      <c r="S538" s="36"/>
      <c r="T538" s="36"/>
      <c r="U538" s="36"/>
      <c r="V538" s="36"/>
      <c r="W538" s="36"/>
      <c r="X538" s="36"/>
      <c r="Y538" s="36"/>
      <c r="Z538" s="36"/>
    </row>
    <row r="539" spans="1:26">
      <c r="A539" s="36"/>
      <c r="B539" s="36"/>
      <c r="C539" s="36"/>
      <c r="D539" s="36"/>
      <c r="E539" s="36"/>
      <c r="F539" s="36"/>
      <c r="G539" s="36"/>
      <c r="H539" s="36"/>
      <c r="I539" s="36"/>
      <c r="J539" s="36"/>
      <c r="K539" s="36"/>
      <c r="L539" s="36"/>
      <c r="M539" s="36"/>
      <c r="N539" s="36"/>
      <c r="O539" s="36"/>
      <c r="P539" s="36"/>
      <c r="Q539" s="36"/>
      <c r="R539" s="36"/>
      <c r="S539" s="36"/>
      <c r="T539" s="36"/>
      <c r="U539" s="36"/>
      <c r="V539" s="36"/>
      <c r="W539" s="36"/>
      <c r="X539" s="36"/>
      <c r="Y539" s="36"/>
      <c r="Z539" s="36"/>
    </row>
    <row r="540" spans="1:26">
      <c r="A540" s="36"/>
      <c r="B540" s="36"/>
      <c r="C540" s="36"/>
      <c r="D540" s="36"/>
      <c r="E540" s="36"/>
      <c r="F540" s="36"/>
      <c r="G540" s="36"/>
      <c r="H540" s="36"/>
      <c r="I540" s="36"/>
      <c r="J540" s="36"/>
      <c r="K540" s="36"/>
      <c r="L540" s="36"/>
      <c r="M540" s="36"/>
      <c r="N540" s="36"/>
      <c r="O540" s="36"/>
      <c r="P540" s="36"/>
      <c r="Q540" s="36"/>
      <c r="R540" s="36"/>
      <c r="S540" s="36"/>
      <c r="T540" s="36"/>
      <c r="U540" s="36"/>
      <c r="V540" s="36"/>
      <c r="W540" s="36"/>
      <c r="X540" s="36"/>
      <c r="Y540" s="36"/>
      <c r="Z540" s="36"/>
    </row>
    <row r="541" spans="1:26">
      <c r="A541" s="36"/>
      <c r="B541" s="36"/>
      <c r="C541" s="36"/>
      <c r="D541" s="36"/>
      <c r="E541" s="36"/>
      <c r="F541" s="36"/>
      <c r="G541" s="36"/>
      <c r="H541" s="36"/>
      <c r="I541" s="36"/>
      <c r="J541" s="36"/>
      <c r="K541" s="36"/>
      <c r="L541" s="36"/>
      <c r="M541" s="36"/>
      <c r="N541" s="36"/>
      <c r="O541" s="36"/>
      <c r="P541" s="36"/>
      <c r="Q541" s="36"/>
      <c r="R541" s="36"/>
      <c r="S541" s="36"/>
      <c r="T541" s="36"/>
      <c r="U541" s="36"/>
      <c r="V541" s="36"/>
      <c r="W541" s="36"/>
      <c r="X541" s="36"/>
      <c r="Y541" s="36"/>
      <c r="Z541" s="36"/>
    </row>
    <row r="542" spans="1:26">
      <c r="A542" s="36"/>
      <c r="B542" s="36"/>
      <c r="C542" s="36"/>
      <c r="D542" s="36"/>
      <c r="E542" s="36"/>
      <c r="F542" s="36"/>
      <c r="G542" s="36"/>
      <c r="H542" s="36"/>
      <c r="I542" s="36"/>
      <c r="J542" s="36"/>
      <c r="K542" s="36"/>
      <c r="L542" s="36"/>
      <c r="M542" s="36"/>
      <c r="N542" s="36"/>
      <c r="O542" s="36"/>
      <c r="P542" s="36"/>
      <c r="Q542" s="36"/>
      <c r="R542" s="36"/>
      <c r="S542" s="36"/>
      <c r="T542" s="36"/>
      <c r="U542" s="36"/>
      <c r="V542" s="36"/>
      <c r="W542" s="36"/>
      <c r="X542" s="36"/>
      <c r="Y542" s="36"/>
      <c r="Z542" s="36"/>
    </row>
    <row r="543" spans="1:26">
      <c r="A543" s="36"/>
      <c r="B543" s="36"/>
      <c r="C543" s="36"/>
      <c r="D543" s="36"/>
      <c r="E543" s="36"/>
      <c r="F543" s="36"/>
      <c r="G543" s="36"/>
      <c r="H543" s="36"/>
      <c r="I543" s="36"/>
      <c r="J543" s="36"/>
      <c r="K543" s="36"/>
      <c r="L543" s="36"/>
      <c r="M543" s="36"/>
      <c r="N543" s="36"/>
      <c r="O543" s="36"/>
      <c r="P543" s="36"/>
      <c r="Q543" s="36"/>
      <c r="R543" s="36"/>
      <c r="S543" s="36"/>
      <c r="T543" s="36"/>
      <c r="U543" s="36"/>
      <c r="V543" s="36"/>
      <c r="W543" s="36"/>
      <c r="X543" s="36"/>
      <c r="Y543" s="36"/>
      <c r="Z543" s="36"/>
    </row>
    <row r="544" spans="1:26">
      <c r="A544" s="36"/>
      <c r="B544" s="36"/>
      <c r="C544" s="36"/>
      <c r="D544" s="36"/>
      <c r="E544" s="36"/>
      <c r="F544" s="36"/>
      <c r="G544" s="36"/>
      <c r="H544" s="36"/>
      <c r="I544" s="36"/>
      <c r="J544" s="36"/>
      <c r="K544" s="36"/>
      <c r="L544" s="36"/>
      <c r="M544" s="36"/>
      <c r="N544" s="36"/>
      <c r="O544" s="36"/>
      <c r="P544" s="36"/>
      <c r="Q544" s="36"/>
      <c r="R544" s="36"/>
      <c r="S544" s="36"/>
      <c r="T544" s="36"/>
      <c r="U544" s="36"/>
      <c r="V544" s="36"/>
      <c r="W544" s="36"/>
      <c r="X544" s="36"/>
      <c r="Y544" s="36"/>
      <c r="Z544" s="36"/>
    </row>
    <row r="545" spans="1:26">
      <c r="A545" s="36"/>
      <c r="B545" s="36"/>
      <c r="C545" s="36"/>
      <c r="D545" s="36"/>
      <c r="E545" s="36"/>
      <c r="F545" s="36"/>
      <c r="G545" s="36"/>
      <c r="H545" s="36"/>
      <c r="I545" s="36"/>
      <c r="J545" s="36"/>
      <c r="K545" s="36"/>
      <c r="L545" s="36"/>
      <c r="M545" s="36"/>
      <c r="N545" s="36"/>
      <c r="O545" s="36"/>
      <c r="P545" s="36"/>
      <c r="Q545" s="36"/>
      <c r="R545" s="36"/>
      <c r="S545" s="36"/>
      <c r="T545" s="36"/>
      <c r="U545" s="36"/>
      <c r="V545" s="36"/>
      <c r="W545" s="36"/>
      <c r="X545" s="36"/>
      <c r="Y545" s="36"/>
      <c r="Z545" s="36"/>
    </row>
    <row r="546" spans="1:26">
      <c r="A546" s="36"/>
      <c r="B546" s="36"/>
      <c r="C546" s="36"/>
      <c r="D546" s="36"/>
      <c r="E546" s="36"/>
      <c r="F546" s="36"/>
      <c r="G546" s="36"/>
      <c r="H546" s="36"/>
      <c r="I546" s="36"/>
      <c r="J546" s="36"/>
      <c r="K546" s="36"/>
      <c r="L546" s="36"/>
      <c r="M546" s="36"/>
      <c r="N546" s="36"/>
      <c r="O546" s="36"/>
      <c r="P546" s="36"/>
      <c r="Q546" s="36"/>
      <c r="R546" s="36"/>
      <c r="S546" s="36"/>
      <c r="T546" s="36"/>
      <c r="U546" s="36"/>
      <c r="V546" s="36"/>
      <c r="W546" s="36"/>
      <c r="X546" s="36"/>
      <c r="Y546" s="36"/>
      <c r="Z546" s="36"/>
    </row>
    <row r="547" spans="1:26">
      <c r="A547" s="36"/>
      <c r="B547" s="36"/>
      <c r="C547" s="36"/>
      <c r="D547" s="36"/>
      <c r="E547" s="36"/>
      <c r="F547" s="36"/>
      <c r="G547" s="36"/>
      <c r="H547" s="36"/>
      <c r="I547" s="36"/>
      <c r="J547" s="36"/>
      <c r="K547" s="36"/>
      <c r="L547" s="36"/>
      <c r="M547" s="36"/>
      <c r="N547" s="36"/>
      <c r="O547" s="36"/>
      <c r="P547" s="36"/>
      <c r="Q547" s="36"/>
      <c r="R547" s="36"/>
      <c r="S547" s="36"/>
      <c r="T547" s="36"/>
      <c r="U547" s="36"/>
      <c r="V547" s="36"/>
      <c r="W547" s="36"/>
      <c r="X547" s="36"/>
      <c r="Y547" s="36"/>
      <c r="Z547" s="36"/>
    </row>
    <row r="548" spans="1:26">
      <c r="A548" s="36"/>
      <c r="B548" s="36"/>
      <c r="C548" s="36"/>
      <c r="D548" s="36"/>
      <c r="E548" s="36"/>
      <c r="F548" s="36"/>
      <c r="G548" s="36"/>
      <c r="H548" s="36"/>
      <c r="I548" s="36"/>
      <c r="J548" s="36"/>
      <c r="K548" s="36"/>
      <c r="L548" s="36"/>
      <c r="M548" s="36"/>
      <c r="N548" s="36"/>
      <c r="O548" s="36"/>
      <c r="P548" s="36"/>
      <c r="Q548" s="36"/>
      <c r="R548" s="36"/>
      <c r="S548" s="36"/>
      <c r="T548" s="36"/>
      <c r="U548" s="36"/>
      <c r="V548" s="36"/>
      <c r="W548" s="36"/>
      <c r="X548" s="36"/>
      <c r="Y548" s="36"/>
      <c r="Z548" s="36"/>
    </row>
    <row r="549" spans="1:26">
      <c r="A549" s="36"/>
      <c r="B549" s="36"/>
      <c r="C549" s="36"/>
      <c r="D549" s="36"/>
      <c r="E549" s="36"/>
      <c r="F549" s="36"/>
      <c r="G549" s="36"/>
      <c r="H549" s="36"/>
      <c r="I549" s="36"/>
      <c r="J549" s="36"/>
      <c r="K549" s="36"/>
      <c r="L549" s="36"/>
      <c r="M549" s="36"/>
      <c r="N549" s="36"/>
      <c r="O549" s="36"/>
      <c r="P549" s="36"/>
      <c r="Q549" s="36"/>
      <c r="R549" s="36"/>
      <c r="S549" s="36"/>
      <c r="T549" s="36"/>
      <c r="U549" s="36"/>
      <c r="V549" s="36"/>
      <c r="W549" s="36"/>
      <c r="X549" s="36"/>
      <c r="Y549" s="36"/>
      <c r="Z549" s="36"/>
    </row>
    <row r="550" spans="1:26">
      <c r="A550" s="36"/>
      <c r="B550" s="36"/>
      <c r="C550" s="36"/>
      <c r="D550" s="36"/>
      <c r="E550" s="36"/>
      <c r="F550" s="36"/>
      <c r="G550" s="36"/>
      <c r="H550" s="36"/>
      <c r="I550" s="36"/>
      <c r="J550" s="36"/>
      <c r="K550" s="36"/>
      <c r="L550" s="36"/>
      <c r="M550" s="36"/>
      <c r="N550" s="36"/>
      <c r="O550" s="36"/>
      <c r="P550" s="36"/>
      <c r="Q550" s="36"/>
      <c r="R550" s="36"/>
      <c r="S550" s="36"/>
      <c r="T550" s="36"/>
      <c r="U550" s="36"/>
      <c r="V550" s="36"/>
      <c r="W550" s="36"/>
      <c r="X550" s="36"/>
      <c r="Y550" s="36"/>
      <c r="Z550" s="36"/>
    </row>
    <row r="551" spans="1:26">
      <c r="A551" s="36"/>
      <c r="B551" s="36"/>
      <c r="C551" s="36"/>
      <c r="D551" s="36"/>
      <c r="E551" s="36"/>
      <c r="F551" s="36"/>
      <c r="G551" s="36"/>
      <c r="H551" s="36"/>
      <c r="I551" s="36"/>
      <c r="J551" s="36"/>
      <c r="K551" s="36"/>
      <c r="L551" s="36"/>
      <c r="M551" s="36"/>
      <c r="N551" s="36"/>
      <c r="O551" s="36"/>
      <c r="P551" s="36"/>
      <c r="Q551" s="36"/>
      <c r="R551" s="36"/>
      <c r="S551" s="36"/>
      <c r="T551" s="36"/>
      <c r="U551" s="36"/>
      <c r="V551" s="36"/>
      <c r="W551" s="36"/>
      <c r="X551" s="36"/>
      <c r="Y551" s="36"/>
      <c r="Z551" s="36"/>
    </row>
    <row r="552" spans="1:26">
      <c r="A552" s="36"/>
      <c r="B552" s="36"/>
      <c r="C552" s="36"/>
      <c r="D552" s="36"/>
      <c r="E552" s="36"/>
      <c r="F552" s="36"/>
      <c r="G552" s="36"/>
      <c r="H552" s="36"/>
      <c r="I552" s="36"/>
      <c r="J552" s="36"/>
      <c r="K552" s="36"/>
      <c r="L552" s="36"/>
      <c r="M552" s="36"/>
      <c r="N552" s="36"/>
      <c r="O552" s="36"/>
      <c r="P552" s="36"/>
      <c r="Q552" s="36"/>
      <c r="R552" s="36"/>
      <c r="S552" s="36"/>
      <c r="T552" s="36"/>
      <c r="U552" s="36"/>
      <c r="V552" s="36"/>
      <c r="W552" s="36"/>
      <c r="X552" s="36"/>
      <c r="Y552" s="36"/>
      <c r="Z552" s="36"/>
    </row>
    <row r="553" spans="1:26">
      <c r="A553" s="36"/>
      <c r="B553" s="36"/>
      <c r="C553" s="36"/>
      <c r="D553" s="36"/>
      <c r="E553" s="36"/>
      <c r="F553" s="36"/>
      <c r="G553" s="36"/>
      <c r="H553" s="36"/>
      <c r="I553" s="36"/>
      <c r="J553" s="36"/>
      <c r="K553" s="36"/>
      <c r="L553" s="36"/>
      <c r="M553" s="36"/>
      <c r="N553" s="36"/>
      <c r="O553" s="36"/>
      <c r="P553" s="36"/>
      <c r="Q553" s="36"/>
      <c r="R553" s="36"/>
      <c r="S553" s="36"/>
      <c r="T553" s="36"/>
      <c r="U553" s="36"/>
      <c r="V553" s="36"/>
      <c r="W553" s="36"/>
      <c r="X553" s="36"/>
      <c r="Y553" s="36"/>
      <c r="Z553" s="36"/>
    </row>
    <row r="554" spans="1:26">
      <c r="A554" s="36"/>
      <c r="B554" s="36"/>
      <c r="C554" s="36"/>
      <c r="D554" s="36"/>
      <c r="E554" s="36"/>
      <c r="F554" s="36"/>
      <c r="G554" s="36"/>
      <c r="H554" s="36"/>
      <c r="I554" s="36"/>
      <c r="J554" s="36"/>
      <c r="K554" s="36"/>
      <c r="L554" s="36"/>
      <c r="M554" s="36"/>
      <c r="N554" s="36"/>
      <c r="O554" s="36"/>
      <c r="P554" s="36"/>
      <c r="Q554" s="36"/>
      <c r="R554" s="36"/>
      <c r="S554" s="36"/>
      <c r="T554" s="36"/>
      <c r="U554" s="36"/>
      <c r="V554" s="36"/>
      <c r="W554" s="36"/>
      <c r="X554" s="36"/>
      <c r="Y554" s="36"/>
      <c r="Z554" s="36"/>
    </row>
    <row r="555" spans="1:26">
      <c r="A555" s="36"/>
      <c r="B555" s="36"/>
      <c r="C555" s="36"/>
      <c r="D555" s="36"/>
      <c r="E555" s="36"/>
      <c r="F555" s="36"/>
      <c r="G555" s="36"/>
      <c r="H555" s="36"/>
      <c r="I555" s="36"/>
      <c r="J555" s="36"/>
      <c r="K555" s="36"/>
      <c r="L555" s="36"/>
      <c r="M555" s="36"/>
      <c r="N555" s="36"/>
      <c r="O555" s="36"/>
      <c r="P555" s="36"/>
      <c r="Q555" s="36"/>
      <c r="R555" s="36"/>
      <c r="S555" s="36"/>
      <c r="T555" s="36"/>
      <c r="U555" s="36"/>
      <c r="V555" s="36"/>
      <c r="W555" s="36"/>
      <c r="X555" s="36"/>
      <c r="Y555" s="36"/>
      <c r="Z555" s="36"/>
    </row>
    <row r="556" spans="1:26">
      <c r="A556" s="36"/>
      <c r="B556" s="36"/>
      <c r="C556" s="36"/>
      <c r="D556" s="36"/>
      <c r="E556" s="36"/>
      <c r="F556" s="36"/>
      <c r="G556" s="36"/>
      <c r="H556" s="36"/>
      <c r="I556" s="36"/>
      <c r="J556" s="36"/>
      <c r="K556" s="36"/>
      <c r="L556" s="36"/>
      <c r="M556" s="36"/>
      <c r="N556" s="36"/>
      <c r="O556" s="36"/>
      <c r="P556" s="36"/>
      <c r="Q556" s="36"/>
      <c r="R556" s="36"/>
      <c r="S556" s="36"/>
      <c r="T556" s="36"/>
      <c r="U556" s="36"/>
      <c r="V556" s="36"/>
      <c r="W556" s="36"/>
      <c r="X556" s="36"/>
      <c r="Y556" s="36"/>
      <c r="Z556" s="36"/>
    </row>
    <row r="557" spans="1:26">
      <c r="A557" s="36"/>
      <c r="B557" s="36"/>
      <c r="C557" s="36"/>
      <c r="D557" s="36"/>
      <c r="E557" s="36"/>
      <c r="F557" s="36"/>
      <c r="G557" s="36"/>
      <c r="H557" s="36"/>
      <c r="I557" s="36"/>
      <c r="J557" s="36"/>
      <c r="K557" s="36"/>
      <c r="L557" s="36"/>
      <c r="M557" s="36"/>
      <c r="N557" s="36"/>
      <c r="O557" s="36"/>
      <c r="P557" s="36"/>
      <c r="Q557" s="36"/>
      <c r="R557" s="36"/>
      <c r="S557" s="36"/>
      <c r="T557" s="36"/>
      <c r="U557" s="36"/>
      <c r="V557" s="36"/>
      <c r="W557" s="36"/>
      <c r="X557" s="36"/>
      <c r="Y557" s="36"/>
      <c r="Z557" s="36"/>
    </row>
    <row r="558" spans="1:26">
      <c r="A558" s="36"/>
      <c r="B558" s="36"/>
      <c r="C558" s="36"/>
      <c r="D558" s="36"/>
      <c r="E558" s="36"/>
      <c r="F558" s="36"/>
      <c r="G558" s="36"/>
      <c r="H558" s="36"/>
      <c r="I558" s="36"/>
      <c r="J558" s="36"/>
      <c r="K558" s="36"/>
      <c r="L558" s="36"/>
      <c r="M558" s="36"/>
      <c r="N558" s="36"/>
      <c r="O558" s="36"/>
      <c r="P558" s="36"/>
      <c r="Q558" s="36"/>
      <c r="R558" s="36"/>
      <c r="S558" s="36"/>
      <c r="T558" s="36"/>
      <c r="U558" s="36"/>
      <c r="V558" s="36"/>
      <c r="W558" s="36"/>
      <c r="X558" s="36"/>
      <c r="Y558" s="36"/>
      <c r="Z558" s="36"/>
    </row>
    <row r="559" spans="1:26">
      <c r="A559" s="36"/>
      <c r="B559" s="36"/>
      <c r="C559" s="36"/>
      <c r="D559" s="36"/>
      <c r="E559" s="36"/>
      <c r="F559" s="36"/>
      <c r="G559" s="36"/>
      <c r="H559" s="36"/>
      <c r="I559" s="36"/>
      <c r="J559" s="36"/>
      <c r="K559" s="36"/>
      <c r="L559" s="36"/>
      <c r="M559" s="36"/>
      <c r="N559" s="36"/>
      <c r="O559" s="36"/>
      <c r="P559" s="36"/>
      <c r="Q559" s="36"/>
      <c r="R559" s="36"/>
      <c r="S559" s="36"/>
      <c r="T559" s="36"/>
      <c r="U559" s="36"/>
      <c r="V559" s="36"/>
      <c r="W559" s="36"/>
      <c r="X559" s="36"/>
      <c r="Y559" s="36"/>
      <c r="Z559" s="36"/>
    </row>
    <row r="560" spans="1:26">
      <c r="A560" s="36"/>
      <c r="B560" s="36"/>
      <c r="C560" s="36"/>
      <c r="D560" s="36"/>
      <c r="E560" s="36"/>
      <c r="F560" s="36"/>
      <c r="G560" s="36"/>
      <c r="H560" s="36"/>
      <c r="I560" s="36"/>
      <c r="J560" s="36"/>
      <c r="K560" s="36"/>
      <c r="L560" s="36"/>
      <c r="M560" s="36"/>
      <c r="N560" s="36"/>
      <c r="O560" s="36"/>
      <c r="P560" s="36"/>
      <c r="Q560" s="36"/>
      <c r="R560" s="36"/>
      <c r="S560" s="36"/>
      <c r="T560" s="36"/>
      <c r="U560" s="36"/>
      <c r="V560" s="36"/>
      <c r="W560" s="36"/>
      <c r="X560" s="36"/>
      <c r="Y560" s="36"/>
      <c r="Z560" s="36"/>
    </row>
    <row r="561" spans="1:26">
      <c r="A561" s="36"/>
      <c r="B561" s="36"/>
      <c r="C561" s="36"/>
      <c r="D561" s="36"/>
      <c r="E561" s="36"/>
      <c r="F561" s="36"/>
      <c r="G561" s="36"/>
      <c r="H561" s="36"/>
      <c r="I561" s="36"/>
      <c r="J561" s="36"/>
      <c r="K561" s="36"/>
      <c r="L561" s="36"/>
      <c r="M561" s="36"/>
      <c r="N561" s="36"/>
      <c r="O561" s="36"/>
      <c r="P561" s="36"/>
      <c r="Q561" s="36"/>
      <c r="R561" s="36"/>
      <c r="S561" s="36"/>
      <c r="T561" s="36"/>
      <c r="U561" s="36"/>
      <c r="V561" s="36"/>
      <c r="W561" s="36"/>
      <c r="X561" s="36"/>
      <c r="Y561" s="36"/>
      <c r="Z561" s="36"/>
    </row>
    <row r="562" spans="1:26">
      <c r="A562" s="36"/>
      <c r="B562" s="36"/>
      <c r="C562" s="36"/>
      <c r="D562" s="36"/>
      <c r="E562" s="36"/>
      <c r="F562" s="36"/>
      <c r="G562" s="36"/>
      <c r="H562" s="36"/>
      <c r="I562" s="36"/>
      <c r="J562" s="36"/>
      <c r="K562" s="36"/>
      <c r="L562" s="36"/>
      <c r="M562" s="36"/>
      <c r="N562" s="36"/>
      <c r="O562" s="36"/>
      <c r="P562" s="36"/>
      <c r="Q562" s="36"/>
      <c r="R562" s="36"/>
      <c r="S562" s="36"/>
      <c r="T562" s="36"/>
      <c r="U562" s="36"/>
      <c r="V562" s="36"/>
      <c r="W562" s="36"/>
      <c r="X562" s="36"/>
      <c r="Y562" s="36"/>
      <c r="Z562" s="36"/>
    </row>
    <row r="563" spans="1:26">
      <c r="A563" s="36"/>
      <c r="B563" s="36"/>
      <c r="C563" s="36"/>
      <c r="D563" s="36"/>
      <c r="E563" s="36"/>
      <c r="F563" s="36"/>
      <c r="G563" s="36"/>
      <c r="H563" s="36"/>
      <c r="I563" s="36"/>
      <c r="J563" s="36"/>
      <c r="K563" s="36"/>
      <c r="L563" s="36"/>
      <c r="M563" s="36"/>
      <c r="N563" s="36"/>
      <c r="O563" s="36"/>
      <c r="P563" s="36"/>
      <c r="Q563" s="36"/>
      <c r="R563" s="36"/>
      <c r="S563" s="36"/>
      <c r="T563" s="36"/>
      <c r="U563" s="36"/>
      <c r="V563" s="36"/>
      <c r="W563" s="36"/>
      <c r="X563" s="36"/>
      <c r="Y563" s="36"/>
      <c r="Z563" s="36"/>
    </row>
    <row r="564" spans="1:26">
      <c r="A564" s="36"/>
      <c r="B564" s="36"/>
      <c r="C564" s="36"/>
      <c r="D564" s="36"/>
      <c r="E564" s="36"/>
      <c r="F564" s="36"/>
      <c r="G564" s="36"/>
      <c r="H564" s="36"/>
      <c r="I564" s="36"/>
      <c r="J564" s="36"/>
      <c r="K564" s="36"/>
      <c r="L564" s="36"/>
      <c r="M564" s="36"/>
      <c r="N564" s="36"/>
      <c r="O564" s="36"/>
      <c r="P564" s="36"/>
      <c r="Q564" s="36"/>
      <c r="R564" s="36"/>
      <c r="S564" s="36"/>
      <c r="T564" s="36"/>
      <c r="U564" s="36"/>
      <c r="V564" s="36"/>
      <c r="W564" s="36"/>
      <c r="X564" s="36"/>
      <c r="Y564" s="36"/>
      <c r="Z564" s="36"/>
    </row>
    <row r="565" spans="1:26">
      <c r="A565" s="36"/>
      <c r="B565" s="36"/>
      <c r="C565" s="36"/>
      <c r="D565" s="36"/>
      <c r="E565" s="36"/>
      <c r="F565" s="36"/>
      <c r="G565" s="36"/>
      <c r="H565" s="36"/>
      <c r="I565" s="36"/>
      <c r="J565" s="36"/>
      <c r="K565" s="36"/>
      <c r="L565" s="36"/>
      <c r="M565" s="36"/>
      <c r="N565" s="36"/>
      <c r="O565" s="36"/>
      <c r="P565" s="36"/>
      <c r="Q565" s="36"/>
      <c r="R565" s="36"/>
      <c r="S565" s="36"/>
      <c r="T565" s="36"/>
      <c r="U565" s="36"/>
      <c r="V565" s="36"/>
      <c r="W565" s="36"/>
      <c r="X565" s="36"/>
      <c r="Y565" s="36"/>
      <c r="Z565" s="36"/>
    </row>
    <row r="566" spans="1:26">
      <c r="A566" s="36"/>
      <c r="B566" s="36"/>
      <c r="C566" s="36"/>
      <c r="D566" s="36"/>
      <c r="E566" s="36"/>
      <c r="F566" s="36"/>
      <c r="G566" s="36"/>
      <c r="H566" s="36"/>
      <c r="I566" s="36"/>
      <c r="J566" s="36"/>
      <c r="K566" s="36"/>
      <c r="L566" s="36"/>
      <c r="M566" s="36"/>
      <c r="N566" s="36"/>
      <c r="O566" s="36"/>
      <c r="P566" s="36"/>
      <c r="Q566" s="36"/>
      <c r="R566" s="36"/>
      <c r="S566" s="36"/>
      <c r="T566" s="36"/>
      <c r="U566" s="36"/>
      <c r="V566" s="36"/>
      <c r="W566" s="36"/>
      <c r="X566" s="36"/>
      <c r="Y566" s="36"/>
      <c r="Z566" s="36"/>
    </row>
    <row r="567" spans="1:26">
      <c r="A567" s="36"/>
      <c r="B567" s="36"/>
      <c r="C567" s="36"/>
      <c r="D567" s="36"/>
      <c r="E567" s="36"/>
      <c r="F567" s="36"/>
      <c r="G567" s="36"/>
      <c r="H567" s="36"/>
      <c r="I567" s="36"/>
      <c r="J567" s="36"/>
      <c r="K567" s="36"/>
      <c r="L567" s="36"/>
      <c r="M567" s="36"/>
      <c r="N567" s="36"/>
      <c r="O567" s="36"/>
      <c r="P567" s="36"/>
      <c r="Q567" s="36"/>
      <c r="R567" s="36"/>
      <c r="S567" s="36"/>
      <c r="T567" s="36"/>
      <c r="U567" s="36"/>
      <c r="V567" s="36"/>
      <c r="W567" s="36"/>
      <c r="X567" s="36"/>
      <c r="Y567" s="36"/>
      <c r="Z567" s="36"/>
    </row>
    <row r="568" spans="1:26">
      <c r="A568" s="36"/>
      <c r="B568" s="36"/>
      <c r="C568" s="36"/>
      <c r="D568" s="36"/>
      <c r="E568" s="36"/>
      <c r="F568" s="36"/>
      <c r="G568" s="36"/>
      <c r="H568" s="36"/>
      <c r="I568" s="36"/>
      <c r="J568" s="36"/>
      <c r="K568" s="36"/>
      <c r="L568" s="36"/>
      <c r="M568" s="36"/>
      <c r="N568" s="36"/>
      <c r="O568" s="36"/>
      <c r="P568" s="36"/>
      <c r="Q568" s="36"/>
      <c r="R568" s="36"/>
      <c r="S568" s="36"/>
      <c r="T568" s="36"/>
      <c r="U568" s="36"/>
      <c r="V568" s="36"/>
      <c r="W568" s="36"/>
      <c r="X568" s="36"/>
      <c r="Y568" s="36"/>
      <c r="Z568" s="36"/>
    </row>
    <row r="569" spans="1:26">
      <c r="A569" s="36"/>
      <c r="B569" s="36"/>
      <c r="C569" s="36"/>
      <c r="D569" s="36"/>
      <c r="E569" s="36"/>
      <c r="F569" s="36"/>
      <c r="G569" s="36"/>
      <c r="H569" s="36"/>
      <c r="I569" s="36"/>
      <c r="J569" s="36"/>
      <c r="K569" s="36"/>
      <c r="L569" s="36"/>
      <c r="M569" s="36"/>
      <c r="N569" s="36"/>
      <c r="O569" s="36"/>
      <c r="P569" s="36"/>
      <c r="Q569" s="36"/>
      <c r="R569" s="36"/>
      <c r="S569" s="36"/>
      <c r="T569" s="36"/>
      <c r="U569" s="36"/>
      <c r="V569" s="36"/>
      <c r="W569" s="36"/>
      <c r="X569" s="36"/>
      <c r="Y569" s="36"/>
      <c r="Z569" s="36"/>
    </row>
    <row r="570" spans="1:26">
      <c r="A570" s="36"/>
      <c r="B570" s="36"/>
      <c r="C570" s="36"/>
      <c r="D570" s="36"/>
      <c r="E570" s="36"/>
      <c r="F570" s="36"/>
      <c r="G570" s="36"/>
      <c r="H570" s="36"/>
      <c r="I570" s="36"/>
      <c r="J570" s="36"/>
      <c r="K570" s="36"/>
      <c r="L570" s="36"/>
      <c r="M570" s="36"/>
      <c r="N570" s="36"/>
      <c r="O570" s="36"/>
      <c r="P570" s="36"/>
      <c r="Q570" s="36"/>
      <c r="R570" s="36"/>
      <c r="S570" s="36"/>
      <c r="T570" s="36"/>
      <c r="U570" s="36"/>
      <c r="V570" s="36"/>
      <c r="W570" s="36"/>
      <c r="X570" s="36"/>
      <c r="Y570" s="36"/>
      <c r="Z570" s="36"/>
    </row>
    <row r="571" spans="1:26">
      <c r="A571" s="36"/>
      <c r="B571" s="36"/>
      <c r="C571" s="36"/>
      <c r="D571" s="36"/>
      <c r="E571" s="36"/>
      <c r="F571" s="36"/>
      <c r="G571" s="36"/>
      <c r="H571" s="36"/>
      <c r="I571" s="36"/>
      <c r="J571" s="36"/>
      <c r="K571" s="36"/>
      <c r="L571" s="36"/>
      <c r="M571" s="36"/>
      <c r="N571" s="36"/>
      <c r="O571" s="36"/>
      <c r="P571" s="36"/>
      <c r="Q571" s="36"/>
      <c r="R571" s="36"/>
      <c r="S571" s="36"/>
      <c r="T571" s="36"/>
      <c r="U571" s="36"/>
      <c r="V571" s="36"/>
      <c r="W571" s="36"/>
      <c r="X571" s="36"/>
      <c r="Y571" s="36"/>
      <c r="Z571" s="36"/>
    </row>
    <row r="572" spans="1:26">
      <c r="A572" s="36"/>
      <c r="B572" s="36"/>
      <c r="C572" s="36"/>
      <c r="D572" s="36"/>
      <c r="E572" s="36"/>
      <c r="F572" s="36"/>
      <c r="G572" s="36"/>
      <c r="H572" s="36"/>
      <c r="I572" s="36"/>
      <c r="J572" s="36"/>
      <c r="K572" s="36"/>
      <c r="L572" s="36"/>
      <c r="M572" s="36"/>
      <c r="N572" s="36"/>
      <c r="O572" s="36"/>
      <c r="P572" s="36"/>
      <c r="Q572" s="36"/>
      <c r="R572" s="36"/>
      <c r="S572" s="36"/>
      <c r="T572" s="36"/>
      <c r="U572" s="36"/>
      <c r="V572" s="36"/>
      <c r="W572" s="36"/>
      <c r="X572" s="36"/>
      <c r="Y572" s="36"/>
      <c r="Z572" s="36"/>
    </row>
    <row r="573" spans="1:26">
      <c r="A573" s="36"/>
      <c r="B573" s="36"/>
      <c r="C573" s="36"/>
      <c r="D573" s="36"/>
      <c r="E573" s="36"/>
      <c r="F573" s="36"/>
      <c r="G573" s="36"/>
      <c r="H573" s="36"/>
      <c r="I573" s="36"/>
      <c r="J573" s="36"/>
      <c r="K573" s="36"/>
      <c r="L573" s="36"/>
      <c r="M573" s="36"/>
      <c r="N573" s="36"/>
      <c r="O573" s="36"/>
      <c r="P573" s="36"/>
      <c r="Q573" s="36"/>
      <c r="R573" s="36"/>
      <c r="S573" s="36"/>
      <c r="T573" s="36"/>
      <c r="U573" s="36"/>
      <c r="V573" s="36"/>
      <c r="W573" s="36"/>
      <c r="X573" s="36"/>
      <c r="Y573" s="36"/>
      <c r="Z573" s="36"/>
    </row>
    <row r="574" spans="1:26">
      <c r="A574" s="36"/>
      <c r="B574" s="36"/>
      <c r="C574" s="36"/>
      <c r="D574" s="36"/>
      <c r="E574" s="36"/>
      <c r="F574" s="36"/>
      <c r="G574" s="36"/>
      <c r="H574" s="36"/>
      <c r="I574" s="36"/>
      <c r="J574" s="36"/>
      <c r="K574" s="36"/>
      <c r="L574" s="36"/>
      <c r="M574" s="36"/>
      <c r="N574" s="36"/>
      <c r="O574" s="36"/>
      <c r="P574" s="36"/>
      <c r="Q574" s="36"/>
      <c r="R574" s="36"/>
      <c r="S574" s="36"/>
      <c r="T574" s="36"/>
      <c r="U574" s="36"/>
      <c r="V574" s="36"/>
      <c r="W574" s="36"/>
      <c r="X574" s="36"/>
      <c r="Y574" s="36"/>
      <c r="Z574" s="36"/>
    </row>
    <row r="575" spans="1:26">
      <c r="A575" s="36"/>
      <c r="B575" s="36"/>
      <c r="C575" s="36"/>
      <c r="D575" s="36"/>
      <c r="E575" s="36"/>
      <c r="F575" s="36"/>
      <c r="G575" s="36"/>
      <c r="H575" s="36"/>
      <c r="I575" s="36"/>
      <c r="J575" s="36"/>
      <c r="K575" s="36"/>
      <c r="L575" s="36"/>
      <c r="M575" s="36"/>
      <c r="N575" s="36"/>
      <c r="O575" s="36"/>
      <c r="P575" s="36"/>
      <c r="Q575" s="36"/>
      <c r="R575" s="36"/>
      <c r="S575" s="36"/>
      <c r="T575" s="36"/>
      <c r="U575" s="36"/>
      <c r="V575" s="36"/>
      <c r="W575" s="36"/>
      <c r="X575" s="36"/>
      <c r="Y575" s="36"/>
      <c r="Z575" s="36"/>
    </row>
    <row r="576" spans="1:26">
      <c r="A576" s="36"/>
      <c r="B576" s="36"/>
      <c r="C576" s="36"/>
      <c r="D576" s="36"/>
      <c r="E576" s="36"/>
      <c r="F576" s="36"/>
      <c r="G576" s="36"/>
      <c r="H576" s="36"/>
      <c r="I576" s="36"/>
      <c r="J576" s="36"/>
      <c r="K576" s="36"/>
      <c r="L576" s="36"/>
      <c r="M576" s="36"/>
      <c r="N576" s="36"/>
      <c r="O576" s="36"/>
      <c r="P576" s="36"/>
      <c r="Q576" s="36"/>
      <c r="R576" s="36"/>
      <c r="S576" s="36"/>
      <c r="T576" s="36"/>
      <c r="U576" s="36"/>
      <c r="V576" s="36"/>
      <c r="W576" s="36"/>
      <c r="X576" s="36"/>
      <c r="Y576" s="36"/>
      <c r="Z576" s="36"/>
    </row>
    <row r="577" spans="1:26">
      <c r="A577" s="36"/>
      <c r="B577" s="36"/>
      <c r="C577" s="36"/>
      <c r="D577" s="36"/>
      <c r="E577" s="36"/>
      <c r="F577" s="36"/>
      <c r="G577" s="36"/>
      <c r="H577" s="36"/>
      <c r="I577" s="36"/>
      <c r="J577" s="36"/>
      <c r="K577" s="36"/>
      <c r="L577" s="36"/>
      <c r="M577" s="36"/>
      <c r="N577" s="36"/>
      <c r="O577" s="36"/>
      <c r="P577" s="36"/>
      <c r="Q577" s="36"/>
      <c r="R577" s="36"/>
      <c r="S577" s="36"/>
      <c r="T577" s="36"/>
      <c r="U577" s="36"/>
      <c r="V577" s="36"/>
      <c r="W577" s="36"/>
      <c r="X577" s="36"/>
      <c r="Y577" s="36"/>
      <c r="Z577" s="36"/>
    </row>
    <row r="578" spans="1:26">
      <c r="A578" s="36"/>
      <c r="B578" s="36"/>
      <c r="C578" s="36"/>
      <c r="D578" s="36"/>
      <c r="E578" s="36"/>
      <c r="F578" s="36"/>
      <c r="G578" s="36"/>
      <c r="H578" s="36"/>
      <c r="I578" s="36"/>
      <c r="J578" s="36"/>
      <c r="K578" s="36"/>
      <c r="L578" s="36"/>
      <c r="M578" s="36"/>
      <c r="N578" s="36"/>
      <c r="O578" s="36"/>
      <c r="P578" s="36"/>
      <c r="Q578" s="36"/>
      <c r="R578" s="36"/>
      <c r="S578" s="36"/>
      <c r="T578" s="36"/>
      <c r="U578" s="36"/>
      <c r="V578" s="36"/>
      <c r="W578" s="36"/>
      <c r="X578" s="36"/>
      <c r="Y578" s="36"/>
      <c r="Z578" s="36"/>
    </row>
    <row r="579" spans="1:26">
      <c r="A579" s="36"/>
      <c r="B579" s="36"/>
      <c r="C579" s="36"/>
      <c r="D579" s="36"/>
      <c r="E579" s="36"/>
      <c r="F579" s="36"/>
      <c r="G579" s="36"/>
      <c r="H579" s="36"/>
      <c r="I579" s="36"/>
      <c r="J579" s="36"/>
      <c r="K579" s="36"/>
      <c r="L579" s="36"/>
      <c r="M579" s="36"/>
      <c r="N579" s="36"/>
      <c r="O579" s="36"/>
      <c r="P579" s="36"/>
      <c r="Q579" s="36"/>
      <c r="R579" s="36"/>
      <c r="S579" s="36"/>
      <c r="T579" s="36"/>
      <c r="U579" s="36"/>
      <c r="V579" s="36"/>
      <c r="W579" s="36"/>
      <c r="X579" s="36"/>
      <c r="Y579" s="36"/>
      <c r="Z579" s="36"/>
    </row>
    <row r="580" spans="1:26">
      <c r="A580" s="36"/>
      <c r="B580" s="36"/>
      <c r="C580" s="36"/>
      <c r="D580" s="36"/>
      <c r="E580" s="36"/>
      <c r="F580" s="36"/>
      <c r="G580" s="36"/>
      <c r="H580" s="36"/>
      <c r="I580" s="36"/>
      <c r="J580" s="36"/>
      <c r="K580" s="36"/>
      <c r="L580" s="36"/>
      <c r="M580" s="36"/>
      <c r="N580" s="36"/>
      <c r="O580" s="36"/>
      <c r="P580" s="36"/>
      <c r="Q580" s="36"/>
      <c r="R580" s="36"/>
      <c r="S580" s="36"/>
      <c r="T580" s="36"/>
      <c r="U580" s="36"/>
      <c r="V580" s="36"/>
      <c r="W580" s="36"/>
      <c r="X580" s="36"/>
      <c r="Y580" s="36"/>
      <c r="Z580" s="36"/>
    </row>
    <row r="581" spans="1:26">
      <c r="A581" s="36"/>
      <c r="B581" s="36"/>
      <c r="C581" s="36"/>
      <c r="D581" s="36"/>
      <c r="E581" s="36"/>
      <c r="F581" s="36"/>
      <c r="G581" s="36"/>
      <c r="H581" s="36"/>
      <c r="I581" s="36"/>
      <c r="J581" s="36"/>
      <c r="K581" s="36"/>
      <c r="L581" s="36"/>
      <c r="M581" s="36"/>
      <c r="N581" s="36"/>
      <c r="O581" s="36"/>
      <c r="P581" s="36"/>
      <c r="Q581" s="36"/>
      <c r="R581" s="36"/>
      <c r="S581" s="36"/>
      <c r="T581" s="36"/>
      <c r="U581" s="36"/>
      <c r="V581" s="36"/>
      <c r="W581" s="36"/>
      <c r="X581" s="36"/>
      <c r="Y581" s="36"/>
      <c r="Z581" s="36"/>
    </row>
    <row r="582" spans="1:26">
      <c r="A582" s="36"/>
      <c r="B582" s="36"/>
      <c r="C582" s="36"/>
      <c r="D582" s="36"/>
      <c r="E582" s="36"/>
      <c r="F582" s="36"/>
      <c r="G582" s="36"/>
      <c r="H582" s="36"/>
      <c r="I582" s="36"/>
      <c r="J582" s="36"/>
      <c r="K582" s="36"/>
      <c r="L582" s="36"/>
      <c r="M582" s="36"/>
      <c r="N582" s="36"/>
      <c r="O582" s="36"/>
      <c r="P582" s="36"/>
      <c r="Q582" s="36"/>
      <c r="R582" s="36"/>
      <c r="S582" s="36"/>
      <c r="T582" s="36"/>
      <c r="U582" s="36"/>
      <c r="V582" s="36"/>
      <c r="W582" s="36"/>
      <c r="X582" s="36"/>
      <c r="Y582" s="36"/>
      <c r="Z582" s="36"/>
    </row>
    <row r="583" spans="1:26">
      <c r="A583" s="36"/>
      <c r="B583" s="36"/>
      <c r="C583" s="36"/>
      <c r="D583" s="36"/>
      <c r="E583" s="36"/>
      <c r="F583" s="36"/>
      <c r="G583" s="36"/>
      <c r="H583" s="36"/>
      <c r="I583" s="36"/>
      <c r="J583" s="36"/>
      <c r="K583" s="36"/>
      <c r="L583" s="36"/>
      <c r="M583" s="36"/>
      <c r="N583" s="36"/>
      <c r="O583" s="36"/>
      <c r="P583" s="36"/>
      <c r="Q583" s="36"/>
      <c r="R583" s="36"/>
      <c r="S583" s="36"/>
      <c r="T583" s="36"/>
      <c r="U583" s="36"/>
      <c r="V583" s="36"/>
      <c r="W583" s="36"/>
      <c r="X583" s="36"/>
      <c r="Y583" s="36"/>
      <c r="Z583" s="36"/>
    </row>
    <row r="584" spans="1:26">
      <c r="A584" s="36"/>
      <c r="B584" s="36"/>
      <c r="C584" s="36"/>
      <c r="D584" s="36"/>
      <c r="E584" s="36"/>
      <c r="F584" s="36"/>
      <c r="G584" s="36"/>
      <c r="H584" s="36"/>
      <c r="I584" s="36"/>
      <c r="J584" s="36"/>
      <c r="K584" s="36"/>
      <c r="L584" s="36"/>
      <c r="M584" s="36"/>
      <c r="N584" s="36"/>
      <c r="O584" s="36"/>
      <c r="P584" s="36"/>
      <c r="Q584" s="36"/>
      <c r="R584" s="36"/>
      <c r="S584" s="36"/>
      <c r="T584" s="36"/>
      <c r="U584" s="36"/>
      <c r="V584" s="36"/>
      <c r="W584" s="36"/>
      <c r="X584" s="36"/>
      <c r="Y584" s="36"/>
      <c r="Z584" s="36"/>
    </row>
    <row r="585" spans="1:26">
      <c r="A585" s="36"/>
      <c r="B585" s="36"/>
      <c r="C585" s="36"/>
      <c r="D585" s="36"/>
      <c r="E585" s="36"/>
      <c r="F585" s="36"/>
      <c r="G585" s="36"/>
      <c r="H585" s="36"/>
      <c r="I585" s="36"/>
      <c r="J585" s="36"/>
      <c r="K585" s="36"/>
      <c r="L585" s="36"/>
      <c r="M585" s="36"/>
      <c r="N585" s="36"/>
      <c r="O585" s="36"/>
      <c r="P585" s="36"/>
      <c r="Q585" s="36"/>
      <c r="R585" s="36"/>
      <c r="S585" s="36"/>
      <c r="T585" s="36"/>
      <c r="U585" s="36"/>
      <c r="V585" s="36"/>
      <c r="W585" s="36"/>
      <c r="X585" s="36"/>
      <c r="Y585" s="36"/>
      <c r="Z585" s="36"/>
    </row>
    <row r="586" spans="1:26">
      <c r="A586" s="36"/>
      <c r="B586" s="36"/>
      <c r="C586" s="36"/>
      <c r="D586" s="36"/>
      <c r="E586" s="36"/>
      <c r="F586" s="36"/>
      <c r="G586" s="36"/>
      <c r="H586" s="36"/>
      <c r="I586" s="36"/>
      <c r="J586" s="36"/>
      <c r="K586" s="36"/>
      <c r="L586" s="36"/>
      <c r="M586" s="36"/>
      <c r="N586" s="36"/>
      <c r="O586" s="36"/>
      <c r="P586" s="36"/>
      <c r="Q586" s="36"/>
      <c r="R586" s="36"/>
      <c r="S586" s="36"/>
      <c r="T586" s="36"/>
      <c r="U586" s="36"/>
      <c r="V586" s="36"/>
      <c r="W586" s="36"/>
      <c r="X586" s="36"/>
      <c r="Y586" s="36"/>
      <c r="Z586" s="36"/>
    </row>
    <row r="587" spans="1:26">
      <c r="A587" s="36"/>
      <c r="B587" s="36"/>
      <c r="C587" s="36"/>
      <c r="D587" s="36"/>
      <c r="E587" s="36"/>
      <c r="F587" s="36"/>
      <c r="G587" s="36"/>
      <c r="H587" s="36"/>
      <c r="I587" s="36"/>
      <c r="J587" s="36"/>
      <c r="K587" s="36"/>
      <c r="L587" s="36"/>
      <c r="M587" s="36"/>
      <c r="N587" s="36"/>
      <c r="O587" s="36"/>
      <c r="P587" s="36"/>
      <c r="Q587" s="36"/>
      <c r="R587" s="36"/>
      <c r="S587" s="36"/>
      <c r="T587" s="36"/>
      <c r="U587" s="36"/>
      <c r="V587" s="36"/>
      <c r="W587" s="36"/>
      <c r="X587" s="36"/>
      <c r="Y587" s="36"/>
      <c r="Z587" s="36"/>
    </row>
    <row r="588" spans="1:26">
      <c r="A588" s="36"/>
      <c r="B588" s="36"/>
      <c r="C588" s="36"/>
      <c r="D588" s="36"/>
      <c r="E588" s="36"/>
      <c r="F588" s="36"/>
      <c r="G588" s="36"/>
      <c r="H588" s="36"/>
      <c r="I588" s="36"/>
      <c r="J588" s="36"/>
      <c r="K588" s="36"/>
      <c r="L588" s="36"/>
      <c r="M588" s="36"/>
      <c r="N588" s="36"/>
      <c r="O588" s="36"/>
      <c r="P588" s="36"/>
      <c r="Q588" s="36"/>
      <c r="R588" s="36"/>
      <c r="S588" s="36"/>
      <c r="T588" s="36"/>
      <c r="U588" s="36"/>
      <c r="V588" s="36"/>
      <c r="W588" s="36"/>
      <c r="X588" s="36"/>
      <c r="Y588" s="36"/>
      <c r="Z588" s="36"/>
    </row>
    <row r="589" spans="1:26">
      <c r="A589" s="36"/>
      <c r="B589" s="36"/>
      <c r="C589" s="36"/>
      <c r="D589" s="36"/>
      <c r="E589" s="36"/>
      <c r="F589" s="36"/>
      <c r="G589" s="36"/>
      <c r="H589" s="36"/>
      <c r="I589" s="36"/>
      <c r="J589" s="36"/>
      <c r="K589" s="36"/>
      <c r="L589" s="36"/>
      <c r="M589" s="36"/>
      <c r="N589" s="36"/>
      <c r="O589" s="36"/>
      <c r="P589" s="36"/>
      <c r="Q589" s="36"/>
      <c r="R589" s="36"/>
      <c r="S589" s="36"/>
      <c r="T589" s="36"/>
      <c r="U589" s="36"/>
      <c r="V589" s="36"/>
      <c r="W589" s="36"/>
      <c r="X589" s="36"/>
      <c r="Y589" s="36"/>
      <c r="Z589" s="36"/>
    </row>
    <row r="590" spans="1:26">
      <c r="A590" s="36"/>
      <c r="B590" s="36"/>
      <c r="C590" s="36"/>
      <c r="D590" s="36"/>
      <c r="E590" s="36"/>
      <c r="F590" s="36"/>
      <c r="G590" s="36"/>
      <c r="H590" s="36"/>
      <c r="I590" s="36"/>
      <c r="J590" s="36"/>
      <c r="K590" s="36"/>
      <c r="L590" s="36"/>
      <c r="M590" s="36"/>
      <c r="N590" s="36"/>
      <c r="O590" s="36"/>
      <c r="P590" s="36"/>
      <c r="Q590" s="36"/>
      <c r="R590" s="36"/>
      <c r="S590" s="36"/>
      <c r="T590" s="36"/>
      <c r="U590" s="36"/>
      <c r="V590" s="36"/>
      <c r="W590" s="36"/>
      <c r="X590" s="36"/>
      <c r="Y590" s="36"/>
      <c r="Z590" s="36"/>
    </row>
    <row r="591" spans="1:26">
      <c r="A591" s="36"/>
      <c r="B591" s="36"/>
      <c r="C591" s="36"/>
      <c r="D591" s="36"/>
      <c r="E591" s="36"/>
      <c r="F591" s="36"/>
      <c r="G591" s="36"/>
      <c r="H591" s="36"/>
      <c r="I591" s="36"/>
      <c r="J591" s="36"/>
      <c r="K591" s="36"/>
      <c r="L591" s="36"/>
      <c r="M591" s="36"/>
      <c r="N591" s="36"/>
      <c r="O591" s="36"/>
      <c r="P591" s="36"/>
      <c r="Q591" s="36"/>
      <c r="R591" s="36"/>
      <c r="S591" s="36"/>
      <c r="T591" s="36"/>
      <c r="U591" s="36"/>
      <c r="V591" s="36"/>
      <c r="W591" s="36"/>
      <c r="X591" s="36"/>
      <c r="Y591" s="36"/>
      <c r="Z591" s="36"/>
    </row>
    <row r="592" spans="1:26">
      <c r="A592" s="36"/>
      <c r="B592" s="36"/>
      <c r="C592" s="36"/>
      <c r="D592" s="36"/>
      <c r="E592" s="36"/>
      <c r="F592" s="36"/>
      <c r="G592" s="36"/>
      <c r="H592" s="36"/>
      <c r="I592" s="36"/>
      <c r="J592" s="36"/>
      <c r="K592" s="36"/>
      <c r="L592" s="36"/>
      <c r="M592" s="36"/>
      <c r="N592" s="36"/>
      <c r="O592" s="36"/>
      <c r="P592" s="36"/>
      <c r="Q592" s="36"/>
      <c r="R592" s="36"/>
      <c r="S592" s="36"/>
      <c r="T592" s="36"/>
      <c r="U592" s="36"/>
      <c r="V592" s="36"/>
      <c r="W592" s="36"/>
      <c r="X592" s="36"/>
      <c r="Y592" s="36"/>
      <c r="Z592" s="36"/>
    </row>
    <row r="593" spans="1:26">
      <c r="A593" s="36"/>
      <c r="B593" s="36"/>
      <c r="C593" s="36"/>
      <c r="D593" s="36"/>
      <c r="E593" s="36"/>
      <c r="F593" s="36"/>
      <c r="G593" s="36"/>
      <c r="H593" s="36"/>
      <c r="I593" s="36"/>
      <c r="J593" s="36"/>
      <c r="K593" s="36"/>
      <c r="L593" s="36"/>
      <c r="M593" s="36"/>
      <c r="N593" s="36"/>
      <c r="O593" s="36"/>
      <c r="P593" s="36"/>
      <c r="Q593" s="36"/>
      <c r="R593" s="36"/>
      <c r="S593" s="36"/>
      <c r="T593" s="36"/>
      <c r="U593" s="36"/>
      <c r="V593" s="36"/>
      <c r="W593" s="36"/>
      <c r="X593" s="36"/>
      <c r="Y593" s="36"/>
      <c r="Z593" s="36"/>
    </row>
    <row r="594" spans="1:26">
      <c r="A594" s="36"/>
      <c r="B594" s="36"/>
      <c r="C594" s="36"/>
      <c r="D594" s="36"/>
      <c r="E594" s="36"/>
      <c r="F594" s="36"/>
      <c r="G594" s="36"/>
      <c r="H594" s="36"/>
      <c r="I594" s="36"/>
      <c r="J594" s="36"/>
      <c r="K594" s="36"/>
      <c r="L594" s="36"/>
      <c r="M594" s="36"/>
      <c r="N594" s="36"/>
      <c r="O594" s="36"/>
      <c r="P594" s="36"/>
      <c r="Q594" s="36"/>
      <c r="R594" s="36"/>
      <c r="S594" s="36"/>
      <c r="T594" s="36"/>
      <c r="U594" s="36"/>
      <c r="V594" s="36"/>
      <c r="W594" s="36"/>
      <c r="X594" s="36"/>
      <c r="Y594" s="36"/>
      <c r="Z594" s="36"/>
    </row>
    <row r="595" spans="1:26">
      <c r="A595" s="36"/>
      <c r="B595" s="36"/>
      <c r="C595" s="36"/>
      <c r="D595" s="36"/>
      <c r="E595" s="36"/>
      <c r="F595" s="36"/>
      <c r="G595" s="36"/>
      <c r="H595" s="36"/>
      <c r="I595" s="36"/>
      <c r="J595" s="36"/>
      <c r="K595" s="36"/>
      <c r="L595" s="36"/>
      <c r="M595" s="36"/>
      <c r="N595" s="36"/>
      <c r="O595" s="36"/>
      <c r="P595" s="36"/>
      <c r="Q595" s="36"/>
      <c r="R595" s="36"/>
      <c r="S595" s="36"/>
      <c r="T595" s="36"/>
      <c r="U595" s="36"/>
      <c r="V595" s="36"/>
      <c r="W595" s="36"/>
      <c r="X595" s="36"/>
      <c r="Y595" s="36"/>
      <c r="Z595" s="36"/>
    </row>
    <row r="596" spans="1:26">
      <c r="A596" s="36"/>
      <c r="B596" s="36"/>
      <c r="C596" s="36"/>
      <c r="D596" s="36"/>
      <c r="E596" s="36"/>
      <c r="F596" s="36"/>
      <c r="G596" s="36"/>
      <c r="H596" s="36"/>
      <c r="I596" s="36"/>
      <c r="J596" s="36"/>
      <c r="K596" s="36"/>
      <c r="L596" s="36"/>
      <c r="M596" s="36"/>
      <c r="N596" s="36"/>
      <c r="O596" s="36"/>
      <c r="P596" s="36"/>
      <c r="Q596" s="36"/>
      <c r="R596" s="36"/>
      <c r="S596" s="36"/>
      <c r="T596" s="36"/>
      <c r="U596" s="36"/>
      <c r="V596" s="36"/>
      <c r="W596" s="36"/>
      <c r="X596" s="36"/>
      <c r="Y596" s="36"/>
      <c r="Z596" s="36"/>
    </row>
    <row r="597" spans="1:26">
      <c r="A597" s="36"/>
      <c r="B597" s="36"/>
      <c r="C597" s="36"/>
      <c r="D597" s="36"/>
      <c r="E597" s="36"/>
      <c r="F597" s="36"/>
      <c r="G597" s="36"/>
      <c r="H597" s="36"/>
      <c r="I597" s="36"/>
      <c r="J597" s="36"/>
      <c r="K597" s="36"/>
      <c r="L597" s="36"/>
      <c r="M597" s="36"/>
      <c r="N597" s="36"/>
      <c r="O597" s="36"/>
      <c r="P597" s="36"/>
      <c r="Q597" s="36"/>
      <c r="R597" s="36"/>
      <c r="S597" s="36"/>
      <c r="T597" s="36"/>
      <c r="U597" s="36"/>
      <c r="V597" s="36"/>
      <c r="W597" s="36"/>
      <c r="X597" s="36"/>
      <c r="Y597" s="36"/>
      <c r="Z597" s="36"/>
    </row>
    <row r="598" spans="1:26">
      <c r="A598" s="36"/>
      <c r="B598" s="36"/>
      <c r="C598" s="36"/>
      <c r="D598" s="36"/>
      <c r="E598" s="36"/>
      <c r="F598" s="36"/>
      <c r="G598" s="36"/>
      <c r="H598" s="36"/>
      <c r="I598" s="36"/>
      <c r="J598" s="36"/>
      <c r="K598" s="36"/>
      <c r="L598" s="36"/>
      <c r="M598" s="36"/>
      <c r="N598" s="36"/>
      <c r="O598" s="36"/>
      <c r="P598" s="36"/>
      <c r="Q598" s="36"/>
      <c r="R598" s="36"/>
      <c r="S598" s="36"/>
      <c r="T598" s="36"/>
      <c r="U598" s="36"/>
      <c r="V598" s="36"/>
      <c r="W598" s="36"/>
      <c r="X598" s="36"/>
      <c r="Y598" s="36"/>
      <c r="Z598" s="36"/>
    </row>
    <row r="599" spans="1:26">
      <c r="A599" s="36"/>
      <c r="B599" s="36"/>
      <c r="C599" s="36"/>
      <c r="D599" s="36"/>
      <c r="E599" s="36"/>
      <c r="F599" s="36"/>
      <c r="G599" s="36"/>
      <c r="H599" s="36"/>
      <c r="I599" s="36"/>
      <c r="J599" s="36"/>
      <c r="K599" s="36"/>
      <c r="L599" s="36"/>
      <c r="M599" s="36"/>
      <c r="N599" s="36"/>
      <c r="O599" s="36"/>
      <c r="P599" s="36"/>
      <c r="Q599" s="36"/>
      <c r="R599" s="36"/>
      <c r="S599" s="36"/>
      <c r="T599" s="36"/>
      <c r="U599" s="36"/>
      <c r="V599" s="36"/>
      <c r="W599" s="36"/>
      <c r="X599" s="36"/>
      <c r="Y599" s="36"/>
      <c r="Z599" s="36"/>
    </row>
    <row r="600" spans="1:26">
      <c r="A600" s="36"/>
      <c r="B600" s="36"/>
      <c r="C600" s="36"/>
      <c r="D600" s="36"/>
      <c r="E600" s="36"/>
      <c r="F600" s="36"/>
      <c r="G600" s="36"/>
      <c r="H600" s="36"/>
      <c r="I600" s="36"/>
      <c r="J600" s="36"/>
      <c r="K600" s="36"/>
      <c r="L600" s="36"/>
      <c r="M600" s="36"/>
      <c r="N600" s="36"/>
      <c r="O600" s="36"/>
      <c r="P600" s="36"/>
      <c r="Q600" s="36"/>
      <c r="R600" s="36"/>
      <c r="S600" s="36"/>
      <c r="T600" s="36"/>
      <c r="U600" s="36"/>
      <c r="V600" s="36"/>
      <c r="W600" s="36"/>
      <c r="X600" s="36"/>
      <c r="Y600" s="36"/>
      <c r="Z600" s="36"/>
    </row>
    <row r="601" spans="1:26">
      <c r="A601" s="36"/>
      <c r="B601" s="36"/>
      <c r="C601" s="36"/>
      <c r="D601" s="36"/>
      <c r="E601" s="36"/>
      <c r="F601" s="36"/>
      <c r="G601" s="36"/>
      <c r="H601" s="36"/>
      <c r="I601" s="36"/>
      <c r="J601" s="36"/>
      <c r="K601" s="36"/>
      <c r="L601" s="36"/>
      <c r="M601" s="36"/>
      <c r="N601" s="36"/>
      <c r="O601" s="36"/>
      <c r="P601" s="36"/>
      <c r="Q601" s="36"/>
      <c r="R601" s="36"/>
      <c r="S601" s="36"/>
      <c r="T601" s="36"/>
      <c r="U601" s="36"/>
      <c r="V601" s="36"/>
      <c r="W601" s="36"/>
      <c r="X601" s="36"/>
      <c r="Y601" s="36"/>
      <c r="Z601" s="36"/>
    </row>
    <row r="602" spans="1:26">
      <c r="A602" s="36"/>
      <c r="B602" s="36"/>
      <c r="C602" s="36"/>
      <c r="D602" s="36"/>
      <c r="E602" s="36"/>
      <c r="F602" s="36"/>
      <c r="G602" s="36"/>
      <c r="H602" s="36"/>
      <c r="I602" s="36"/>
      <c r="J602" s="36"/>
      <c r="K602" s="36"/>
      <c r="L602" s="36"/>
      <c r="M602" s="36"/>
      <c r="N602" s="36"/>
      <c r="O602" s="36"/>
      <c r="P602" s="36"/>
      <c r="Q602" s="36"/>
      <c r="R602" s="36"/>
      <c r="S602" s="36"/>
      <c r="T602" s="36"/>
      <c r="U602" s="36"/>
      <c r="V602" s="36"/>
      <c r="W602" s="36"/>
      <c r="X602" s="36"/>
      <c r="Y602" s="36"/>
      <c r="Z602" s="36"/>
    </row>
    <row r="603" spans="1:26">
      <c r="A603" s="36"/>
      <c r="B603" s="36"/>
      <c r="C603" s="36"/>
      <c r="D603" s="36"/>
      <c r="E603" s="36"/>
      <c r="F603" s="36"/>
      <c r="G603" s="36"/>
      <c r="H603" s="36"/>
      <c r="I603" s="36"/>
      <c r="J603" s="36"/>
      <c r="K603" s="36"/>
      <c r="L603" s="36"/>
      <c r="M603" s="36"/>
      <c r="N603" s="36"/>
      <c r="O603" s="36"/>
      <c r="P603" s="36"/>
      <c r="Q603" s="36"/>
      <c r="R603" s="36"/>
      <c r="S603" s="36"/>
      <c r="T603" s="36"/>
      <c r="U603" s="36"/>
      <c r="V603" s="36"/>
      <c r="W603" s="36"/>
      <c r="X603" s="36"/>
      <c r="Y603" s="36"/>
      <c r="Z603" s="36"/>
    </row>
    <row r="604" spans="1:26">
      <c r="A604" s="36"/>
      <c r="B604" s="36"/>
      <c r="C604" s="36"/>
      <c r="D604" s="36"/>
      <c r="E604" s="36"/>
      <c r="F604" s="36"/>
      <c r="G604" s="36"/>
      <c r="H604" s="36"/>
      <c r="I604" s="36"/>
      <c r="J604" s="36"/>
      <c r="K604" s="36"/>
      <c r="L604" s="36"/>
      <c r="M604" s="36"/>
      <c r="N604" s="36"/>
      <c r="O604" s="36"/>
      <c r="P604" s="36"/>
      <c r="Q604" s="36"/>
      <c r="R604" s="36"/>
      <c r="S604" s="36"/>
      <c r="T604" s="36"/>
      <c r="U604" s="36"/>
      <c r="V604" s="36"/>
      <c r="W604" s="36"/>
      <c r="X604" s="36"/>
      <c r="Y604" s="36"/>
      <c r="Z604" s="36"/>
    </row>
    <row r="605" spans="1:26">
      <c r="A605" s="36"/>
      <c r="B605" s="36"/>
      <c r="C605" s="36"/>
      <c r="D605" s="36"/>
      <c r="E605" s="36"/>
      <c r="F605" s="36"/>
      <c r="G605" s="36"/>
      <c r="H605" s="36"/>
      <c r="I605" s="36"/>
      <c r="J605" s="36"/>
      <c r="K605" s="36"/>
      <c r="L605" s="36"/>
      <c r="M605" s="36"/>
      <c r="N605" s="36"/>
      <c r="O605" s="36"/>
      <c r="P605" s="36"/>
      <c r="Q605" s="36"/>
      <c r="R605" s="36"/>
      <c r="S605" s="36"/>
      <c r="T605" s="36"/>
      <c r="U605" s="36"/>
      <c r="V605" s="36"/>
      <c r="W605" s="36"/>
      <c r="X605" s="36"/>
      <c r="Y605" s="36"/>
      <c r="Z605" s="36"/>
    </row>
    <row r="606" spans="1:26">
      <c r="A606" s="36"/>
      <c r="B606" s="36"/>
      <c r="C606" s="36"/>
      <c r="D606" s="36"/>
      <c r="E606" s="36"/>
      <c r="F606" s="36"/>
      <c r="G606" s="36"/>
      <c r="H606" s="36"/>
      <c r="I606" s="36"/>
      <c r="J606" s="36"/>
      <c r="K606" s="36"/>
      <c r="L606" s="36"/>
      <c r="M606" s="36"/>
      <c r="N606" s="36"/>
      <c r="O606" s="36"/>
      <c r="P606" s="36"/>
      <c r="Q606" s="36"/>
      <c r="R606" s="36"/>
      <c r="S606" s="36"/>
      <c r="T606" s="36"/>
      <c r="U606" s="36"/>
      <c r="V606" s="36"/>
      <c r="W606" s="36"/>
      <c r="X606" s="36"/>
      <c r="Y606" s="36"/>
      <c r="Z606" s="36"/>
    </row>
    <row r="607" spans="1:26">
      <c r="A607" s="36"/>
      <c r="B607" s="36"/>
      <c r="C607" s="36"/>
      <c r="D607" s="36"/>
      <c r="E607" s="36"/>
      <c r="F607" s="36"/>
      <c r="G607" s="36"/>
      <c r="H607" s="36"/>
      <c r="I607" s="36"/>
      <c r="J607" s="36"/>
      <c r="K607" s="36"/>
      <c r="L607" s="36"/>
      <c r="M607" s="36"/>
      <c r="N607" s="36"/>
      <c r="O607" s="36"/>
      <c r="P607" s="36"/>
      <c r="Q607" s="36"/>
      <c r="R607" s="36"/>
      <c r="S607" s="36"/>
      <c r="T607" s="36"/>
      <c r="U607" s="36"/>
      <c r="V607" s="36"/>
      <c r="W607" s="36"/>
      <c r="X607" s="36"/>
      <c r="Y607" s="36"/>
      <c r="Z607" s="36"/>
    </row>
    <row r="608" spans="1:26">
      <c r="A608" s="36"/>
      <c r="B608" s="36"/>
      <c r="C608" s="36"/>
      <c r="D608" s="36"/>
      <c r="E608" s="36"/>
      <c r="F608" s="36"/>
      <c r="G608" s="36"/>
      <c r="H608" s="36"/>
      <c r="I608" s="36"/>
      <c r="J608" s="36"/>
      <c r="K608" s="36"/>
      <c r="L608" s="36"/>
      <c r="M608" s="36"/>
      <c r="N608" s="36"/>
      <c r="O608" s="36"/>
      <c r="P608" s="36"/>
      <c r="Q608" s="36"/>
      <c r="R608" s="36"/>
      <c r="S608" s="36"/>
      <c r="T608" s="36"/>
      <c r="U608" s="36"/>
      <c r="V608" s="36"/>
      <c r="W608" s="36"/>
      <c r="X608" s="36"/>
      <c r="Y608" s="36"/>
      <c r="Z608" s="36"/>
    </row>
    <row r="609" spans="1:26">
      <c r="A609" s="36"/>
      <c r="B609" s="36"/>
      <c r="C609" s="36"/>
      <c r="D609" s="36"/>
      <c r="E609" s="36"/>
      <c r="F609" s="36"/>
      <c r="G609" s="36"/>
      <c r="H609" s="36"/>
      <c r="I609" s="36"/>
      <c r="J609" s="36"/>
      <c r="K609" s="36"/>
      <c r="L609" s="36"/>
      <c r="M609" s="36"/>
      <c r="N609" s="36"/>
      <c r="O609" s="36"/>
      <c r="P609" s="36"/>
      <c r="Q609" s="36"/>
      <c r="R609" s="36"/>
      <c r="S609" s="36"/>
      <c r="T609" s="36"/>
      <c r="U609" s="36"/>
      <c r="V609" s="36"/>
      <c r="W609" s="36"/>
      <c r="X609" s="36"/>
      <c r="Y609" s="36"/>
      <c r="Z609" s="36"/>
    </row>
    <row r="610" spans="1:26">
      <c r="A610" s="36"/>
      <c r="B610" s="36"/>
      <c r="C610" s="36"/>
      <c r="D610" s="36"/>
      <c r="E610" s="36"/>
      <c r="F610" s="36"/>
      <c r="G610" s="36"/>
      <c r="H610" s="36"/>
      <c r="I610" s="36"/>
      <c r="J610" s="36"/>
      <c r="K610" s="36"/>
      <c r="L610" s="36"/>
      <c r="M610" s="36"/>
      <c r="N610" s="36"/>
      <c r="O610" s="36"/>
      <c r="P610" s="36"/>
      <c r="Q610" s="36"/>
      <c r="R610" s="36"/>
      <c r="S610" s="36"/>
      <c r="T610" s="36"/>
      <c r="U610" s="36"/>
      <c r="V610" s="36"/>
      <c r="W610" s="36"/>
      <c r="X610" s="36"/>
      <c r="Y610" s="36"/>
      <c r="Z610" s="36"/>
    </row>
    <row r="611" spans="1:26">
      <c r="A611" s="36"/>
      <c r="B611" s="36"/>
      <c r="C611" s="36"/>
      <c r="D611" s="36"/>
      <c r="E611" s="36"/>
      <c r="F611" s="36"/>
      <c r="G611" s="36"/>
      <c r="H611" s="36"/>
      <c r="I611" s="36"/>
      <c r="J611" s="36"/>
      <c r="K611" s="36"/>
      <c r="L611" s="36"/>
      <c r="M611" s="36"/>
      <c r="N611" s="36"/>
      <c r="O611" s="36"/>
      <c r="P611" s="36"/>
      <c r="Q611" s="36"/>
      <c r="R611" s="36"/>
      <c r="S611" s="36"/>
      <c r="T611" s="36"/>
      <c r="U611" s="36"/>
      <c r="V611" s="36"/>
      <c r="W611" s="36"/>
      <c r="X611" s="36"/>
      <c r="Y611" s="36"/>
      <c r="Z611" s="36"/>
    </row>
    <row r="612" spans="1:26">
      <c r="A612" s="36"/>
      <c r="B612" s="36"/>
      <c r="C612" s="36"/>
      <c r="D612" s="36"/>
      <c r="E612" s="36"/>
      <c r="F612" s="36"/>
      <c r="G612" s="36"/>
      <c r="H612" s="36"/>
      <c r="I612" s="36"/>
      <c r="J612" s="36"/>
      <c r="K612" s="36"/>
      <c r="L612" s="36"/>
      <c r="M612" s="36"/>
      <c r="N612" s="36"/>
      <c r="O612" s="36"/>
      <c r="P612" s="36"/>
      <c r="Q612" s="36"/>
      <c r="R612" s="36"/>
      <c r="S612" s="36"/>
      <c r="T612" s="36"/>
      <c r="U612" s="36"/>
      <c r="V612" s="36"/>
      <c r="W612" s="36"/>
      <c r="X612" s="36"/>
      <c r="Y612" s="36"/>
      <c r="Z612" s="36"/>
    </row>
    <row r="613" spans="1:26">
      <c r="A613" s="36"/>
      <c r="B613" s="36"/>
      <c r="C613" s="36"/>
      <c r="D613" s="36"/>
      <c r="E613" s="36"/>
      <c r="F613" s="36"/>
      <c r="G613" s="36"/>
      <c r="H613" s="36"/>
      <c r="I613" s="36"/>
      <c r="J613" s="36"/>
      <c r="K613" s="36"/>
      <c r="L613" s="36"/>
      <c r="M613" s="36"/>
      <c r="N613" s="36"/>
      <c r="O613" s="36"/>
      <c r="P613" s="36"/>
      <c r="Q613" s="36"/>
      <c r="R613" s="36"/>
      <c r="S613" s="36"/>
      <c r="T613" s="36"/>
      <c r="U613" s="36"/>
      <c r="V613" s="36"/>
      <c r="W613" s="36"/>
      <c r="X613" s="36"/>
      <c r="Y613" s="36"/>
      <c r="Z613" s="36"/>
    </row>
    <row r="614" spans="1:26">
      <c r="A614" s="36"/>
      <c r="B614" s="36"/>
      <c r="C614" s="36"/>
      <c r="D614" s="36"/>
      <c r="E614" s="36"/>
      <c r="F614" s="36"/>
      <c r="G614" s="36"/>
      <c r="H614" s="36"/>
      <c r="I614" s="36"/>
      <c r="J614" s="36"/>
      <c r="K614" s="36"/>
      <c r="L614" s="36"/>
      <c r="M614" s="36"/>
      <c r="N614" s="36"/>
      <c r="O614" s="36"/>
      <c r="P614" s="36"/>
      <c r="Q614" s="36"/>
      <c r="R614" s="36"/>
      <c r="S614" s="36"/>
      <c r="T614" s="36"/>
      <c r="U614" s="36"/>
      <c r="V614" s="36"/>
      <c r="W614" s="36"/>
      <c r="X614" s="36"/>
      <c r="Y614" s="36"/>
      <c r="Z614" s="36"/>
    </row>
    <row r="615" spans="1:26">
      <c r="A615" s="36"/>
      <c r="B615" s="36"/>
      <c r="C615" s="36"/>
      <c r="D615" s="36"/>
      <c r="E615" s="36"/>
      <c r="F615" s="36"/>
      <c r="G615" s="36"/>
      <c r="H615" s="36"/>
      <c r="I615" s="36"/>
      <c r="J615" s="36"/>
      <c r="K615" s="36"/>
      <c r="L615" s="36"/>
      <c r="M615" s="36"/>
      <c r="N615" s="36"/>
      <c r="O615" s="36"/>
      <c r="P615" s="36"/>
      <c r="Q615" s="36"/>
      <c r="R615" s="36"/>
      <c r="S615" s="36"/>
      <c r="T615" s="36"/>
      <c r="U615" s="36"/>
      <c r="V615" s="36"/>
      <c r="W615" s="36"/>
      <c r="X615" s="36"/>
      <c r="Y615" s="36"/>
      <c r="Z615" s="36"/>
    </row>
    <row r="616" spans="1:26">
      <c r="A616" s="36"/>
      <c r="B616" s="36"/>
      <c r="C616" s="36"/>
      <c r="D616" s="36"/>
      <c r="E616" s="36"/>
      <c r="F616" s="36"/>
      <c r="G616" s="36"/>
      <c r="H616" s="36"/>
      <c r="I616" s="36"/>
      <c r="J616" s="36"/>
      <c r="K616" s="36"/>
      <c r="L616" s="36"/>
      <c r="M616" s="36"/>
      <c r="N616" s="36"/>
      <c r="O616" s="36"/>
      <c r="P616" s="36"/>
      <c r="Q616" s="36"/>
      <c r="R616" s="36"/>
      <c r="S616" s="36"/>
      <c r="T616" s="36"/>
      <c r="U616" s="36"/>
      <c r="V616" s="36"/>
      <c r="W616" s="36"/>
      <c r="X616" s="36"/>
      <c r="Y616" s="36"/>
      <c r="Z616" s="36"/>
    </row>
    <row r="617" spans="1:26">
      <c r="A617" s="36"/>
      <c r="B617" s="36"/>
      <c r="C617" s="36"/>
      <c r="D617" s="36"/>
      <c r="E617" s="36"/>
      <c r="F617" s="36"/>
      <c r="G617" s="36"/>
      <c r="H617" s="36"/>
      <c r="I617" s="36"/>
      <c r="J617" s="36"/>
      <c r="K617" s="36"/>
      <c r="L617" s="36"/>
      <c r="M617" s="36"/>
      <c r="N617" s="36"/>
      <c r="O617" s="36"/>
      <c r="P617" s="36"/>
      <c r="Q617" s="36"/>
      <c r="R617" s="36"/>
      <c r="S617" s="36"/>
      <c r="T617" s="36"/>
      <c r="U617" s="36"/>
      <c r="V617" s="36"/>
      <c r="W617" s="36"/>
      <c r="X617" s="36"/>
      <c r="Y617" s="36"/>
      <c r="Z617" s="36"/>
    </row>
    <row r="618" spans="1:26">
      <c r="A618" s="36"/>
      <c r="B618" s="36"/>
      <c r="C618" s="36"/>
      <c r="D618" s="36"/>
      <c r="E618" s="36"/>
      <c r="F618" s="36"/>
      <c r="G618" s="36"/>
      <c r="H618" s="36"/>
      <c r="I618" s="36"/>
      <c r="J618" s="36"/>
      <c r="K618" s="36"/>
      <c r="L618" s="36"/>
      <c r="M618" s="36"/>
      <c r="N618" s="36"/>
      <c r="O618" s="36"/>
      <c r="P618" s="36"/>
      <c r="Q618" s="36"/>
      <c r="R618" s="36"/>
      <c r="S618" s="36"/>
      <c r="T618" s="36"/>
      <c r="U618" s="36"/>
      <c r="V618" s="36"/>
      <c r="W618" s="36"/>
      <c r="X618" s="36"/>
      <c r="Y618" s="36"/>
      <c r="Z618" s="36"/>
    </row>
    <row r="619" spans="1:26">
      <c r="A619" s="36"/>
      <c r="B619" s="36"/>
      <c r="C619" s="36"/>
      <c r="D619" s="36"/>
      <c r="E619" s="36"/>
      <c r="F619" s="36"/>
      <c r="G619" s="36"/>
      <c r="H619" s="36"/>
      <c r="I619" s="36"/>
      <c r="J619" s="36"/>
      <c r="K619" s="36"/>
      <c r="L619" s="36"/>
      <c r="M619" s="36"/>
      <c r="N619" s="36"/>
      <c r="O619" s="36"/>
      <c r="P619" s="36"/>
      <c r="Q619" s="36"/>
      <c r="R619" s="36"/>
      <c r="S619" s="36"/>
      <c r="T619" s="36"/>
      <c r="U619" s="36"/>
      <c r="V619" s="36"/>
      <c r="W619" s="36"/>
      <c r="X619" s="36"/>
      <c r="Y619" s="36"/>
      <c r="Z619" s="36"/>
    </row>
    <row r="620" spans="1:26">
      <c r="A620" s="36"/>
      <c r="B620" s="36"/>
      <c r="C620" s="36"/>
      <c r="D620" s="36"/>
      <c r="E620" s="36"/>
      <c r="F620" s="36"/>
      <c r="G620" s="36"/>
      <c r="H620" s="36"/>
      <c r="I620" s="36"/>
      <c r="J620" s="36"/>
      <c r="K620" s="36"/>
      <c r="L620" s="36"/>
      <c r="M620" s="36"/>
      <c r="N620" s="36"/>
      <c r="O620" s="36"/>
      <c r="P620" s="36"/>
      <c r="Q620" s="36"/>
      <c r="R620" s="36"/>
      <c r="S620" s="36"/>
      <c r="T620" s="36"/>
      <c r="U620" s="36"/>
      <c r="V620" s="36"/>
      <c r="W620" s="36"/>
      <c r="X620" s="36"/>
      <c r="Y620" s="36"/>
      <c r="Z620" s="36"/>
    </row>
    <row r="621" spans="1:26">
      <c r="A621" s="36"/>
      <c r="B621" s="36"/>
      <c r="C621" s="36"/>
      <c r="D621" s="36"/>
      <c r="E621" s="36"/>
      <c r="F621" s="36"/>
      <c r="G621" s="36"/>
      <c r="H621" s="36"/>
      <c r="I621" s="36"/>
      <c r="J621" s="36"/>
      <c r="K621" s="36"/>
      <c r="L621" s="36"/>
      <c r="M621" s="36"/>
      <c r="N621" s="36"/>
      <c r="O621" s="36"/>
      <c r="P621" s="36"/>
      <c r="Q621" s="36"/>
      <c r="R621" s="36"/>
      <c r="S621" s="36"/>
      <c r="T621" s="36"/>
      <c r="U621" s="36"/>
      <c r="V621" s="36"/>
      <c r="W621" s="36"/>
      <c r="X621" s="36"/>
      <c r="Y621" s="36"/>
      <c r="Z621" s="36"/>
    </row>
    <row r="622" spans="1:26">
      <c r="A622" s="36"/>
      <c r="B622" s="36"/>
      <c r="C622" s="36"/>
      <c r="D622" s="36"/>
      <c r="E622" s="36"/>
      <c r="F622" s="36"/>
      <c r="G622" s="36"/>
      <c r="H622" s="36"/>
      <c r="I622" s="36"/>
      <c r="J622" s="36"/>
      <c r="K622" s="36"/>
      <c r="L622" s="36"/>
      <c r="M622" s="36"/>
      <c r="N622" s="36"/>
      <c r="O622" s="36"/>
      <c r="P622" s="36"/>
      <c r="Q622" s="36"/>
      <c r="R622" s="36"/>
      <c r="S622" s="36"/>
      <c r="T622" s="36"/>
      <c r="U622" s="36"/>
      <c r="V622" s="36"/>
      <c r="W622" s="36"/>
      <c r="X622" s="36"/>
      <c r="Y622" s="36"/>
      <c r="Z622" s="36"/>
    </row>
    <row r="623" spans="1:26">
      <c r="A623" s="36"/>
      <c r="B623" s="36"/>
      <c r="C623" s="36"/>
      <c r="D623" s="36"/>
      <c r="E623" s="36"/>
      <c r="F623" s="36"/>
      <c r="G623" s="36"/>
      <c r="H623" s="36"/>
      <c r="I623" s="36"/>
      <c r="J623" s="36"/>
      <c r="K623" s="36"/>
      <c r="L623" s="36"/>
      <c r="M623" s="36"/>
      <c r="N623" s="36"/>
      <c r="O623" s="36"/>
      <c r="P623" s="36"/>
      <c r="Q623" s="36"/>
      <c r="R623" s="36"/>
      <c r="S623" s="36"/>
      <c r="T623" s="36"/>
      <c r="U623" s="36"/>
      <c r="V623" s="36"/>
      <c r="W623" s="36"/>
      <c r="X623" s="36"/>
      <c r="Y623" s="36"/>
      <c r="Z623" s="36"/>
    </row>
    <row r="624" spans="1:26">
      <c r="A624" s="36"/>
      <c r="B624" s="36"/>
      <c r="C624" s="36"/>
      <c r="D624" s="36"/>
      <c r="E624" s="36"/>
      <c r="F624" s="36"/>
      <c r="G624" s="36"/>
      <c r="H624" s="36"/>
      <c r="I624" s="36"/>
      <c r="J624" s="36"/>
      <c r="K624" s="36"/>
      <c r="L624" s="36"/>
      <c r="M624" s="36"/>
      <c r="N624" s="36"/>
      <c r="O624" s="36"/>
      <c r="P624" s="36"/>
      <c r="Q624" s="36"/>
      <c r="R624" s="36"/>
      <c r="S624" s="36"/>
      <c r="T624" s="36"/>
      <c r="U624" s="36"/>
      <c r="V624" s="36"/>
      <c r="W624" s="36"/>
      <c r="X624" s="36"/>
      <c r="Y624" s="36"/>
      <c r="Z624" s="36"/>
    </row>
    <row r="625" spans="1:26">
      <c r="A625" s="36"/>
      <c r="B625" s="36"/>
      <c r="C625" s="36"/>
      <c r="D625" s="36"/>
      <c r="E625" s="36"/>
      <c r="F625" s="36"/>
      <c r="G625" s="36"/>
      <c r="H625" s="36"/>
      <c r="I625" s="36"/>
      <c r="J625" s="36"/>
      <c r="K625" s="36"/>
      <c r="L625" s="36"/>
      <c r="M625" s="36"/>
      <c r="N625" s="36"/>
      <c r="O625" s="36"/>
      <c r="P625" s="36"/>
      <c r="Q625" s="36"/>
      <c r="R625" s="36"/>
      <c r="S625" s="36"/>
      <c r="T625" s="36"/>
      <c r="U625" s="36"/>
      <c r="V625" s="36"/>
      <c r="W625" s="36"/>
      <c r="X625" s="36"/>
      <c r="Y625" s="36"/>
      <c r="Z625" s="36"/>
    </row>
    <row r="626" spans="1:26">
      <c r="A626" s="36"/>
      <c r="B626" s="36"/>
      <c r="C626" s="36"/>
      <c r="D626" s="36"/>
      <c r="E626" s="36"/>
      <c r="F626" s="36"/>
      <c r="G626" s="36"/>
      <c r="H626" s="36"/>
      <c r="I626" s="36"/>
      <c r="J626" s="36"/>
      <c r="K626" s="36"/>
      <c r="L626" s="36"/>
      <c r="M626" s="36"/>
      <c r="N626" s="36"/>
      <c r="O626" s="36"/>
      <c r="P626" s="36"/>
      <c r="Q626" s="36"/>
      <c r="R626" s="36"/>
      <c r="S626" s="36"/>
      <c r="T626" s="36"/>
      <c r="U626" s="36"/>
      <c r="V626" s="36"/>
      <c r="W626" s="36"/>
      <c r="X626" s="36"/>
      <c r="Y626" s="36"/>
      <c r="Z626" s="36"/>
    </row>
    <row r="627" spans="1:26">
      <c r="A627" s="36"/>
      <c r="B627" s="36"/>
      <c r="C627" s="36"/>
      <c r="D627" s="36"/>
      <c r="E627" s="36"/>
      <c r="F627" s="36"/>
      <c r="G627" s="36"/>
      <c r="H627" s="36"/>
      <c r="I627" s="36"/>
      <c r="J627" s="36"/>
      <c r="K627" s="36"/>
      <c r="L627" s="36"/>
      <c r="M627" s="36"/>
      <c r="N627" s="36"/>
      <c r="O627" s="36"/>
      <c r="P627" s="36"/>
      <c r="Q627" s="36"/>
      <c r="R627" s="36"/>
      <c r="S627" s="36"/>
      <c r="T627" s="36"/>
      <c r="U627" s="36"/>
      <c r="V627" s="36"/>
      <c r="W627" s="36"/>
      <c r="X627" s="36"/>
      <c r="Y627" s="36"/>
      <c r="Z627" s="36"/>
    </row>
    <row r="628" spans="1:26">
      <c r="A628" s="36"/>
      <c r="B628" s="36"/>
      <c r="C628" s="36"/>
      <c r="D628" s="36"/>
      <c r="E628" s="36"/>
      <c r="F628" s="36"/>
      <c r="G628" s="36"/>
      <c r="H628" s="36"/>
      <c r="I628" s="36"/>
      <c r="J628" s="36"/>
      <c r="K628" s="36"/>
      <c r="L628" s="36"/>
      <c r="M628" s="36"/>
      <c r="N628" s="36"/>
      <c r="O628" s="36"/>
      <c r="P628" s="36"/>
      <c r="Q628" s="36"/>
      <c r="R628" s="36"/>
      <c r="S628" s="36"/>
      <c r="T628" s="36"/>
      <c r="U628" s="36"/>
      <c r="V628" s="36"/>
      <c r="W628" s="36"/>
      <c r="X628" s="36"/>
      <c r="Y628" s="36"/>
      <c r="Z628" s="36"/>
    </row>
    <row r="629" spans="1:26">
      <c r="A629" s="36"/>
      <c r="B629" s="36"/>
      <c r="C629" s="36"/>
      <c r="D629" s="36"/>
      <c r="E629" s="36"/>
      <c r="F629" s="36"/>
      <c r="G629" s="36"/>
      <c r="H629" s="36"/>
      <c r="I629" s="36"/>
      <c r="J629" s="36"/>
      <c r="K629" s="36"/>
      <c r="L629" s="36"/>
      <c r="M629" s="36"/>
      <c r="N629" s="36"/>
      <c r="O629" s="36"/>
      <c r="P629" s="36"/>
      <c r="Q629" s="36"/>
      <c r="R629" s="36"/>
      <c r="S629" s="36"/>
      <c r="T629" s="36"/>
      <c r="U629" s="36"/>
      <c r="V629" s="36"/>
      <c r="W629" s="36"/>
      <c r="X629" s="36"/>
      <c r="Y629" s="36"/>
      <c r="Z629" s="36"/>
    </row>
    <row r="630" spans="1:26">
      <c r="A630" s="36"/>
      <c r="B630" s="36"/>
      <c r="C630" s="36"/>
      <c r="D630" s="36"/>
      <c r="E630" s="36"/>
      <c r="F630" s="36"/>
      <c r="G630" s="36"/>
      <c r="H630" s="36"/>
      <c r="I630" s="36"/>
      <c r="J630" s="36"/>
      <c r="K630" s="36"/>
      <c r="L630" s="36"/>
      <c r="M630" s="36"/>
      <c r="N630" s="36"/>
      <c r="O630" s="36"/>
      <c r="P630" s="36"/>
      <c r="Q630" s="36"/>
      <c r="R630" s="36"/>
      <c r="S630" s="36"/>
      <c r="T630" s="36"/>
      <c r="U630" s="36"/>
      <c r="V630" s="36"/>
      <c r="W630" s="36"/>
      <c r="X630" s="36"/>
      <c r="Y630" s="36"/>
      <c r="Z630" s="36"/>
    </row>
    <row r="631" spans="1:26">
      <c r="A631" s="36"/>
      <c r="B631" s="36"/>
      <c r="C631" s="36"/>
      <c r="D631" s="36"/>
      <c r="E631" s="36"/>
      <c r="F631" s="36"/>
      <c r="G631" s="36"/>
      <c r="H631" s="36"/>
      <c r="I631" s="36"/>
      <c r="J631" s="36"/>
      <c r="K631" s="36"/>
      <c r="L631" s="36"/>
      <c r="M631" s="36"/>
      <c r="N631" s="36"/>
      <c r="O631" s="36"/>
      <c r="P631" s="36"/>
      <c r="Q631" s="36"/>
      <c r="R631" s="36"/>
      <c r="S631" s="36"/>
      <c r="T631" s="36"/>
      <c r="U631" s="36"/>
      <c r="V631" s="36"/>
      <c r="W631" s="36"/>
      <c r="X631" s="36"/>
      <c r="Y631" s="36"/>
      <c r="Z631" s="36"/>
    </row>
    <row r="632" spans="1:26">
      <c r="A632" s="36"/>
      <c r="B632" s="36"/>
      <c r="C632" s="36"/>
      <c r="D632" s="36"/>
      <c r="E632" s="36"/>
      <c r="F632" s="36"/>
      <c r="G632" s="36"/>
      <c r="H632" s="36"/>
      <c r="I632" s="36"/>
      <c r="J632" s="36"/>
      <c r="K632" s="36"/>
      <c r="L632" s="36"/>
      <c r="M632" s="36"/>
      <c r="N632" s="36"/>
      <c r="O632" s="36"/>
      <c r="P632" s="36"/>
      <c r="Q632" s="36"/>
      <c r="R632" s="36"/>
      <c r="S632" s="36"/>
      <c r="T632" s="36"/>
      <c r="U632" s="36"/>
      <c r="V632" s="36"/>
      <c r="W632" s="36"/>
      <c r="X632" s="36"/>
      <c r="Y632" s="36"/>
      <c r="Z632" s="36"/>
    </row>
    <row r="633" spans="1:26">
      <c r="A633" s="36"/>
      <c r="B633" s="36"/>
      <c r="C633" s="36"/>
      <c r="D633" s="36"/>
      <c r="E633" s="36"/>
      <c r="F633" s="36"/>
      <c r="G633" s="36"/>
      <c r="H633" s="36"/>
      <c r="I633" s="36"/>
      <c r="J633" s="36"/>
      <c r="K633" s="36"/>
      <c r="L633" s="36"/>
      <c r="M633" s="36"/>
      <c r="N633" s="36"/>
      <c r="O633" s="36"/>
      <c r="P633" s="36"/>
      <c r="Q633" s="36"/>
      <c r="R633" s="36"/>
      <c r="S633" s="36"/>
      <c r="T633" s="36"/>
      <c r="U633" s="36"/>
      <c r="V633" s="36"/>
      <c r="W633" s="36"/>
      <c r="X633" s="36"/>
      <c r="Y633" s="36"/>
      <c r="Z633" s="36"/>
    </row>
    <row r="634" spans="1:26">
      <c r="A634" s="36"/>
      <c r="B634" s="36"/>
      <c r="C634" s="36"/>
      <c r="D634" s="36"/>
      <c r="E634" s="36"/>
      <c r="F634" s="36"/>
      <c r="G634" s="36"/>
      <c r="H634" s="36"/>
      <c r="I634" s="36"/>
      <c r="J634" s="36"/>
      <c r="K634" s="36"/>
      <c r="L634" s="36"/>
      <c r="M634" s="36"/>
      <c r="N634" s="36"/>
      <c r="O634" s="36"/>
      <c r="P634" s="36"/>
      <c r="Q634" s="36"/>
      <c r="R634" s="36"/>
      <c r="S634" s="36"/>
      <c r="T634" s="36"/>
      <c r="U634" s="36"/>
      <c r="V634" s="36"/>
      <c r="W634" s="36"/>
      <c r="X634" s="36"/>
      <c r="Y634" s="36"/>
      <c r="Z634" s="36"/>
    </row>
    <row r="635" spans="1:26">
      <c r="A635" s="36"/>
      <c r="B635" s="36"/>
      <c r="C635" s="36"/>
      <c r="D635" s="36"/>
      <c r="E635" s="36"/>
      <c r="F635" s="36"/>
      <c r="G635" s="36"/>
      <c r="H635" s="36"/>
      <c r="I635" s="36"/>
      <c r="J635" s="36"/>
      <c r="K635" s="36"/>
      <c r="L635" s="36"/>
      <c r="M635" s="36"/>
      <c r="N635" s="36"/>
      <c r="O635" s="36"/>
      <c r="P635" s="36"/>
      <c r="Q635" s="36"/>
      <c r="R635" s="36"/>
      <c r="S635" s="36"/>
      <c r="T635" s="36"/>
      <c r="U635" s="36"/>
      <c r="V635" s="36"/>
      <c r="W635" s="36"/>
      <c r="X635" s="36"/>
      <c r="Y635" s="36"/>
      <c r="Z635" s="36"/>
    </row>
    <row r="636" spans="1:26">
      <c r="A636" s="36"/>
      <c r="B636" s="36"/>
      <c r="C636" s="36"/>
      <c r="D636" s="36"/>
      <c r="E636" s="36"/>
      <c r="F636" s="36"/>
      <c r="G636" s="36"/>
      <c r="H636" s="36"/>
      <c r="I636" s="36"/>
      <c r="J636" s="36"/>
      <c r="K636" s="36"/>
      <c r="L636" s="36"/>
      <c r="M636" s="36"/>
      <c r="N636" s="36"/>
      <c r="O636" s="36"/>
      <c r="P636" s="36"/>
      <c r="Q636" s="36"/>
      <c r="R636" s="36"/>
      <c r="S636" s="36"/>
      <c r="T636" s="36"/>
      <c r="U636" s="36"/>
      <c r="V636" s="36"/>
      <c r="W636" s="36"/>
      <c r="X636" s="36"/>
      <c r="Y636" s="36"/>
      <c r="Z636" s="36"/>
    </row>
    <row r="637" spans="1:26">
      <c r="A637" s="36"/>
      <c r="B637" s="36"/>
      <c r="C637" s="36"/>
      <c r="D637" s="36"/>
      <c r="E637" s="36"/>
      <c r="F637" s="36"/>
      <c r="G637" s="36"/>
      <c r="H637" s="36"/>
      <c r="I637" s="36"/>
      <c r="J637" s="36"/>
      <c r="K637" s="36"/>
      <c r="L637" s="36"/>
      <c r="M637" s="36"/>
      <c r="N637" s="36"/>
      <c r="O637" s="36"/>
      <c r="P637" s="36"/>
      <c r="Q637" s="36"/>
      <c r="R637" s="36"/>
      <c r="S637" s="36"/>
      <c r="T637" s="36"/>
      <c r="U637" s="36"/>
      <c r="V637" s="36"/>
      <c r="W637" s="36"/>
      <c r="X637" s="36"/>
      <c r="Y637" s="36"/>
      <c r="Z637" s="36"/>
    </row>
    <row r="638" spans="1:26">
      <c r="A638" s="36"/>
      <c r="B638" s="36"/>
      <c r="C638" s="36"/>
      <c r="D638" s="36"/>
      <c r="E638" s="36"/>
      <c r="F638" s="36"/>
      <c r="G638" s="36"/>
      <c r="H638" s="36"/>
      <c r="I638" s="36"/>
      <c r="J638" s="36"/>
      <c r="K638" s="36"/>
      <c r="L638" s="36"/>
      <c r="M638" s="36"/>
      <c r="N638" s="36"/>
      <c r="O638" s="36"/>
      <c r="P638" s="36"/>
      <c r="Q638" s="36"/>
      <c r="R638" s="36"/>
      <c r="S638" s="36"/>
      <c r="T638" s="36"/>
      <c r="U638" s="36"/>
      <c r="V638" s="36"/>
      <c r="W638" s="36"/>
      <c r="X638" s="36"/>
      <c r="Y638" s="36"/>
      <c r="Z638" s="36"/>
    </row>
    <row r="639" spans="1:26">
      <c r="A639" s="36"/>
      <c r="B639" s="36"/>
      <c r="C639" s="36"/>
      <c r="D639" s="36"/>
      <c r="E639" s="36"/>
      <c r="F639" s="36"/>
      <c r="G639" s="36"/>
      <c r="H639" s="36"/>
      <c r="I639" s="36"/>
      <c r="J639" s="36"/>
      <c r="K639" s="36"/>
      <c r="L639" s="36"/>
      <c r="M639" s="36"/>
      <c r="N639" s="36"/>
      <c r="O639" s="36"/>
      <c r="P639" s="36"/>
      <c r="Q639" s="36"/>
      <c r="R639" s="36"/>
      <c r="S639" s="36"/>
      <c r="T639" s="36"/>
      <c r="U639" s="36"/>
      <c r="V639" s="36"/>
      <c r="W639" s="36"/>
      <c r="X639" s="36"/>
      <c r="Y639" s="36"/>
      <c r="Z639" s="36"/>
    </row>
    <row r="640" spans="1:26">
      <c r="A640" s="36"/>
      <c r="B640" s="36"/>
      <c r="C640" s="36"/>
      <c r="D640" s="36"/>
      <c r="E640" s="36"/>
      <c r="F640" s="36"/>
      <c r="G640" s="36"/>
      <c r="H640" s="36"/>
      <c r="I640" s="36"/>
      <c r="J640" s="36"/>
      <c r="K640" s="36"/>
      <c r="L640" s="36"/>
      <c r="M640" s="36"/>
      <c r="N640" s="36"/>
      <c r="O640" s="36"/>
      <c r="P640" s="36"/>
      <c r="Q640" s="36"/>
      <c r="R640" s="36"/>
      <c r="S640" s="36"/>
      <c r="T640" s="36"/>
      <c r="U640" s="36"/>
      <c r="V640" s="36"/>
      <c r="W640" s="36"/>
      <c r="X640" s="36"/>
      <c r="Y640" s="36"/>
      <c r="Z640" s="36"/>
    </row>
    <row r="641" spans="1:26">
      <c r="A641" s="36"/>
      <c r="B641" s="36"/>
      <c r="C641" s="36"/>
      <c r="D641" s="36"/>
      <c r="E641" s="36"/>
      <c r="F641" s="36"/>
      <c r="G641" s="36"/>
      <c r="H641" s="36"/>
      <c r="I641" s="36"/>
      <c r="J641" s="36"/>
      <c r="K641" s="36"/>
      <c r="L641" s="36"/>
      <c r="M641" s="36"/>
      <c r="N641" s="36"/>
      <c r="O641" s="36"/>
      <c r="P641" s="36"/>
      <c r="Q641" s="36"/>
      <c r="R641" s="36"/>
      <c r="S641" s="36"/>
      <c r="T641" s="36"/>
      <c r="U641" s="36"/>
      <c r="V641" s="36"/>
      <c r="W641" s="36"/>
      <c r="X641" s="36"/>
      <c r="Y641" s="36"/>
      <c r="Z641" s="36"/>
    </row>
    <row r="642" spans="1:26">
      <c r="A642" s="36"/>
      <c r="B642" s="36"/>
      <c r="C642" s="36"/>
      <c r="D642" s="36"/>
      <c r="E642" s="36"/>
      <c r="F642" s="36"/>
      <c r="G642" s="36"/>
      <c r="H642" s="36"/>
      <c r="I642" s="36"/>
      <c r="J642" s="36"/>
      <c r="K642" s="36"/>
      <c r="L642" s="36"/>
      <c r="M642" s="36"/>
      <c r="N642" s="36"/>
      <c r="O642" s="36"/>
      <c r="P642" s="36"/>
      <c r="Q642" s="36"/>
      <c r="R642" s="36"/>
      <c r="S642" s="36"/>
      <c r="T642" s="36"/>
      <c r="U642" s="36"/>
      <c r="V642" s="36"/>
      <c r="W642" s="36"/>
      <c r="X642" s="36"/>
      <c r="Y642" s="36"/>
      <c r="Z642" s="36"/>
    </row>
    <row r="643" spans="1:26">
      <c r="A643" s="36"/>
      <c r="B643" s="36"/>
      <c r="C643" s="36"/>
      <c r="D643" s="36"/>
      <c r="E643" s="36"/>
      <c r="F643" s="36"/>
      <c r="G643" s="36"/>
      <c r="H643" s="36"/>
      <c r="I643" s="36"/>
      <c r="J643" s="36"/>
      <c r="K643" s="36"/>
      <c r="L643" s="36"/>
      <c r="M643" s="36"/>
      <c r="N643" s="36"/>
      <c r="O643" s="36"/>
      <c r="P643" s="36"/>
      <c r="Q643" s="36"/>
      <c r="R643" s="36"/>
      <c r="S643" s="36"/>
      <c r="T643" s="36"/>
      <c r="U643" s="36"/>
      <c r="V643" s="36"/>
      <c r="W643" s="36"/>
      <c r="X643" s="36"/>
      <c r="Y643" s="36"/>
      <c r="Z643" s="36"/>
    </row>
    <row r="644" spans="1:26">
      <c r="A644" s="36"/>
      <c r="B644" s="36"/>
      <c r="C644" s="36"/>
      <c r="D644" s="36"/>
      <c r="E644" s="36"/>
      <c r="F644" s="36"/>
      <c r="G644" s="36"/>
      <c r="H644" s="36"/>
      <c r="I644" s="36"/>
      <c r="J644" s="36"/>
      <c r="K644" s="36"/>
      <c r="L644" s="36"/>
      <c r="M644" s="36"/>
      <c r="N644" s="36"/>
      <c r="O644" s="36"/>
      <c r="P644" s="36"/>
      <c r="Q644" s="36"/>
      <c r="R644" s="36"/>
      <c r="S644" s="36"/>
      <c r="T644" s="36"/>
      <c r="U644" s="36"/>
      <c r="V644" s="36"/>
      <c r="W644" s="36"/>
      <c r="X644" s="36"/>
      <c r="Y644" s="36"/>
      <c r="Z644" s="36"/>
    </row>
    <row r="645" spans="1:26">
      <c r="A645" s="36"/>
      <c r="B645" s="36"/>
      <c r="C645" s="36"/>
      <c r="D645" s="36"/>
      <c r="E645" s="36"/>
      <c r="F645" s="36"/>
      <c r="G645" s="36"/>
      <c r="H645" s="36"/>
      <c r="I645" s="36"/>
      <c r="J645" s="36"/>
      <c r="K645" s="36"/>
      <c r="L645" s="36"/>
      <c r="M645" s="36"/>
      <c r="N645" s="36"/>
      <c r="O645" s="36"/>
      <c r="P645" s="36"/>
      <c r="Q645" s="36"/>
      <c r="R645" s="36"/>
      <c r="S645" s="36"/>
      <c r="T645" s="36"/>
      <c r="U645" s="36"/>
      <c r="V645" s="36"/>
      <c r="W645" s="36"/>
      <c r="X645" s="36"/>
      <c r="Y645" s="36"/>
      <c r="Z645" s="36"/>
    </row>
    <row r="646" spans="1:26">
      <c r="A646" s="36"/>
      <c r="B646" s="36"/>
      <c r="C646" s="36"/>
      <c r="D646" s="36"/>
      <c r="E646" s="36"/>
      <c r="F646" s="36"/>
      <c r="G646" s="36"/>
      <c r="H646" s="36"/>
      <c r="I646" s="36"/>
      <c r="J646" s="36"/>
      <c r="K646" s="36"/>
      <c r="L646" s="36"/>
      <c r="M646" s="36"/>
      <c r="N646" s="36"/>
      <c r="O646" s="36"/>
      <c r="P646" s="36"/>
      <c r="Q646" s="36"/>
      <c r="R646" s="36"/>
      <c r="S646" s="36"/>
      <c r="T646" s="36"/>
      <c r="U646" s="36"/>
      <c r="V646" s="36"/>
      <c r="W646" s="36"/>
      <c r="X646" s="36"/>
      <c r="Y646" s="36"/>
      <c r="Z646" s="36"/>
    </row>
    <row r="647" spans="1:26">
      <c r="A647" s="36"/>
      <c r="B647" s="36"/>
      <c r="C647" s="36"/>
      <c r="D647" s="36"/>
      <c r="E647" s="36"/>
      <c r="F647" s="36"/>
      <c r="G647" s="36"/>
      <c r="H647" s="36"/>
      <c r="I647" s="36"/>
      <c r="J647" s="36"/>
      <c r="K647" s="36"/>
      <c r="L647" s="36"/>
      <c r="M647" s="36"/>
      <c r="N647" s="36"/>
      <c r="O647" s="36"/>
      <c r="P647" s="36"/>
      <c r="Q647" s="36"/>
      <c r="R647" s="36"/>
      <c r="S647" s="36"/>
      <c r="T647" s="36"/>
      <c r="U647" s="36"/>
      <c r="V647" s="36"/>
      <c r="W647" s="36"/>
      <c r="X647" s="36"/>
      <c r="Y647" s="36"/>
      <c r="Z647" s="36"/>
    </row>
    <row r="648" spans="1:26">
      <c r="A648" s="36"/>
      <c r="B648" s="36"/>
      <c r="C648" s="36"/>
      <c r="D648" s="36"/>
      <c r="E648" s="36"/>
      <c r="F648" s="36"/>
      <c r="G648" s="36"/>
      <c r="H648" s="36"/>
      <c r="I648" s="36"/>
      <c r="J648" s="36"/>
      <c r="K648" s="36"/>
      <c r="L648" s="36"/>
      <c r="M648" s="36"/>
      <c r="N648" s="36"/>
      <c r="O648" s="36"/>
      <c r="P648" s="36"/>
      <c r="Q648" s="36"/>
      <c r="R648" s="36"/>
      <c r="S648" s="36"/>
      <c r="T648" s="36"/>
      <c r="U648" s="36"/>
      <c r="V648" s="36"/>
      <c r="W648" s="36"/>
      <c r="X648" s="36"/>
      <c r="Y648" s="36"/>
      <c r="Z648" s="36"/>
    </row>
    <row r="649" spans="1:26">
      <c r="A649" s="36"/>
      <c r="B649" s="36"/>
      <c r="C649" s="36"/>
      <c r="D649" s="36"/>
      <c r="E649" s="36"/>
      <c r="F649" s="36"/>
      <c r="G649" s="36"/>
      <c r="H649" s="36"/>
      <c r="I649" s="36"/>
      <c r="J649" s="36"/>
      <c r="K649" s="36"/>
      <c r="L649" s="36"/>
      <c r="M649" s="36"/>
      <c r="N649" s="36"/>
      <c r="O649" s="36"/>
      <c r="P649" s="36"/>
      <c r="Q649" s="36"/>
      <c r="R649" s="36"/>
      <c r="S649" s="36"/>
      <c r="T649" s="36"/>
      <c r="U649" s="36"/>
      <c r="V649" s="36"/>
      <c r="W649" s="36"/>
      <c r="X649" s="36"/>
      <c r="Y649" s="36"/>
      <c r="Z649" s="36"/>
    </row>
    <row r="650" spans="1:26">
      <c r="A650" s="36"/>
      <c r="B650" s="36"/>
      <c r="C650" s="36"/>
      <c r="D650" s="36"/>
      <c r="E650" s="36"/>
      <c r="F650" s="36"/>
      <c r="G650" s="36"/>
      <c r="H650" s="36"/>
      <c r="I650" s="36"/>
      <c r="J650" s="36"/>
      <c r="K650" s="36"/>
      <c r="L650" s="36"/>
      <c r="M650" s="36"/>
      <c r="N650" s="36"/>
      <c r="O650" s="36"/>
      <c r="P650" s="36"/>
      <c r="Q650" s="36"/>
      <c r="R650" s="36"/>
      <c r="S650" s="36"/>
      <c r="T650" s="36"/>
      <c r="U650" s="36"/>
      <c r="V650" s="36"/>
      <c r="W650" s="36"/>
      <c r="X650" s="36"/>
      <c r="Y650" s="36"/>
      <c r="Z650" s="36"/>
    </row>
    <row r="651" spans="1:26">
      <c r="A651" s="36"/>
      <c r="B651" s="36"/>
      <c r="C651" s="36"/>
      <c r="D651" s="36"/>
      <c r="E651" s="36"/>
      <c r="F651" s="36"/>
      <c r="G651" s="36"/>
      <c r="H651" s="36"/>
      <c r="I651" s="36"/>
      <c r="J651" s="36"/>
      <c r="K651" s="36"/>
      <c r="L651" s="36"/>
      <c r="M651" s="36"/>
      <c r="N651" s="36"/>
      <c r="O651" s="36"/>
      <c r="P651" s="36"/>
      <c r="Q651" s="36"/>
      <c r="R651" s="36"/>
      <c r="S651" s="36"/>
      <c r="T651" s="36"/>
      <c r="U651" s="36"/>
      <c r="V651" s="36"/>
      <c r="W651" s="36"/>
      <c r="X651" s="36"/>
      <c r="Y651" s="36"/>
      <c r="Z651" s="36"/>
    </row>
    <row r="652" spans="1:26">
      <c r="A652" s="36"/>
      <c r="B652" s="36"/>
      <c r="C652" s="36"/>
      <c r="D652" s="36"/>
      <c r="E652" s="36"/>
      <c r="F652" s="36"/>
      <c r="G652" s="36"/>
      <c r="H652" s="36"/>
      <c r="I652" s="36"/>
      <c r="J652" s="36"/>
      <c r="K652" s="36"/>
      <c r="L652" s="36"/>
      <c r="M652" s="36"/>
      <c r="N652" s="36"/>
      <c r="O652" s="36"/>
      <c r="P652" s="36"/>
      <c r="Q652" s="36"/>
      <c r="R652" s="36"/>
      <c r="S652" s="36"/>
      <c r="T652" s="36"/>
      <c r="U652" s="36"/>
      <c r="V652" s="36"/>
      <c r="W652" s="36"/>
      <c r="X652" s="36"/>
      <c r="Y652" s="36"/>
      <c r="Z652" s="36"/>
    </row>
    <row r="653" spans="1:26">
      <c r="A653" s="36"/>
      <c r="B653" s="36"/>
      <c r="C653" s="36"/>
      <c r="D653" s="36"/>
      <c r="E653" s="36"/>
      <c r="F653" s="36"/>
      <c r="G653" s="36"/>
      <c r="H653" s="36"/>
      <c r="I653" s="36"/>
      <c r="J653" s="36"/>
      <c r="K653" s="36"/>
      <c r="L653" s="36"/>
      <c r="M653" s="36"/>
      <c r="N653" s="36"/>
      <c r="O653" s="36"/>
      <c r="P653" s="36"/>
      <c r="Q653" s="36"/>
      <c r="R653" s="36"/>
      <c r="S653" s="36"/>
      <c r="T653" s="36"/>
      <c r="U653" s="36"/>
      <c r="V653" s="36"/>
      <c r="W653" s="36"/>
      <c r="X653" s="36"/>
      <c r="Y653" s="36"/>
      <c r="Z653" s="36"/>
    </row>
    <row r="654" spans="1:26">
      <c r="A654" s="36"/>
      <c r="B654" s="36"/>
      <c r="C654" s="36"/>
      <c r="D654" s="36"/>
      <c r="E654" s="36"/>
      <c r="F654" s="36"/>
      <c r="G654" s="36"/>
      <c r="H654" s="36"/>
      <c r="I654" s="36"/>
      <c r="J654" s="36"/>
      <c r="K654" s="36"/>
      <c r="L654" s="36"/>
      <c r="M654" s="36"/>
      <c r="N654" s="36"/>
      <c r="O654" s="36"/>
      <c r="P654" s="36"/>
      <c r="Q654" s="36"/>
      <c r="R654" s="36"/>
      <c r="S654" s="36"/>
      <c r="T654" s="36"/>
      <c r="U654" s="36"/>
      <c r="V654" s="36"/>
      <c r="W654" s="36"/>
      <c r="X654" s="36"/>
      <c r="Y654" s="36"/>
      <c r="Z654" s="36"/>
    </row>
    <row r="655" spans="1:26">
      <c r="A655" s="36"/>
      <c r="B655" s="36"/>
      <c r="C655" s="36"/>
      <c r="D655" s="36"/>
      <c r="E655" s="36"/>
      <c r="F655" s="36"/>
      <c r="G655" s="36"/>
      <c r="H655" s="36"/>
      <c r="I655" s="36"/>
      <c r="J655" s="36"/>
      <c r="K655" s="36"/>
      <c r="L655" s="36"/>
      <c r="M655" s="36"/>
      <c r="N655" s="36"/>
      <c r="O655" s="36"/>
      <c r="P655" s="36"/>
      <c r="Q655" s="36"/>
      <c r="R655" s="36"/>
      <c r="S655" s="36"/>
      <c r="T655" s="36"/>
      <c r="U655" s="36"/>
      <c r="V655" s="36"/>
      <c r="W655" s="36"/>
      <c r="X655" s="36"/>
      <c r="Y655" s="36"/>
      <c r="Z655" s="36"/>
    </row>
    <row r="656" spans="1:26">
      <c r="A656" s="36"/>
      <c r="B656" s="36"/>
      <c r="C656" s="36"/>
      <c r="D656" s="36"/>
      <c r="E656" s="36"/>
      <c r="F656" s="36"/>
      <c r="G656" s="36"/>
      <c r="H656" s="36"/>
      <c r="I656" s="36"/>
      <c r="J656" s="36"/>
      <c r="K656" s="36"/>
      <c r="L656" s="36"/>
      <c r="M656" s="36"/>
      <c r="N656" s="36"/>
      <c r="O656" s="36"/>
      <c r="P656" s="36"/>
      <c r="Q656" s="36"/>
      <c r="R656" s="36"/>
      <c r="S656" s="36"/>
      <c r="T656" s="36"/>
      <c r="U656" s="36"/>
      <c r="V656" s="36"/>
      <c r="W656" s="36"/>
      <c r="X656" s="36"/>
      <c r="Y656" s="36"/>
      <c r="Z656" s="36"/>
    </row>
    <row r="657" spans="1:26">
      <c r="A657" s="36"/>
      <c r="B657" s="36"/>
      <c r="C657" s="36"/>
      <c r="D657" s="36"/>
      <c r="E657" s="36"/>
      <c r="F657" s="36"/>
      <c r="G657" s="36"/>
      <c r="H657" s="36"/>
      <c r="I657" s="36"/>
      <c r="J657" s="36"/>
      <c r="K657" s="36"/>
      <c r="L657" s="36"/>
      <c r="M657" s="36"/>
      <c r="N657" s="36"/>
      <c r="O657" s="36"/>
      <c r="P657" s="36"/>
      <c r="Q657" s="36"/>
      <c r="R657" s="36"/>
      <c r="S657" s="36"/>
      <c r="T657" s="36"/>
      <c r="U657" s="36"/>
      <c r="V657" s="36"/>
      <c r="W657" s="36"/>
      <c r="X657" s="36"/>
      <c r="Y657" s="36"/>
      <c r="Z657" s="36"/>
    </row>
    <row r="658" spans="1:26">
      <c r="A658" s="36"/>
      <c r="B658" s="36"/>
      <c r="C658" s="36"/>
      <c r="D658" s="36"/>
      <c r="E658" s="36"/>
      <c r="F658" s="36"/>
      <c r="G658" s="36"/>
      <c r="H658" s="36"/>
      <c r="I658" s="36"/>
      <c r="J658" s="36"/>
      <c r="K658" s="36"/>
      <c r="L658" s="36"/>
      <c r="M658" s="36"/>
      <c r="N658" s="36"/>
      <c r="O658" s="36"/>
      <c r="P658" s="36"/>
      <c r="Q658" s="36"/>
      <c r="R658" s="36"/>
      <c r="S658" s="36"/>
      <c r="T658" s="36"/>
      <c r="U658" s="36"/>
      <c r="V658" s="36"/>
      <c r="W658" s="36"/>
      <c r="X658" s="36"/>
      <c r="Y658" s="36"/>
      <c r="Z658" s="36"/>
    </row>
    <row r="659" spans="1:26">
      <c r="A659" s="36"/>
      <c r="B659" s="36"/>
      <c r="C659" s="36"/>
      <c r="D659" s="36"/>
      <c r="E659" s="36"/>
      <c r="F659" s="36"/>
      <c r="G659" s="36"/>
      <c r="H659" s="36"/>
      <c r="I659" s="36"/>
      <c r="J659" s="36"/>
      <c r="K659" s="36"/>
      <c r="L659" s="36"/>
      <c r="M659" s="36"/>
      <c r="N659" s="36"/>
      <c r="O659" s="36"/>
      <c r="P659" s="36"/>
      <c r="Q659" s="36"/>
      <c r="R659" s="36"/>
      <c r="S659" s="36"/>
      <c r="T659" s="36"/>
      <c r="U659" s="36"/>
      <c r="V659" s="36"/>
      <c r="W659" s="36"/>
      <c r="X659" s="36"/>
      <c r="Y659" s="36"/>
      <c r="Z659" s="36"/>
    </row>
    <row r="660" spans="1:26">
      <c r="A660" s="36"/>
      <c r="B660" s="36"/>
      <c r="C660" s="36"/>
      <c r="D660" s="36"/>
      <c r="E660" s="36"/>
      <c r="F660" s="36"/>
      <c r="G660" s="36"/>
      <c r="H660" s="36"/>
      <c r="I660" s="36"/>
      <c r="J660" s="36"/>
      <c r="K660" s="36"/>
      <c r="L660" s="36"/>
      <c r="M660" s="36"/>
      <c r="N660" s="36"/>
      <c r="O660" s="36"/>
      <c r="P660" s="36"/>
      <c r="Q660" s="36"/>
      <c r="R660" s="36"/>
      <c r="S660" s="36"/>
      <c r="T660" s="36"/>
      <c r="U660" s="36"/>
      <c r="V660" s="36"/>
      <c r="W660" s="36"/>
      <c r="X660" s="36"/>
      <c r="Y660" s="36"/>
      <c r="Z660" s="36"/>
    </row>
    <row r="661" spans="1:26">
      <c r="A661" s="36"/>
      <c r="B661" s="36"/>
      <c r="C661" s="36"/>
      <c r="D661" s="36"/>
      <c r="E661" s="36"/>
      <c r="F661" s="36"/>
      <c r="G661" s="36"/>
      <c r="H661" s="36"/>
      <c r="I661" s="36"/>
      <c r="J661" s="36"/>
      <c r="K661" s="36"/>
      <c r="L661" s="36"/>
      <c r="M661" s="36"/>
      <c r="N661" s="36"/>
      <c r="O661" s="36"/>
      <c r="P661" s="36"/>
      <c r="Q661" s="36"/>
      <c r="R661" s="36"/>
      <c r="S661" s="36"/>
      <c r="T661" s="36"/>
      <c r="U661" s="36"/>
      <c r="V661" s="36"/>
      <c r="W661" s="36"/>
      <c r="X661" s="36"/>
      <c r="Y661" s="36"/>
      <c r="Z661" s="36"/>
    </row>
    <row r="662" spans="1:26">
      <c r="A662" s="36"/>
      <c r="B662" s="36"/>
      <c r="C662" s="36"/>
      <c r="D662" s="36"/>
      <c r="E662" s="36"/>
      <c r="F662" s="36"/>
      <c r="G662" s="36"/>
      <c r="H662" s="36"/>
      <c r="I662" s="36"/>
      <c r="J662" s="36"/>
      <c r="K662" s="36"/>
      <c r="L662" s="36"/>
      <c r="M662" s="36"/>
      <c r="N662" s="36"/>
      <c r="O662" s="36"/>
      <c r="P662" s="36"/>
      <c r="Q662" s="36"/>
      <c r="R662" s="36"/>
      <c r="S662" s="36"/>
      <c r="T662" s="36"/>
      <c r="U662" s="36"/>
      <c r="V662" s="36"/>
      <c r="W662" s="36"/>
      <c r="X662" s="36"/>
      <c r="Y662" s="36"/>
      <c r="Z662" s="36"/>
    </row>
    <row r="663" spans="1:26">
      <c r="A663" s="36"/>
      <c r="B663" s="36"/>
      <c r="C663" s="36"/>
      <c r="D663" s="36"/>
      <c r="E663" s="36"/>
      <c r="F663" s="36"/>
      <c r="G663" s="36"/>
      <c r="H663" s="36"/>
      <c r="I663" s="36"/>
      <c r="J663" s="36"/>
      <c r="K663" s="36"/>
      <c r="L663" s="36"/>
      <c r="M663" s="36"/>
      <c r="N663" s="36"/>
      <c r="O663" s="36"/>
      <c r="P663" s="36"/>
      <c r="Q663" s="36"/>
      <c r="R663" s="36"/>
      <c r="S663" s="36"/>
      <c r="T663" s="36"/>
      <c r="U663" s="36"/>
      <c r="V663" s="36"/>
      <c r="W663" s="36"/>
      <c r="X663" s="36"/>
      <c r="Y663" s="36"/>
      <c r="Z663" s="36"/>
    </row>
    <row r="664" spans="1:26">
      <c r="A664" s="36"/>
      <c r="B664" s="36"/>
      <c r="C664" s="36"/>
      <c r="D664" s="36"/>
      <c r="E664" s="36"/>
      <c r="F664" s="36"/>
      <c r="G664" s="36"/>
      <c r="H664" s="36"/>
      <c r="I664" s="36"/>
      <c r="J664" s="36"/>
      <c r="K664" s="36"/>
      <c r="L664" s="36"/>
      <c r="M664" s="36"/>
      <c r="N664" s="36"/>
      <c r="O664" s="36"/>
      <c r="P664" s="36"/>
      <c r="Q664" s="36"/>
      <c r="R664" s="36"/>
      <c r="S664" s="36"/>
      <c r="T664" s="36"/>
      <c r="U664" s="36"/>
      <c r="V664" s="36"/>
      <c r="W664" s="36"/>
      <c r="X664" s="36"/>
      <c r="Y664" s="36"/>
      <c r="Z664" s="36"/>
    </row>
    <row r="665" spans="1:26">
      <c r="A665" s="36"/>
      <c r="B665" s="36"/>
      <c r="C665" s="36"/>
      <c r="D665" s="36"/>
      <c r="E665" s="36"/>
      <c r="F665" s="36"/>
      <c r="G665" s="36"/>
      <c r="H665" s="36"/>
      <c r="I665" s="36"/>
      <c r="J665" s="36"/>
      <c r="K665" s="36"/>
      <c r="L665" s="36"/>
      <c r="M665" s="36"/>
      <c r="N665" s="36"/>
      <c r="O665" s="36"/>
      <c r="P665" s="36"/>
      <c r="Q665" s="36"/>
      <c r="R665" s="36"/>
      <c r="S665" s="36"/>
      <c r="T665" s="36"/>
      <c r="U665" s="36"/>
      <c r="V665" s="36"/>
      <c r="W665" s="36"/>
      <c r="X665" s="36"/>
      <c r="Y665" s="36"/>
      <c r="Z665" s="36"/>
    </row>
    <row r="666" spans="1:26">
      <c r="A666" s="36"/>
      <c r="B666" s="36"/>
      <c r="C666" s="36"/>
      <c r="D666" s="36"/>
      <c r="E666" s="36"/>
      <c r="F666" s="36"/>
      <c r="G666" s="36"/>
      <c r="H666" s="36"/>
      <c r="I666" s="36"/>
      <c r="J666" s="36"/>
      <c r="K666" s="36"/>
      <c r="L666" s="36"/>
      <c r="M666" s="36"/>
      <c r="N666" s="36"/>
      <c r="O666" s="36"/>
      <c r="P666" s="36"/>
      <c r="Q666" s="36"/>
      <c r="R666" s="36"/>
      <c r="S666" s="36"/>
      <c r="T666" s="36"/>
      <c r="U666" s="36"/>
      <c r="V666" s="36"/>
      <c r="W666" s="36"/>
      <c r="X666" s="36"/>
      <c r="Y666" s="36"/>
      <c r="Z666" s="36"/>
    </row>
    <row r="667" spans="1:26">
      <c r="A667" s="36"/>
      <c r="B667" s="36"/>
      <c r="C667" s="36"/>
      <c r="D667" s="36"/>
      <c r="E667" s="36"/>
      <c r="F667" s="36"/>
      <c r="G667" s="36"/>
      <c r="H667" s="36"/>
      <c r="I667" s="36"/>
      <c r="J667" s="36"/>
      <c r="K667" s="36"/>
      <c r="L667" s="36"/>
      <c r="M667" s="36"/>
      <c r="N667" s="36"/>
      <c r="O667" s="36"/>
      <c r="P667" s="36"/>
      <c r="Q667" s="36"/>
      <c r="R667" s="36"/>
      <c r="S667" s="36"/>
      <c r="T667" s="36"/>
      <c r="U667" s="36"/>
      <c r="V667" s="36"/>
      <c r="W667" s="36"/>
      <c r="X667" s="36"/>
      <c r="Y667" s="36"/>
      <c r="Z667" s="36"/>
    </row>
    <row r="668" spans="1:26">
      <c r="A668" s="36"/>
      <c r="B668" s="36"/>
      <c r="C668" s="36"/>
      <c r="D668" s="36"/>
      <c r="E668" s="36"/>
      <c r="F668" s="36"/>
      <c r="G668" s="36"/>
      <c r="H668" s="36"/>
      <c r="I668" s="36"/>
      <c r="J668" s="36"/>
      <c r="K668" s="36"/>
      <c r="L668" s="36"/>
      <c r="M668" s="36"/>
      <c r="N668" s="36"/>
      <c r="O668" s="36"/>
      <c r="P668" s="36"/>
      <c r="Q668" s="36"/>
      <c r="R668" s="36"/>
      <c r="S668" s="36"/>
      <c r="T668" s="36"/>
      <c r="U668" s="36"/>
      <c r="V668" s="36"/>
      <c r="W668" s="36"/>
      <c r="X668" s="36"/>
      <c r="Y668" s="36"/>
      <c r="Z668" s="36"/>
    </row>
    <row r="669" spans="1:26">
      <c r="A669" s="36"/>
      <c r="B669" s="36"/>
      <c r="C669" s="36"/>
      <c r="D669" s="36"/>
      <c r="E669" s="36"/>
      <c r="F669" s="36"/>
      <c r="G669" s="36"/>
      <c r="H669" s="36"/>
      <c r="I669" s="36"/>
      <c r="J669" s="36"/>
      <c r="K669" s="36"/>
      <c r="L669" s="36"/>
      <c r="M669" s="36"/>
      <c r="N669" s="36"/>
      <c r="O669" s="36"/>
      <c r="P669" s="36"/>
      <c r="Q669" s="36"/>
      <c r="R669" s="36"/>
      <c r="S669" s="36"/>
      <c r="T669" s="36"/>
      <c r="U669" s="36"/>
      <c r="V669" s="36"/>
      <c r="W669" s="36"/>
      <c r="X669" s="36"/>
      <c r="Y669" s="36"/>
      <c r="Z669" s="36"/>
    </row>
    <row r="670" spans="1:26">
      <c r="A670" s="36"/>
      <c r="B670" s="36"/>
      <c r="C670" s="36"/>
      <c r="D670" s="36"/>
      <c r="E670" s="36"/>
      <c r="F670" s="36"/>
      <c r="G670" s="36"/>
      <c r="H670" s="36"/>
      <c r="I670" s="36"/>
      <c r="J670" s="36"/>
      <c r="K670" s="36"/>
      <c r="L670" s="36"/>
      <c r="M670" s="36"/>
      <c r="N670" s="36"/>
      <c r="O670" s="36"/>
      <c r="P670" s="36"/>
      <c r="Q670" s="36"/>
      <c r="R670" s="36"/>
      <c r="S670" s="36"/>
      <c r="T670" s="36"/>
      <c r="U670" s="36"/>
      <c r="V670" s="36"/>
      <c r="W670" s="36"/>
      <c r="X670" s="36"/>
      <c r="Y670" s="36"/>
      <c r="Z670" s="36"/>
    </row>
    <row r="671" spans="1:26">
      <c r="A671" s="36"/>
      <c r="B671" s="36"/>
      <c r="C671" s="36"/>
      <c r="D671" s="36"/>
      <c r="E671" s="36"/>
      <c r="F671" s="36"/>
      <c r="G671" s="36"/>
      <c r="H671" s="36"/>
      <c r="I671" s="36"/>
      <c r="J671" s="36"/>
      <c r="K671" s="36"/>
      <c r="L671" s="36"/>
      <c r="M671" s="36"/>
      <c r="N671" s="36"/>
      <c r="O671" s="36"/>
      <c r="P671" s="36"/>
      <c r="Q671" s="36"/>
      <c r="R671" s="36"/>
      <c r="S671" s="36"/>
      <c r="T671" s="36"/>
      <c r="U671" s="36"/>
      <c r="V671" s="36"/>
      <c r="W671" s="36"/>
      <c r="X671" s="36"/>
      <c r="Y671" s="36"/>
      <c r="Z671" s="36"/>
    </row>
    <row r="672" spans="1:26">
      <c r="A672" s="36"/>
      <c r="B672" s="36"/>
      <c r="C672" s="36"/>
      <c r="D672" s="36"/>
      <c r="E672" s="36"/>
      <c r="F672" s="36"/>
      <c r="G672" s="36"/>
      <c r="H672" s="36"/>
      <c r="I672" s="36"/>
      <c r="J672" s="36"/>
      <c r="K672" s="36"/>
      <c r="L672" s="36"/>
      <c r="M672" s="36"/>
      <c r="N672" s="36"/>
      <c r="O672" s="36"/>
      <c r="P672" s="36"/>
      <c r="Q672" s="36"/>
      <c r="R672" s="36"/>
      <c r="S672" s="36"/>
      <c r="T672" s="36"/>
      <c r="U672" s="36"/>
      <c r="V672" s="36"/>
      <c r="W672" s="36"/>
      <c r="X672" s="36"/>
      <c r="Y672" s="36"/>
      <c r="Z672" s="36"/>
    </row>
    <row r="673" spans="1:26">
      <c r="A673" s="36"/>
      <c r="B673" s="36"/>
      <c r="C673" s="36"/>
      <c r="D673" s="36"/>
      <c r="E673" s="36"/>
      <c r="F673" s="36"/>
      <c r="G673" s="36"/>
      <c r="H673" s="36"/>
      <c r="I673" s="36"/>
      <c r="J673" s="36"/>
      <c r="K673" s="36"/>
      <c r="L673" s="36"/>
      <c r="M673" s="36"/>
      <c r="N673" s="36"/>
      <c r="O673" s="36"/>
      <c r="P673" s="36"/>
      <c r="Q673" s="36"/>
      <c r="R673" s="36"/>
      <c r="S673" s="36"/>
      <c r="T673" s="36"/>
      <c r="U673" s="36"/>
      <c r="V673" s="36"/>
      <c r="W673" s="36"/>
      <c r="X673" s="36"/>
      <c r="Y673" s="36"/>
      <c r="Z673" s="36"/>
    </row>
    <row r="674" spans="1:26">
      <c r="A674" s="36"/>
      <c r="B674" s="36"/>
      <c r="C674" s="36"/>
      <c r="D674" s="36"/>
      <c r="E674" s="36"/>
      <c r="F674" s="36"/>
      <c r="G674" s="36"/>
      <c r="H674" s="36"/>
      <c r="I674" s="36"/>
      <c r="J674" s="36"/>
      <c r="K674" s="36"/>
      <c r="L674" s="36"/>
      <c r="M674" s="36"/>
      <c r="N674" s="36"/>
      <c r="O674" s="36"/>
      <c r="P674" s="36"/>
      <c r="Q674" s="36"/>
      <c r="R674" s="36"/>
      <c r="S674" s="36"/>
      <c r="T674" s="36"/>
      <c r="U674" s="36"/>
      <c r="V674" s="36"/>
      <c r="W674" s="36"/>
      <c r="X674" s="36"/>
      <c r="Y674" s="36"/>
      <c r="Z674" s="36"/>
    </row>
    <row r="675" spans="1:26">
      <c r="A675" s="36"/>
      <c r="B675" s="36"/>
      <c r="C675" s="36"/>
      <c r="D675" s="36"/>
      <c r="E675" s="36"/>
      <c r="F675" s="36"/>
      <c r="G675" s="36"/>
      <c r="H675" s="36"/>
      <c r="I675" s="36"/>
      <c r="J675" s="36"/>
      <c r="K675" s="36"/>
      <c r="L675" s="36"/>
      <c r="M675" s="36"/>
      <c r="N675" s="36"/>
      <c r="O675" s="36"/>
      <c r="P675" s="36"/>
      <c r="Q675" s="36"/>
      <c r="R675" s="36"/>
      <c r="S675" s="36"/>
      <c r="T675" s="36"/>
      <c r="U675" s="36"/>
      <c r="V675" s="36"/>
      <c r="W675" s="36"/>
      <c r="X675" s="36"/>
      <c r="Y675" s="36"/>
      <c r="Z675" s="36"/>
    </row>
    <row r="676" spans="1:26">
      <c r="A676" s="36"/>
      <c r="B676" s="36"/>
      <c r="C676" s="36"/>
      <c r="D676" s="36"/>
      <c r="E676" s="36"/>
      <c r="F676" s="36"/>
      <c r="G676" s="36"/>
      <c r="H676" s="36"/>
      <c r="I676" s="36"/>
      <c r="J676" s="36"/>
      <c r="K676" s="36"/>
      <c r="L676" s="36"/>
      <c r="M676" s="36"/>
      <c r="N676" s="36"/>
      <c r="O676" s="36"/>
      <c r="P676" s="36"/>
      <c r="Q676" s="36"/>
      <c r="R676" s="36"/>
      <c r="S676" s="36"/>
      <c r="T676" s="36"/>
      <c r="U676" s="36"/>
      <c r="V676" s="36"/>
      <c r="W676" s="36"/>
      <c r="X676" s="36"/>
      <c r="Y676" s="36"/>
      <c r="Z676" s="36"/>
    </row>
    <row r="677" spans="1:26">
      <c r="A677" s="36"/>
      <c r="B677" s="36"/>
      <c r="C677" s="36"/>
      <c r="D677" s="36"/>
      <c r="E677" s="36"/>
      <c r="F677" s="36"/>
      <c r="G677" s="36"/>
      <c r="H677" s="36"/>
      <c r="I677" s="36"/>
      <c r="J677" s="36"/>
      <c r="K677" s="36"/>
      <c r="L677" s="36"/>
      <c r="M677" s="36"/>
      <c r="N677" s="36"/>
      <c r="O677" s="36"/>
      <c r="P677" s="36"/>
      <c r="Q677" s="36"/>
      <c r="R677" s="36"/>
      <c r="S677" s="36"/>
      <c r="T677" s="36"/>
      <c r="U677" s="36"/>
      <c r="V677" s="36"/>
      <c r="W677" s="36"/>
      <c r="X677" s="36"/>
      <c r="Y677" s="36"/>
      <c r="Z677" s="36"/>
    </row>
    <row r="678" spans="1:26">
      <c r="A678" s="36"/>
      <c r="B678" s="36"/>
      <c r="C678" s="36"/>
      <c r="D678" s="36"/>
      <c r="E678" s="36"/>
      <c r="F678" s="36"/>
      <c r="G678" s="36"/>
      <c r="H678" s="36"/>
      <c r="I678" s="36"/>
      <c r="J678" s="36"/>
      <c r="K678" s="36"/>
      <c r="L678" s="36"/>
      <c r="M678" s="36"/>
      <c r="N678" s="36"/>
      <c r="O678" s="36"/>
      <c r="P678" s="36"/>
      <c r="Q678" s="36"/>
      <c r="R678" s="36"/>
      <c r="S678" s="36"/>
      <c r="T678" s="36"/>
      <c r="U678" s="36"/>
      <c r="V678" s="36"/>
      <c r="W678" s="36"/>
      <c r="X678" s="36"/>
      <c r="Y678" s="36"/>
      <c r="Z678" s="36"/>
    </row>
    <row r="679" spans="1:26">
      <c r="A679" s="36"/>
      <c r="B679" s="36"/>
      <c r="C679" s="36"/>
      <c r="D679" s="36"/>
      <c r="E679" s="36"/>
      <c r="F679" s="36"/>
      <c r="G679" s="36"/>
      <c r="H679" s="36"/>
      <c r="I679" s="36"/>
      <c r="J679" s="36"/>
      <c r="K679" s="36"/>
      <c r="L679" s="36"/>
      <c r="M679" s="36"/>
      <c r="N679" s="36"/>
      <c r="O679" s="36"/>
      <c r="P679" s="36"/>
      <c r="Q679" s="36"/>
      <c r="R679" s="36"/>
      <c r="S679" s="36"/>
      <c r="T679" s="36"/>
      <c r="U679" s="36"/>
      <c r="V679" s="36"/>
      <c r="W679" s="36"/>
      <c r="X679" s="36"/>
      <c r="Y679" s="36"/>
      <c r="Z679" s="36"/>
    </row>
    <row r="680" spans="1:26">
      <c r="A680" s="36"/>
      <c r="B680" s="36"/>
      <c r="C680" s="36"/>
      <c r="D680" s="36"/>
      <c r="E680" s="36"/>
      <c r="F680" s="36"/>
      <c r="G680" s="36"/>
      <c r="H680" s="36"/>
      <c r="I680" s="36"/>
      <c r="J680" s="36"/>
      <c r="K680" s="36"/>
      <c r="L680" s="36"/>
      <c r="M680" s="36"/>
      <c r="N680" s="36"/>
      <c r="O680" s="36"/>
      <c r="P680" s="36"/>
      <c r="Q680" s="36"/>
      <c r="R680" s="36"/>
      <c r="S680" s="36"/>
      <c r="T680" s="36"/>
      <c r="U680" s="36"/>
      <c r="V680" s="36"/>
      <c r="W680" s="36"/>
      <c r="X680" s="36"/>
      <c r="Y680" s="36"/>
      <c r="Z680" s="36"/>
    </row>
    <row r="681" spans="1:26">
      <c r="A681" s="36"/>
      <c r="B681" s="36"/>
      <c r="C681" s="36"/>
      <c r="D681" s="36"/>
      <c r="E681" s="36"/>
      <c r="F681" s="36"/>
      <c r="G681" s="36"/>
      <c r="H681" s="36"/>
      <c r="I681" s="36"/>
      <c r="J681" s="36"/>
      <c r="K681" s="36"/>
      <c r="L681" s="36"/>
      <c r="M681" s="36"/>
      <c r="N681" s="36"/>
      <c r="O681" s="36"/>
      <c r="P681" s="36"/>
      <c r="Q681" s="36"/>
      <c r="R681" s="36"/>
      <c r="S681" s="36"/>
      <c r="T681" s="36"/>
      <c r="U681" s="36"/>
      <c r="V681" s="36"/>
      <c r="W681" s="36"/>
      <c r="X681" s="36"/>
      <c r="Y681" s="36"/>
      <c r="Z681" s="36"/>
    </row>
    <row r="682" spans="1:26">
      <c r="A682" s="36"/>
      <c r="B682" s="36"/>
      <c r="C682" s="36"/>
      <c r="D682" s="36"/>
      <c r="E682" s="36"/>
      <c r="F682" s="36"/>
      <c r="G682" s="36"/>
      <c r="H682" s="36"/>
      <c r="I682" s="36"/>
      <c r="J682" s="36"/>
      <c r="K682" s="36"/>
      <c r="L682" s="36"/>
      <c r="M682" s="36"/>
      <c r="N682" s="36"/>
      <c r="O682" s="36"/>
      <c r="P682" s="36"/>
      <c r="Q682" s="36"/>
      <c r="R682" s="36"/>
      <c r="S682" s="36"/>
      <c r="T682" s="36"/>
      <c r="U682" s="36"/>
      <c r="V682" s="36"/>
      <c r="W682" s="36"/>
      <c r="X682" s="36"/>
      <c r="Y682" s="36"/>
      <c r="Z682" s="36"/>
    </row>
    <row r="683" spans="1:26">
      <c r="A683" s="36"/>
      <c r="B683" s="36"/>
      <c r="C683" s="36"/>
      <c r="D683" s="36"/>
      <c r="E683" s="36"/>
      <c r="F683" s="36"/>
      <c r="G683" s="36"/>
      <c r="H683" s="36"/>
      <c r="I683" s="36"/>
      <c r="J683" s="36"/>
      <c r="K683" s="36"/>
      <c r="L683" s="36"/>
      <c r="M683" s="36"/>
      <c r="N683" s="36"/>
      <c r="O683" s="36"/>
      <c r="P683" s="36"/>
      <c r="Q683" s="36"/>
      <c r="R683" s="36"/>
      <c r="S683" s="36"/>
      <c r="T683" s="36"/>
      <c r="U683" s="36"/>
      <c r="V683" s="36"/>
      <c r="W683" s="36"/>
      <c r="X683" s="36"/>
      <c r="Y683" s="36"/>
      <c r="Z683" s="36"/>
    </row>
    <row r="684" spans="1:26">
      <c r="A684" s="36"/>
      <c r="B684" s="36"/>
      <c r="C684" s="36"/>
      <c r="D684" s="36"/>
      <c r="E684" s="36"/>
      <c r="F684" s="36"/>
      <c r="G684" s="36"/>
      <c r="H684" s="36"/>
      <c r="I684" s="36"/>
      <c r="J684" s="36"/>
      <c r="K684" s="36"/>
      <c r="L684" s="36"/>
      <c r="M684" s="36"/>
      <c r="N684" s="36"/>
      <c r="O684" s="36"/>
      <c r="P684" s="36"/>
      <c r="Q684" s="36"/>
      <c r="R684" s="36"/>
      <c r="S684" s="36"/>
      <c r="T684" s="36"/>
      <c r="U684" s="36"/>
      <c r="V684" s="36"/>
      <c r="W684" s="36"/>
      <c r="X684" s="36"/>
      <c r="Y684" s="36"/>
      <c r="Z684" s="36"/>
    </row>
    <row r="685" spans="1:26">
      <c r="A685" s="36"/>
      <c r="B685" s="36"/>
      <c r="C685" s="36"/>
      <c r="D685" s="36"/>
      <c r="E685" s="36"/>
      <c r="F685" s="36"/>
      <c r="G685" s="36"/>
      <c r="H685" s="36"/>
      <c r="I685" s="36"/>
      <c r="J685" s="36"/>
      <c r="K685" s="36"/>
      <c r="L685" s="36"/>
      <c r="M685" s="36"/>
      <c r="N685" s="36"/>
      <c r="O685" s="36"/>
      <c r="P685" s="36"/>
      <c r="Q685" s="36"/>
      <c r="R685" s="36"/>
      <c r="S685" s="36"/>
      <c r="T685" s="36"/>
      <c r="U685" s="36"/>
      <c r="V685" s="36"/>
      <c r="W685" s="36"/>
      <c r="X685" s="36"/>
      <c r="Y685" s="36"/>
      <c r="Z685" s="36"/>
    </row>
    <row r="686" spans="1:26">
      <c r="A686" s="36"/>
      <c r="B686" s="36"/>
      <c r="C686" s="36"/>
      <c r="D686" s="36"/>
      <c r="E686" s="36"/>
      <c r="F686" s="36"/>
      <c r="G686" s="36"/>
      <c r="H686" s="36"/>
      <c r="I686" s="36"/>
      <c r="J686" s="36"/>
      <c r="K686" s="36"/>
      <c r="L686" s="36"/>
      <c r="M686" s="36"/>
      <c r="N686" s="36"/>
      <c r="O686" s="36"/>
      <c r="P686" s="36"/>
      <c r="Q686" s="36"/>
      <c r="R686" s="36"/>
      <c r="S686" s="36"/>
      <c r="T686" s="36"/>
      <c r="U686" s="36"/>
      <c r="V686" s="36"/>
      <c r="W686" s="36"/>
      <c r="X686" s="36"/>
      <c r="Y686" s="36"/>
      <c r="Z686" s="36"/>
    </row>
    <row r="687" spans="1:26">
      <c r="A687" s="36"/>
      <c r="B687" s="36"/>
      <c r="C687" s="36"/>
      <c r="D687" s="36"/>
      <c r="E687" s="36"/>
      <c r="F687" s="36"/>
      <c r="G687" s="36"/>
      <c r="H687" s="36"/>
      <c r="I687" s="36"/>
      <c r="J687" s="36"/>
      <c r="K687" s="36"/>
      <c r="L687" s="36"/>
      <c r="M687" s="36"/>
      <c r="N687" s="36"/>
      <c r="O687" s="36"/>
      <c r="P687" s="36"/>
      <c r="Q687" s="36"/>
      <c r="R687" s="36"/>
      <c r="S687" s="36"/>
      <c r="T687" s="36"/>
      <c r="U687" s="36"/>
      <c r="V687" s="36"/>
      <c r="W687" s="36"/>
      <c r="X687" s="36"/>
      <c r="Y687" s="36"/>
      <c r="Z687" s="36"/>
    </row>
    <row r="688" spans="1:26">
      <c r="A688" s="36"/>
      <c r="B688" s="36"/>
      <c r="C688" s="36"/>
      <c r="D688" s="36"/>
      <c r="E688" s="36"/>
      <c r="F688" s="36"/>
      <c r="G688" s="36"/>
      <c r="H688" s="36"/>
      <c r="I688" s="36"/>
      <c r="J688" s="36"/>
      <c r="K688" s="36"/>
      <c r="L688" s="36"/>
      <c r="M688" s="36"/>
      <c r="N688" s="36"/>
      <c r="O688" s="36"/>
      <c r="P688" s="36"/>
      <c r="Q688" s="36"/>
      <c r="R688" s="36"/>
      <c r="S688" s="36"/>
      <c r="T688" s="36"/>
      <c r="U688" s="36"/>
      <c r="V688" s="36"/>
      <c r="W688" s="36"/>
      <c r="X688" s="36"/>
      <c r="Y688" s="36"/>
      <c r="Z688" s="36"/>
    </row>
    <row r="689" spans="1:26">
      <c r="A689" s="36"/>
      <c r="B689" s="36"/>
      <c r="C689" s="36"/>
      <c r="D689" s="36"/>
      <c r="E689" s="36"/>
      <c r="F689" s="36"/>
      <c r="G689" s="36"/>
      <c r="H689" s="36"/>
      <c r="I689" s="36"/>
      <c r="J689" s="36"/>
      <c r="K689" s="36"/>
      <c r="L689" s="36"/>
      <c r="M689" s="36"/>
      <c r="N689" s="36"/>
      <c r="O689" s="36"/>
      <c r="P689" s="36"/>
      <c r="Q689" s="36"/>
      <c r="R689" s="36"/>
      <c r="S689" s="36"/>
      <c r="T689" s="36"/>
      <c r="U689" s="36"/>
      <c r="V689" s="36"/>
      <c r="W689" s="36"/>
      <c r="X689" s="36"/>
      <c r="Y689" s="36"/>
      <c r="Z689" s="36"/>
    </row>
    <row r="690" spans="1:26">
      <c r="A690" s="36"/>
      <c r="B690" s="36"/>
      <c r="C690" s="36"/>
      <c r="D690" s="36"/>
      <c r="E690" s="36"/>
      <c r="F690" s="36"/>
      <c r="G690" s="36"/>
      <c r="H690" s="36"/>
      <c r="I690" s="36"/>
      <c r="J690" s="36"/>
      <c r="K690" s="36"/>
      <c r="L690" s="36"/>
      <c r="M690" s="36"/>
      <c r="N690" s="36"/>
      <c r="O690" s="36"/>
      <c r="P690" s="36"/>
      <c r="Q690" s="36"/>
      <c r="R690" s="36"/>
      <c r="S690" s="36"/>
      <c r="T690" s="36"/>
      <c r="U690" s="36"/>
      <c r="V690" s="36"/>
      <c r="W690" s="36"/>
      <c r="X690" s="36"/>
      <c r="Y690" s="36"/>
      <c r="Z690" s="36"/>
    </row>
    <row r="691" spans="1:26">
      <c r="A691" s="36"/>
      <c r="B691" s="36"/>
      <c r="C691" s="36"/>
      <c r="D691" s="36"/>
      <c r="E691" s="36"/>
      <c r="F691" s="36"/>
      <c r="G691" s="36"/>
      <c r="H691" s="36"/>
      <c r="I691" s="36"/>
      <c r="J691" s="36"/>
      <c r="K691" s="36"/>
      <c r="L691" s="36"/>
      <c r="M691" s="36"/>
      <c r="N691" s="36"/>
      <c r="O691" s="36"/>
      <c r="P691" s="36"/>
      <c r="Q691" s="36"/>
      <c r="R691" s="36"/>
      <c r="S691" s="36"/>
      <c r="T691" s="36"/>
      <c r="U691" s="36"/>
      <c r="V691" s="36"/>
      <c r="W691" s="36"/>
      <c r="X691" s="36"/>
      <c r="Y691" s="36"/>
      <c r="Z691" s="36"/>
    </row>
    <row r="692" spans="1:26">
      <c r="A692" s="36"/>
      <c r="B692" s="36"/>
      <c r="C692" s="36"/>
      <c r="D692" s="36"/>
      <c r="E692" s="36"/>
      <c r="F692" s="36"/>
      <c r="G692" s="36"/>
      <c r="H692" s="36"/>
      <c r="I692" s="36"/>
      <c r="J692" s="36"/>
      <c r="K692" s="36"/>
      <c r="L692" s="36"/>
      <c r="M692" s="36"/>
      <c r="N692" s="36"/>
      <c r="O692" s="36"/>
      <c r="P692" s="36"/>
      <c r="Q692" s="36"/>
      <c r="R692" s="36"/>
      <c r="S692" s="36"/>
      <c r="T692" s="36"/>
      <c r="U692" s="36"/>
      <c r="V692" s="36"/>
      <c r="W692" s="36"/>
      <c r="X692" s="36"/>
      <c r="Y692" s="36"/>
      <c r="Z692" s="36"/>
    </row>
    <row r="693" spans="1:26">
      <c r="A693" s="36"/>
      <c r="B693" s="36"/>
      <c r="C693" s="36"/>
      <c r="D693" s="36"/>
      <c r="E693" s="36"/>
      <c r="F693" s="36"/>
      <c r="G693" s="36"/>
      <c r="H693" s="36"/>
      <c r="I693" s="36"/>
      <c r="J693" s="36"/>
      <c r="K693" s="36"/>
      <c r="L693" s="36"/>
      <c r="M693" s="36"/>
      <c r="N693" s="36"/>
      <c r="O693" s="36"/>
      <c r="P693" s="36"/>
      <c r="Q693" s="36"/>
      <c r="R693" s="36"/>
      <c r="S693" s="36"/>
      <c r="T693" s="36"/>
      <c r="U693" s="36"/>
      <c r="V693" s="36"/>
      <c r="W693" s="36"/>
      <c r="X693" s="36"/>
      <c r="Y693" s="36"/>
      <c r="Z693" s="36"/>
    </row>
    <row r="694" spans="1:26">
      <c r="A694" s="36"/>
      <c r="B694" s="36"/>
      <c r="C694" s="36"/>
      <c r="D694" s="36"/>
      <c r="E694" s="36"/>
      <c r="F694" s="36"/>
      <c r="G694" s="36"/>
      <c r="H694" s="36"/>
      <c r="I694" s="36"/>
      <c r="J694" s="36"/>
      <c r="K694" s="36"/>
      <c r="L694" s="36"/>
      <c r="M694" s="36"/>
      <c r="N694" s="36"/>
      <c r="O694" s="36"/>
      <c r="P694" s="36"/>
      <c r="Q694" s="36"/>
      <c r="R694" s="36"/>
      <c r="S694" s="36"/>
      <c r="T694" s="36"/>
      <c r="U694" s="36"/>
      <c r="V694" s="36"/>
      <c r="W694" s="36"/>
      <c r="X694" s="36"/>
      <c r="Y694" s="36"/>
      <c r="Z694" s="36"/>
    </row>
    <row r="695" spans="1:26">
      <c r="A695" s="36"/>
      <c r="B695" s="36"/>
      <c r="C695" s="36"/>
      <c r="D695" s="36"/>
      <c r="E695" s="36"/>
      <c r="F695" s="36"/>
      <c r="G695" s="36"/>
      <c r="H695" s="36"/>
      <c r="I695" s="36"/>
      <c r="J695" s="36"/>
      <c r="K695" s="36"/>
      <c r="L695" s="36"/>
      <c r="M695" s="36"/>
      <c r="N695" s="36"/>
      <c r="O695" s="36"/>
      <c r="P695" s="36"/>
      <c r="Q695" s="36"/>
      <c r="R695" s="36"/>
      <c r="S695" s="36"/>
      <c r="T695" s="36"/>
      <c r="U695" s="36"/>
      <c r="V695" s="36"/>
      <c r="W695" s="36"/>
      <c r="X695" s="36"/>
      <c r="Y695" s="36"/>
      <c r="Z695" s="36"/>
    </row>
    <row r="696" spans="1:26">
      <c r="A696" s="36"/>
      <c r="B696" s="36"/>
      <c r="C696" s="36"/>
      <c r="D696" s="36"/>
      <c r="E696" s="36"/>
      <c r="F696" s="36"/>
      <c r="G696" s="36"/>
      <c r="H696" s="36"/>
      <c r="I696" s="36"/>
      <c r="J696" s="36"/>
      <c r="K696" s="36"/>
      <c r="L696" s="36"/>
      <c r="M696" s="36"/>
      <c r="N696" s="36"/>
      <c r="O696" s="36"/>
      <c r="P696" s="36"/>
      <c r="Q696" s="36"/>
      <c r="R696" s="36"/>
      <c r="S696" s="36"/>
      <c r="T696" s="36"/>
      <c r="U696" s="36"/>
      <c r="V696" s="36"/>
      <c r="W696" s="36"/>
      <c r="X696" s="36"/>
      <c r="Y696" s="36"/>
      <c r="Z696" s="36"/>
    </row>
    <row r="697" spans="1:26">
      <c r="A697" s="36"/>
      <c r="B697" s="36"/>
      <c r="C697" s="36"/>
      <c r="D697" s="36"/>
      <c r="E697" s="36"/>
      <c r="F697" s="36"/>
      <c r="G697" s="36"/>
      <c r="H697" s="36"/>
      <c r="I697" s="36"/>
      <c r="J697" s="36"/>
      <c r="K697" s="36"/>
      <c r="L697" s="36"/>
      <c r="M697" s="36"/>
      <c r="N697" s="36"/>
      <c r="O697" s="36"/>
      <c r="P697" s="36"/>
      <c r="Q697" s="36"/>
      <c r="R697" s="36"/>
      <c r="S697" s="36"/>
      <c r="T697" s="36"/>
      <c r="U697" s="36"/>
      <c r="V697" s="36"/>
      <c r="W697" s="36"/>
      <c r="X697" s="36"/>
      <c r="Y697" s="36"/>
      <c r="Z697" s="36"/>
    </row>
    <row r="698" spans="1:26">
      <c r="A698" s="36"/>
      <c r="B698" s="36"/>
      <c r="C698" s="36"/>
      <c r="D698" s="36"/>
      <c r="E698" s="36"/>
      <c r="F698" s="36"/>
      <c r="G698" s="36"/>
      <c r="H698" s="36"/>
      <c r="I698" s="36"/>
      <c r="J698" s="36"/>
      <c r="K698" s="36"/>
      <c r="L698" s="36"/>
      <c r="M698" s="36"/>
      <c r="N698" s="36"/>
      <c r="O698" s="36"/>
      <c r="P698" s="36"/>
      <c r="Q698" s="36"/>
      <c r="R698" s="36"/>
      <c r="S698" s="36"/>
      <c r="T698" s="36"/>
      <c r="U698" s="36"/>
      <c r="V698" s="36"/>
      <c r="W698" s="36"/>
      <c r="X698" s="36"/>
      <c r="Y698" s="36"/>
      <c r="Z698" s="36"/>
    </row>
    <row r="699" spans="1:26">
      <c r="A699" s="36"/>
      <c r="B699" s="36"/>
      <c r="C699" s="36"/>
      <c r="D699" s="36"/>
      <c r="E699" s="36"/>
      <c r="F699" s="36"/>
      <c r="G699" s="36"/>
      <c r="H699" s="36"/>
      <c r="I699" s="36"/>
      <c r="J699" s="36"/>
      <c r="K699" s="36"/>
      <c r="L699" s="36"/>
      <c r="M699" s="36"/>
      <c r="N699" s="36"/>
      <c r="O699" s="36"/>
      <c r="P699" s="36"/>
      <c r="Q699" s="36"/>
      <c r="R699" s="36"/>
      <c r="S699" s="36"/>
      <c r="T699" s="36"/>
      <c r="U699" s="36"/>
      <c r="V699" s="36"/>
      <c r="W699" s="36"/>
      <c r="X699" s="36"/>
      <c r="Y699" s="36"/>
      <c r="Z699" s="36"/>
    </row>
    <row r="700" spans="1:26">
      <c r="A700" s="36"/>
      <c r="B700" s="36"/>
      <c r="C700" s="36"/>
      <c r="D700" s="36"/>
      <c r="E700" s="36"/>
      <c r="F700" s="36"/>
      <c r="G700" s="36"/>
      <c r="H700" s="36"/>
      <c r="I700" s="36"/>
      <c r="J700" s="36"/>
      <c r="K700" s="36"/>
      <c r="L700" s="36"/>
      <c r="M700" s="36"/>
      <c r="N700" s="36"/>
      <c r="O700" s="36"/>
      <c r="P700" s="36"/>
      <c r="Q700" s="36"/>
      <c r="R700" s="36"/>
      <c r="S700" s="36"/>
      <c r="T700" s="36"/>
      <c r="U700" s="36"/>
      <c r="V700" s="36"/>
      <c r="W700" s="36"/>
      <c r="X700" s="36"/>
      <c r="Y700" s="36"/>
      <c r="Z700" s="36"/>
    </row>
    <row r="701" spans="1:26">
      <c r="A701" s="36"/>
      <c r="B701" s="36"/>
      <c r="C701" s="36"/>
      <c r="D701" s="36"/>
      <c r="E701" s="36"/>
      <c r="F701" s="36"/>
      <c r="G701" s="36"/>
      <c r="H701" s="36"/>
      <c r="I701" s="36"/>
      <c r="J701" s="36"/>
      <c r="K701" s="36"/>
      <c r="L701" s="36"/>
      <c r="M701" s="36"/>
      <c r="N701" s="36"/>
      <c r="O701" s="36"/>
      <c r="P701" s="36"/>
      <c r="Q701" s="36"/>
      <c r="R701" s="36"/>
      <c r="S701" s="36"/>
      <c r="T701" s="36"/>
      <c r="U701" s="36"/>
      <c r="V701" s="36"/>
      <c r="W701" s="36"/>
      <c r="X701" s="36"/>
      <c r="Y701" s="36"/>
      <c r="Z701" s="36"/>
    </row>
    <row r="702" spans="1:26">
      <c r="A702" s="36"/>
      <c r="B702" s="36"/>
      <c r="C702" s="36"/>
      <c r="D702" s="36"/>
      <c r="E702" s="36"/>
      <c r="F702" s="36"/>
      <c r="G702" s="36"/>
      <c r="H702" s="36"/>
      <c r="I702" s="36"/>
      <c r="J702" s="36"/>
      <c r="K702" s="36"/>
      <c r="L702" s="36"/>
      <c r="M702" s="36"/>
      <c r="N702" s="36"/>
      <c r="O702" s="36"/>
      <c r="P702" s="36"/>
      <c r="Q702" s="36"/>
      <c r="R702" s="36"/>
      <c r="S702" s="36"/>
      <c r="T702" s="36"/>
      <c r="U702" s="36"/>
      <c r="V702" s="36"/>
      <c r="W702" s="36"/>
      <c r="X702" s="36"/>
      <c r="Y702" s="36"/>
      <c r="Z702" s="36"/>
    </row>
    <row r="703" spans="1:26">
      <c r="A703" s="36"/>
      <c r="B703" s="36"/>
      <c r="C703" s="36"/>
      <c r="D703" s="36"/>
      <c r="E703" s="36"/>
      <c r="F703" s="36"/>
      <c r="G703" s="36"/>
      <c r="H703" s="36"/>
      <c r="I703" s="36"/>
      <c r="J703" s="36"/>
      <c r="K703" s="36"/>
      <c r="L703" s="36"/>
      <c r="M703" s="36"/>
      <c r="N703" s="36"/>
      <c r="O703" s="36"/>
      <c r="P703" s="36"/>
      <c r="Q703" s="36"/>
      <c r="R703" s="36"/>
      <c r="S703" s="36"/>
      <c r="T703" s="36"/>
      <c r="U703" s="36"/>
      <c r="V703" s="36"/>
      <c r="W703" s="36"/>
      <c r="X703" s="36"/>
      <c r="Y703" s="36"/>
      <c r="Z703" s="36"/>
    </row>
    <row r="704" spans="1:26">
      <c r="A704" s="36"/>
      <c r="B704" s="36"/>
      <c r="C704" s="36"/>
      <c r="D704" s="36"/>
      <c r="E704" s="36"/>
      <c r="F704" s="36"/>
      <c r="G704" s="36"/>
      <c r="H704" s="36"/>
      <c r="I704" s="36"/>
      <c r="J704" s="36"/>
      <c r="K704" s="36"/>
      <c r="L704" s="36"/>
      <c r="M704" s="36"/>
      <c r="N704" s="36"/>
      <c r="O704" s="36"/>
      <c r="P704" s="36"/>
      <c r="Q704" s="36"/>
      <c r="R704" s="36"/>
      <c r="S704" s="36"/>
      <c r="T704" s="36"/>
      <c r="U704" s="36"/>
      <c r="V704" s="36"/>
      <c r="W704" s="36"/>
      <c r="X704" s="36"/>
      <c r="Y704" s="36"/>
      <c r="Z704" s="36"/>
    </row>
    <row r="705" spans="1:26">
      <c r="A705" s="36"/>
      <c r="B705" s="36"/>
      <c r="C705" s="36"/>
      <c r="D705" s="36"/>
      <c r="E705" s="36"/>
      <c r="F705" s="36"/>
      <c r="G705" s="36"/>
      <c r="H705" s="36"/>
      <c r="I705" s="36"/>
      <c r="J705" s="36"/>
      <c r="K705" s="36"/>
      <c r="L705" s="36"/>
      <c r="M705" s="36"/>
      <c r="N705" s="36"/>
      <c r="O705" s="36"/>
      <c r="P705" s="36"/>
      <c r="Q705" s="36"/>
      <c r="R705" s="36"/>
      <c r="S705" s="36"/>
      <c r="T705" s="36"/>
      <c r="U705" s="36"/>
      <c r="V705" s="36"/>
      <c r="W705" s="36"/>
      <c r="X705" s="36"/>
      <c r="Y705" s="36"/>
      <c r="Z705" s="36"/>
    </row>
    <row r="706" spans="1:26">
      <c r="A706" s="36"/>
      <c r="B706" s="36"/>
      <c r="C706" s="36"/>
      <c r="D706" s="36"/>
      <c r="E706" s="36"/>
      <c r="F706" s="36"/>
      <c r="G706" s="36"/>
      <c r="H706" s="36"/>
      <c r="I706" s="36"/>
      <c r="J706" s="36"/>
      <c r="K706" s="36"/>
      <c r="L706" s="36"/>
      <c r="M706" s="36"/>
      <c r="N706" s="36"/>
      <c r="O706" s="36"/>
      <c r="P706" s="36"/>
      <c r="Q706" s="36"/>
      <c r="R706" s="36"/>
      <c r="S706" s="36"/>
      <c r="T706" s="36"/>
      <c r="U706" s="36"/>
      <c r="V706" s="36"/>
      <c r="W706" s="36"/>
      <c r="X706" s="36"/>
      <c r="Y706" s="36"/>
      <c r="Z706" s="36"/>
    </row>
    <row r="707" spans="1:26">
      <c r="A707" s="36"/>
      <c r="B707" s="36"/>
      <c r="C707" s="36"/>
      <c r="D707" s="36"/>
      <c r="E707" s="36"/>
      <c r="F707" s="36"/>
      <c r="G707" s="36"/>
      <c r="H707" s="36"/>
      <c r="I707" s="36"/>
      <c r="J707" s="36"/>
      <c r="K707" s="36"/>
      <c r="L707" s="36"/>
      <c r="M707" s="36"/>
      <c r="N707" s="36"/>
      <c r="O707" s="36"/>
      <c r="P707" s="36"/>
      <c r="Q707" s="36"/>
      <c r="R707" s="36"/>
      <c r="S707" s="36"/>
      <c r="T707" s="36"/>
      <c r="U707" s="36"/>
      <c r="V707" s="36"/>
      <c r="W707" s="36"/>
      <c r="X707" s="36"/>
      <c r="Y707" s="36"/>
      <c r="Z707" s="36"/>
    </row>
    <row r="708" spans="1:26">
      <c r="A708" s="36"/>
      <c r="B708" s="36"/>
      <c r="C708" s="36"/>
      <c r="D708" s="36"/>
      <c r="E708" s="36"/>
      <c r="F708" s="36"/>
      <c r="G708" s="36"/>
      <c r="H708" s="36"/>
      <c r="I708" s="36"/>
      <c r="J708" s="36"/>
      <c r="K708" s="36"/>
      <c r="L708" s="36"/>
      <c r="M708" s="36"/>
      <c r="N708" s="36"/>
      <c r="O708" s="36"/>
      <c r="P708" s="36"/>
      <c r="Q708" s="36"/>
      <c r="R708" s="36"/>
      <c r="S708" s="36"/>
      <c r="T708" s="36"/>
      <c r="U708" s="36"/>
      <c r="V708" s="36"/>
      <c r="W708" s="36"/>
      <c r="X708" s="36"/>
      <c r="Y708" s="36"/>
      <c r="Z708" s="36"/>
    </row>
    <row r="709" spans="1:26">
      <c r="A709" s="36"/>
      <c r="B709" s="36"/>
      <c r="C709" s="36"/>
      <c r="D709" s="36"/>
      <c r="E709" s="36"/>
      <c r="F709" s="36"/>
      <c r="G709" s="36"/>
      <c r="H709" s="36"/>
      <c r="I709" s="36"/>
      <c r="J709" s="36"/>
      <c r="K709" s="36"/>
      <c r="L709" s="36"/>
      <c r="M709" s="36"/>
      <c r="N709" s="36"/>
      <c r="O709" s="36"/>
      <c r="P709" s="36"/>
      <c r="Q709" s="36"/>
      <c r="R709" s="36"/>
      <c r="S709" s="36"/>
      <c r="T709" s="36"/>
      <c r="U709" s="36"/>
      <c r="V709" s="36"/>
      <c r="W709" s="36"/>
      <c r="X709" s="36"/>
      <c r="Y709" s="36"/>
      <c r="Z709" s="36"/>
    </row>
    <row r="710" spans="1:26">
      <c r="A710" s="36"/>
      <c r="B710" s="36"/>
      <c r="C710" s="36"/>
      <c r="D710" s="36"/>
      <c r="E710" s="36"/>
      <c r="F710" s="36"/>
      <c r="G710" s="36"/>
      <c r="H710" s="36"/>
      <c r="I710" s="36"/>
      <c r="J710" s="36"/>
      <c r="K710" s="36"/>
      <c r="L710" s="36"/>
      <c r="M710" s="36"/>
      <c r="N710" s="36"/>
      <c r="O710" s="36"/>
      <c r="P710" s="36"/>
      <c r="Q710" s="36"/>
      <c r="R710" s="36"/>
      <c r="S710" s="36"/>
      <c r="T710" s="36"/>
      <c r="U710" s="36"/>
      <c r="V710" s="36"/>
      <c r="W710" s="36"/>
      <c r="X710" s="36"/>
      <c r="Y710" s="36"/>
      <c r="Z710" s="36"/>
    </row>
    <row r="711" spans="1:26">
      <c r="A711" s="36"/>
      <c r="B711" s="36"/>
      <c r="C711" s="36"/>
      <c r="D711" s="36"/>
      <c r="E711" s="36"/>
      <c r="F711" s="36"/>
      <c r="G711" s="36"/>
      <c r="H711" s="36"/>
      <c r="I711" s="36"/>
      <c r="J711" s="36"/>
      <c r="K711" s="36"/>
      <c r="L711" s="36"/>
      <c r="M711" s="36"/>
      <c r="N711" s="36"/>
      <c r="O711" s="36"/>
      <c r="P711" s="36"/>
      <c r="Q711" s="36"/>
      <c r="R711" s="36"/>
      <c r="S711" s="36"/>
      <c r="T711" s="36"/>
      <c r="U711" s="36"/>
      <c r="V711" s="36"/>
      <c r="W711" s="36"/>
      <c r="X711" s="36"/>
      <c r="Y711" s="36"/>
      <c r="Z711" s="36"/>
    </row>
    <row r="712" spans="1:26">
      <c r="A712" s="36"/>
      <c r="B712" s="36"/>
      <c r="C712" s="36"/>
      <c r="D712" s="36"/>
      <c r="E712" s="36"/>
      <c r="F712" s="36"/>
      <c r="G712" s="36"/>
      <c r="H712" s="36"/>
      <c r="I712" s="36"/>
      <c r="J712" s="36"/>
      <c r="K712" s="36"/>
      <c r="L712" s="36"/>
      <c r="M712" s="36"/>
      <c r="N712" s="36"/>
      <c r="O712" s="36"/>
      <c r="P712" s="36"/>
      <c r="Q712" s="36"/>
      <c r="R712" s="36"/>
      <c r="S712" s="36"/>
      <c r="T712" s="36"/>
      <c r="U712" s="36"/>
      <c r="V712" s="36"/>
      <c r="W712" s="36"/>
      <c r="X712" s="36"/>
      <c r="Y712" s="36"/>
      <c r="Z712" s="36"/>
    </row>
    <row r="713" spans="1:26">
      <c r="A713" s="36"/>
      <c r="B713" s="36"/>
      <c r="C713" s="36"/>
      <c r="D713" s="36"/>
      <c r="E713" s="36"/>
      <c r="F713" s="36"/>
      <c r="G713" s="36"/>
      <c r="H713" s="36"/>
      <c r="I713" s="36"/>
      <c r="J713" s="36"/>
      <c r="K713" s="36"/>
      <c r="L713" s="36"/>
      <c r="M713" s="36"/>
      <c r="N713" s="36"/>
      <c r="O713" s="36"/>
      <c r="P713" s="36"/>
      <c r="Q713" s="36"/>
      <c r="R713" s="36"/>
      <c r="S713" s="36"/>
      <c r="T713" s="36"/>
      <c r="U713" s="36"/>
      <c r="V713" s="36"/>
      <c r="W713" s="36"/>
      <c r="X713" s="36"/>
      <c r="Y713" s="36"/>
      <c r="Z713" s="36"/>
    </row>
    <row r="714" spans="1:26">
      <c r="A714" s="36"/>
      <c r="B714" s="36"/>
      <c r="C714" s="36"/>
      <c r="D714" s="36"/>
      <c r="E714" s="36"/>
      <c r="F714" s="36"/>
      <c r="G714" s="36"/>
      <c r="H714" s="36"/>
      <c r="I714" s="36"/>
      <c r="J714" s="36"/>
      <c r="K714" s="36"/>
      <c r="L714" s="36"/>
      <c r="M714" s="36"/>
      <c r="N714" s="36"/>
      <c r="O714" s="36"/>
      <c r="P714" s="36"/>
      <c r="Q714" s="36"/>
      <c r="R714" s="36"/>
      <c r="S714" s="36"/>
      <c r="T714" s="36"/>
      <c r="U714" s="36"/>
      <c r="V714" s="36"/>
      <c r="W714" s="36"/>
      <c r="X714" s="36"/>
      <c r="Y714" s="36"/>
      <c r="Z714" s="36"/>
    </row>
    <row r="715" spans="1:26">
      <c r="A715" s="36"/>
      <c r="B715" s="36"/>
      <c r="C715" s="36"/>
      <c r="D715" s="36"/>
      <c r="E715" s="36"/>
      <c r="F715" s="36"/>
      <c r="G715" s="36"/>
      <c r="H715" s="36"/>
      <c r="I715" s="36"/>
      <c r="J715" s="36"/>
      <c r="K715" s="36"/>
      <c r="L715" s="36"/>
      <c r="M715" s="36"/>
      <c r="N715" s="36"/>
      <c r="O715" s="36"/>
      <c r="P715" s="36"/>
      <c r="Q715" s="36"/>
      <c r="R715" s="36"/>
      <c r="S715" s="36"/>
      <c r="T715" s="36"/>
      <c r="U715" s="36"/>
      <c r="V715" s="36"/>
      <c r="W715" s="36"/>
      <c r="X715" s="36"/>
      <c r="Y715" s="36"/>
      <c r="Z715" s="36"/>
    </row>
    <row r="716" spans="1:26">
      <c r="A716" s="36"/>
      <c r="B716" s="36"/>
      <c r="C716" s="36"/>
      <c r="D716" s="36"/>
      <c r="E716" s="36"/>
      <c r="F716" s="36"/>
      <c r="G716" s="36"/>
      <c r="H716" s="36"/>
      <c r="I716" s="36"/>
      <c r="J716" s="36"/>
      <c r="K716" s="36"/>
      <c r="L716" s="36"/>
      <c r="M716" s="36"/>
      <c r="N716" s="36"/>
      <c r="O716" s="36"/>
      <c r="P716" s="36"/>
      <c r="Q716" s="36"/>
      <c r="R716" s="36"/>
      <c r="S716" s="36"/>
      <c r="T716" s="36"/>
      <c r="U716" s="36"/>
      <c r="V716" s="36"/>
      <c r="W716" s="36"/>
      <c r="X716" s="36"/>
      <c r="Y716" s="36"/>
      <c r="Z716" s="36"/>
    </row>
    <row r="717" spans="1:26">
      <c r="A717" s="36"/>
      <c r="B717" s="36"/>
      <c r="C717" s="36"/>
      <c r="D717" s="36"/>
      <c r="E717" s="36"/>
      <c r="F717" s="36"/>
      <c r="G717" s="36"/>
      <c r="H717" s="36"/>
      <c r="I717" s="36"/>
      <c r="J717" s="36"/>
      <c r="K717" s="36"/>
      <c r="L717" s="36"/>
      <c r="M717" s="36"/>
      <c r="N717" s="36"/>
      <c r="O717" s="36"/>
      <c r="P717" s="36"/>
      <c r="Q717" s="36"/>
      <c r="R717" s="36"/>
      <c r="S717" s="36"/>
      <c r="T717" s="36"/>
      <c r="U717" s="36"/>
      <c r="V717" s="36"/>
      <c r="W717" s="36"/>
      <c r="X717" s="36"/>
      <c r="Y717" s="36"/>
      <c r="Z717" s="36"/>
    </row>
    <row r="718" spans="1:26">
      <c r="A718" s="36"/>
      <c r="B718" s="36"/>
      <c r="C718" s="36"/>
      <c r="D718" s="36"/>
      <c r="E718" s="36"/>
      <c r="F718" s="36"/>
      <c r="G718" s="36"/>
      <c r="H718" s="36"/>
      <c r="I718" s="36"/>
      <c r="J718" s="36"/>
      <c r="K718" s="36"/>
      <c r="L718" s="36"/>
      <c r="M718" s="36"/>
      <c r="N718" s="36"/>
      <c r="O718" s="36"/>
      <c r="P718" s="36"/>
      <c r="Q718" s="36"/>
      <c r="R718" s="36"/>
      <c r="S718" s="36"/>
      <c r="T718" s="36"/>
      <c r="U718" s="36"/>
      <c r="V718" s="36"/>
      <c r="W718" s="36"/>
      <c r="X718" s="36"/>
      <c r="Y718" s="36"/>
      <c r="Z718" s="36"/>
    </row>
    <row r="719" spans="1:26">
      <c r="A719" s="36"/>
      <c r="B719" s="36"/>
      <c r="C719" s="36"/>
      <c r="D719" s="36"/>
      <c r="E719" s="36"/>
      <c r="F719" s="36"/>
      <c r="G719" s="36"/>
      <c r="H719" s="36"/>
      <c r="I719" s="36"/>
      <c r="J719" s="36"/>
      <c r="K719" s="36"/>
      <c r="L719" s="36"/>
      <c r="M719" s="36"/>
      <c r="N719" s="36"/>
      <c r="O719" s="36"/>
      <c r="P719" s="36"/>
      <c r="Q719" s="36"/>
      <c r="R719" s="36"/>
      <c r="S719" s="36"/>
      <c r="T719" s="36"/>
      <c r="U719" s="36"/>
      <c r="V719" s="36"/>
      <c r="W719" s="36"/>
      <c r="X719" s="36"/>
      <c r="Y719" s="36"/>
      <c r="Z719" s="36"/>
    </row>
    <row r="720" spans="1:26">
      <c r="A720" s="36"/>
      <c r="B720" s="36"/>
      <c r="C720" s="36"/>
      <c r="D720" s="36"/>
      <c r="E720" s="36"/>
      <c r="F720" s="36"/>
      <c r="G720" s="36"/>
      <c r="H720" s="36"/>
      <c r="I720" s="36"/>
      <c r="J720" s="36"/>
      <c r="K720" s="36"/>
      <c r="L720" s="36"/>
      <c r="M720" s="36"/>
      <c r="N720" s="36"/>
      <c r="O720" s="36"/>
      <c r="P720" s="36"/>
      <c r="Q720" s="36"/>
      <c r="R720" s="36"/>
      <c r="S720" s="36"/>
      <c r="T720" s="36"/>
      <c r="U720" s="36"/>
      <c r="V720" s="36"/>
      <c r="W720" s="36"/>
      <c r="X720" s="36"/>
      <c r="Y720" s="36"/>
      <c r="Z720" s="36"/>
    </row>
    <row r="721" spans="1:26">
      <c r="A721" s="36"/>
      <c r="B721" s="36"/>
      <c r="C721" s="36"/>
      <c r="D721" s="36"/>
      <c r="E721" s="36"/>
      <c r="F721" s="36"/>
      <c r="G721" s="36"/>
      <c r="H721" s="36"/>
      <c r="I721" s="36"/>
      <c r="J721" s="36"/>
      <c r="K721" s="36"/>
      <c r="L721" s="36"/>
      <c r="M721" s="36"/>
      <c r="N721" s="36"/>
      <c r="O721" s="36"/>
      <c r="P721" s="36"/>
      <c r="Q721" s="36"/>
      <c r="R721" s="36"/>
      <c r="S721" s="36"/>
      <c r="T721" s="36"/>
      <c r="U721" s="36"/>
      <c r="V721" s="36"/>
      <c r="W721" s="36"/>
      <c r="X721" s="36"/>
      <c r="Y721" s="36"/>
      <c r="Z721" s="36"/>
    </row>
    <row r="722" spans="1:26">
      <c r="A722" s="36"/>
      <c r="B722" s="36"/>
      <c r="C722" s="36"/>
      <c r="D722" s="36"/>
      <c r="E722" s="36"/>
      <c r="F722" s="36"/>
      <c r="G722" s="36"/>
      <c r="H722" s="36"/>
      <c r="I722" s="36"/>
      <c r="J722" s="36"/>
      <c r="K722" s="36"/>
      <c r="L722" s="36"/>
      <c r="M722" s="36"/>
      <c r="N722" s="36"/>
      <c r="O722" s="36"/>
      <c r="P722" s="36"/>
      <c r="Q722" s="36"/>
      <c r="R722" s="36"/>
      <c r="S722" s="36"/>
      <c r="T722" s="36"/>
      <c r="U722" s="36"/>
      <c r="V722" s="36"/>
      <c r="W722" s="36"/>
      <c r="X722" s="36"/>
      <c r="Y722" s="36"/>
      <c r="Z722" s="36"/>
    </row>
    <row r="723" spans="1:26">
      <c r="A723" s="36"/>
      <c r="B723" s="36"/>
      <c r="C723" s="36"/>
      <c r="D723" s="36"/>
      <c r="E723" s="36"/>
      <c r="F723" s="36"/>
      <c r="G723" s="36"/>
      <c r="H723" s="36"/>
      <c r="I723" s="36"/>
      <c r="J723" s="36"/>
      <c r="K723" s="36"/>
      <c r="L723" s="36"/>
      <c r="M723" s="36"/>
      <c r="N723" s="36"/>
      <c r="O723" s="36"/>
      <c r="P723" s="36"/>
      <c r="Q723" s="36"/>
      <c r="R723" s="36"/>
      <c r="S723" s="36"/>
      <c r="T723" s="36"/>
      <c r="U723" s="36"/>
      <c r="V723" s="36"/>
      <c r="W723" s="36"/>
      <c r="X723" s="36"/>
      <c r="Y723" s="36"/>
      <c r="Z723" s="36"/>
    </row>
    <row r="724" spans="1:26">
      <c r="A724" s="36"/>
      <c r="B724" s="36"/>
      <c r="C724" s="36"/>
      <c r="D724" s="36"/>
      <c r="E724" s="36"/>
      <c r="F724" s="36"/>
      <c r="G724" s="36"/>
      <c r="H724" s="36"/>
      <c r="I724" s="36"/>
      <c r="J724" s="36"/>
      <c r="K724" s="36"/>
      <c r="L724" s="36"/>
      <c r="M724" s="36"/>
      <c r="N724" s="36"/>
      <c r="O724" s="36"/>
      <c r="P724" s="36"/>
      <c r="Q724" s="36"/>
      <c r="R724" s="36"/>
      <c r="S724" s="36"/>
      <c r="T724" s="36"/>
      <c r="U724" s="36"/>
      <c r="V724" s="36"/>
      <c r="W724" s="36"/>
      <c r="X724" s="36"/>
      <c r="Y724" s="36"/>
      <c r="Z724" s="36"/>
    </row>
    <row r="725" spans="1:26">
      <c r="A725" s="36"/>
      <c r="B725" s="36"/>
      <c r="C725" s="36"/>
      <c r="D725" s="36"/>
      <c r="E725" s="36"/>
      <c r="F725" s="36"/>
      <c r="G725" s="36"/>
      <c r="H725" s="36"/>
      <c r="I725" s="36"/>
      <c r="J725" s="36"/>
      <c r="K725" s="36"/>
      <c r="L725" s="36"/>
      <c r="M725" s="36"/>
      <c r="N725" s="36"/>
      <c r="O725" s="36"/>
      <c r="P725" s="36"/>
      <c r="Q725" s="36"/>
      <c r="R725" s="36"/>
      <c r="S725" s="36"/>
      <c r="T725" s="36"/>
      <c r="U725" s="36"/>
      <c r="V725" s="36"/>
      <c r="W725" s="36"/>
      <c r="X725" s="36"/>
      <c r="Y725" s="36"/>
      <c r="Z725" s="36"/>
    </row>
    <row r="726" spans="1:26">
      <c r="A726" s="36"/>
      <c r="B726" s="36"/>
      <c r="C726" s="36"/>
      <c r="D726" s="36"/>
      <c r="E726" s="36"/>
      <c r="F726" s="36"/>
      <c r="G726" s="36"/>
      <c r="H726" s="36"/>
      <c r="I726" s="36"/>
      <c r="J726" s="36"/>
      <c r="K726" s="36"/>
      <c r="L726" s="36"/>
      <c r="M726" s="36"/>
      <c r="N726" s="36"/>
      <c r="O726" s="36"/>
      <c r="P726" s="36"/>
      <c r="Q726" s="36"/>
      <c r="R726" s="36"/>
      <c r="S726" s="36"/>
      <c r="T726" s="36"/>
      <c r="U726" s="36"/>
      <c r="V726" s="36"/>
      <c r="W726" s="36"/>
      <c r="X726" s="36"/>
      <c r="Y726" s="36"/>
      <c r="Z726" s="36"/>
    </row>
    <row r="727" spans="1:26">
      <c r="A727" s="36"/>
      <c r="B727" s="36"/>
      <c r="C727" s="36"/>
      <c r="D727" s="36"/>
      <c r="E727" s="36"/>
      <c r="F727" s="36"/>
      <c r="G727" s="36"/>
      <c r="H727" s="36"/>
      <c r="I727" s="36"/>
      <c r="J727" s="36"/>
      <c r="K727" s="36"/>
      <c r="L727" s="36"/>
      <c r="M727" s="36"/>
      <c r="N727" s="36"/>
      <c r="O727" s="36"/>
      <c r="P727" s="36"/>
      <c r="Q727" s="36"/>
      <c r="R727" s="36"/>
      <c r="S727" s="36"/>
      <c r="T727" s="36"/>
      <c r="U727" s="36"/>
      <c r="V727" s="36"/>
      <c r="W727" s="36"/>
      <c r="X727" s="36"/>
      <c r="Y727" s="36"/>
      <c r="Z727" s="36"/>
    </row>
    <row r="728" spans="1:26">
      <c r="A728" s="36"/>
      <c r="B728" s="36"/>
      <c r="C728" s="36"/>
      <c r="D728" s="36"/>
      <c r="E728" s="36"/>
      <c r="F728" s="36"/>
      <c r="G728" s="36"/>
      <c r="H728" s="36"/>
      <c r="I728" s="36"/>
      <c r="J728" s="36"/>
      <c r="K728" s="36"/>
      <c r="L728" s="36"/>
      <c r="M728" s="36"/>
      <c r="N728" s="36"/>
      <c r="O728" s="36"/>
      <c r="P728" s="36"/>
      <c r="Q728" s="36"/>
      <c r="R728" s="36"/>
      <c r="S728" s="36"/>
      <c r="T728" s="36"/>
      <c r="U728" s="36"/>
      <c r="V728" s="36"/>
      <c r="W728" s="36"/>
      <c r="X728" s="36"/>
      <c r="Y728" s="36"/>
      <c r="Z728" s="36"/>
    </row>
    <row r="729" spans="1:26">
      <c r="A729" s="36"/>
      <c r="B729" s="36"/>
      <c r="C729" s="36"/>
      <c r="D729" s="36"/>
      <c r="E729" s="36"/>
      <c r="F729" s="36"/>
      <c r="G729" s="36"/>
      <c r="H729" s="36"/>
      <c r="I729" s="36"/>
      <c r="J729" s="36"/>
      <c r="K729" s="36"/>
      <c r="L729" s="36"/>
      <c r="M729" s="36"/>
      <c r="N729" s="36"/>
      <c r="O729" s="36"/>
      <c r="P729" s="36"/>
      <c r="Q729" s="36"/>
      <c r="R729" s="36"/>
      <c r="S729" s="36"/>
      <c r="T729" s="36"/>
      <c r="U729" s="36"/>
      <c r="V729" s="36"/>
      <c r="W729" s="36"/>
      <c r="X729" s="36"/>
      <c r="Y729" s="36"/>
      <c r="Z729" s="36"/>
    </row>
    <row r="730" spans="1:26">
      <c r="A730" s="36"/>
      <c r="B730" s="36"/>
      <c r="C730" s="36"/>
      <c r="D730" s="36"/>
      <c r="E730" s="36"/>
      <c r="F730" s="36"/>
      <c r="G730" s="36"/>
      <c r="H730" s="36"/>
      <c r="I730" s="36"/>
      <c r="J730" s="36"/>
      <c r="K730" s="36"/>
      <c r="L730" s="36"/>
      <c r="M730" s="36"/>
      <c r="N730" s="36"/>
      <c r="O730" s="36"/>
      <c r="P730" s="36"/>
      <c r="Q730" s="36"/>
      <c r="R730" s="36"/>
      <c r="S730" s="36"/>
      <c r="T730" s="36"/>
      <c r="U730" s="36"/>
      <c r="V730" s="36"/>
      <c r="W730" s="36"/>
      <c r="X730" s="36"/>
      <c r="Y730" s="36"/>
      <c r="Z730" s="36"/>
    </row>
    <row r="731" spans="1:26">
      <c r="A731" s="36"/>
      <c r="B731" s="36"/>
      <c r="C731" s="36"/>
      <c r="D731" s="36"/>
      <c r="E731" s="36"/>
      <c r="F731" s="36"/>
      <c r="G731" s="36"/>
      <c r="H731" s="36"/>
      <c r="I731" s="36"/>
      <c r="J731" s="36"/>
      <c r="K731" s="36"/>
      <c r="L731" s="36"/>
      <c r="M731" s="36"/>
      <c r="N731" s="36"/>
      <c r="O731" s="36"/>
      <c r="P731" s="36"/>
      <c r="Q731" s="36"/>
      <c r="R731" s="36"/>
      <c r="S731" s="36"/>
      <c r="T731" s="36"/>
      <c r="U731" s="36"/>
      <c r="V731" s="36"/>
      <c r="W731" s="36"/>
      <c r="X731" s="36"/>
      <c r="Y731" s="36"/>
      <c r="Z731" s="36"/>
    </row>
    <row r="732" spans="1:26">
      <c r="A732" s="36"/>
      <c r="B732" s="36"/>
      <c r="C732" s="36"/>
      <c r="D732" s="36"/>
      <c r="E732" s="36"/>
      <c r="F732" s="36"/>
      <c r="G732" s="36"/>
      <c r="H732" s="36"/>
      <c r="I732" s="36"/>
      <c r="J732" s="36"/>
      <c r="K732" s="36"/>
      <c r="L732" s="36"/>
      <c r="M732" s="36"/>
      <c r="N732" s="36"/>
      <c r="O732" s="36"/>
      <c r="P732" s="36"/>
      <c r="Q732" s="36"/>
      <c r="R732" s="36"/>
      <c r="S732" s="36"/>
      <c r="T732" s="36"/>
      <c r="U732" s="36"/>
      <c r="V732" s="36"/>
      <c r="W732" s="36"/>
      <c r="X732" s="36"/>
      <c r="Y732" s="36"/>
      <c r="Z732" s="36"/>
    </row>
    <row r="733" spans="1:26">
      <c r="A733" s="36"/>
      <c r="B733" s="36"/>
      <c r="C733" s="36"/>
      <c r="D733" s="36"/>
      <c r="E733" s="36"/>
      <c r="F733" s="36"/>
      <c r="G733" s="36"/>
      <c r="H733" s="36"/>
      <c r="I733" s="36"/>
      <c r="J733" s="36"/>
      <c r="K733" s="36"/>
      <c r="L733" s="36"/>
      <c r="M733" s="36"/>
      <c r="N733" s="36"/>
      <c r="O733" s="36"/>
      <c r="P733" s="36"/>
      <c r="Q733" s="36"/>
      <c r="R733" s="36"/>
      <c r="S733" s="36"/>
      <c r="T733" s="36"/>
      <c r="U733" s="36"/>
      <c r="V733" s="36"/>
      <c r="W733" s="36"/>
      <c r="X733" s="36"/>
      <c r="Y733" s="36"/>
      <c r="Z733" s="36"/>
    </row>
    <row r="734" spans="1:26">
      <c r="A734" s="36"/>
      <c r="B734" s="36"/>
      <c r="C734" s="36"/>
      <c r="D734" s="36"/>
      <c r="E734" s="36"/>
      <c r="F734" s="36"/>
      <c r="G734" s="36"/>
      <c r="H734" s="36"/>
      <c r="I734" s="36"/>
      <c r="J734" s="36"/>
      <c r="K734" s="36"/>
      <c r="L734" s="36"/>
      <c r="M734" s="36"/>
      <c r="N734" s="36"/>
      <c r="O734" s="36"/>
      <c r="P734" s="36"/>
      <c r="Q734" s="36"/>
      <c r="R734" s="36"/>
      <c r="S734" s="36"/>
      <c r="T734" s="36"/>
      <c r="U734" s="36"/>
      <c r="V734" s="36"/>
      <c r="W734" s="36"/>
      <c r="X734" s="36"/>
      <c r="Y734" s="36"/>
      <c r="Z734" s="36"/>
    </row>
    <row r="735" spans="1:26">
      <c r="A735" s="36"/>
      <c r="B735" s="36"/>
      <c r="C735" s="36"/>
      <c r="D735" s="36"/>
      <c r="E735" s="36"/>
      <c r="F735" s="36"/>
      <c r="G735" s="36"/>
      <c r="H735" s="36"/>
      <c r="I735" s="36"/>
      <c r="J735" s="36"/>
      <c r="K735" s="36"/>
      <c r="L735" s="36"/>
      <c r="M735" s="36"/>
      <c r="N735" s="36"/>
      <c r="O735" s="36"/>
      <c r="P735" s="36"/>
      <c r="Q735" s="36"/>
      <c r="R735" s="36"/>
      <c r="S735" s="36"/>
      <c r="T735" s="36"/>
      <c r="U735" s="36"/>
      <c r="V735" s="36"/>
      <c r="W735" s="36"/>
      <c r="X735" s="36"/>
      <c r="Y735" s="36"/>
      <c r="Z735" s="36"/>
    </row>
    <row r="736" spans="1:26">
      <c r="A736" s="36"/>
      <c r="B736" s="36"/>
      <c r="C736" s="36"/>
      <c r="D736" s="36"/>
      <c r="E736" s="36"/>
      <c r="F736" s="36"/>
      <c r="G736" s="36"/>
      <c r="H736" s="36"/>
      <c r="I736" s="36"/>
      <c r="J736" s="36"/>
      <c r="K736" s="36"/>
      <c r="L736" s="36"/>
      <c r="M736" s="36"/>
      <c r="N736" s="36"/>
      <c r="O736" s="36"/>
      <c r="P736" s="36"/>
      <c r="Q736" s="36"/>
      <c r="R736" s="36"/>
      <c r="S736" s="36"/>
      <c r="T736" s="36"/>
      <c r="U736" s="36"/>
      <c r="V736" s="36"/>
      <c r="W736" s="36"/>
      <c r="X736" s="36"/>
      <c r="Y736" s="36"/>
      <c r="Z736" s="36"/>
    </row>
    <row r="737" spans="1:26">
      <c r="A737" s="36"/>
      <c r="B737" s="36"/>
      <c r="C737" s="36"/>
      <c r="D737" s="36"/>
      <c r="E737" s="36"/>
      <c r="F737" s="36"/>
      <c r="G737" s="36"/>
      <c r="H737" s="36"/>
      <c r="I737" s="36"/>
      <c r="J737" s="36"/>
      <c r="K737" s="36"/>
      <c r="L737" s="36"/>
      <c r="M737" s="36"/>
      <c r="N737" s="36"/>
      <c r="O737" s="36"/>
      <c r="P737" s="36"/>
      <c r="Q737" s="36"/>
      <c r="R737" s="36"/>
      <c r="S737" s="36"/>
      <c r="T737" s="36"/>
      <c r="U737" s="36"/>
      <c r="V737" s="36"/>
      <c r="W737" s="36"/>
      <c r="X737" s="36"/>
      <c r="Y737" s="36"/>
      <c r="Z737" s="36"/>
    </row>
    <row r="738" spans="1:26">
      <c r="A738" s="36"/>
      <c r="B738" s="36"/>
      <c r="C738" s="36"/>
      <c r="D738" s="36"/>
      <c r="E738" s="36"/>
      <c r="F738" s="36"/>
      <c r="G738" s="36"/>
      <c r="H738" s="36"/>
      <c r="I738" s="36"/>
      <c r="J738" s="36"/>
      <c r="K738" s="36"/>
      <c r="L738" s="36"/>
      <c r="M738" s="36"/>
      <c r="N738" s="36"/>
      <c r="O738" s="36"/>
      <c r="P738" s="36"/>
      <c r="Q738" s="36"/>
      <c r="R738" s="36"/>
      <c r="S738" s="36"/>
      <c r="T738" s="36"/>
      <c r="U738" s="36"/>
      <c r="V738" s="36"/>
      <c r="W738" s="36"/>
      <c r="X738" s="36"/>
      <c r="Y738" s="36"/>
      <c r="Z738" s="36"/>
    </row>
    <row r="739" spans="1:26">
      <c r="A739" s="36"/>
      <c r="B739" s="36"/>
      <c r="C739" s="36"/>
      <c r="D739" s="36"/>
      <c r="E739" s="36"/>
      <c r="F739" s="36"/>
      <c r="G739" s="36"/>
      <c r="H739" s="36"/>
      <c r="I739" s="36"/>
      <c r="J739" s="36"/>
      <c r="K739" s="36"/>
      <c r="L739" s="36"/>
      <c r="M739" s="36"/>
      <c r="N739" s="36"/>
      <c r="O739" s="36"/>
      <c r="P739" s="36"/>
      <c r="Q739" s="36"/>
      <c r="R739" s="36"/>
      <c r="S739" s="36"/>
      <c r="T739" s="36"/>
      <c r="U739" s="36"/>
      <c r="V739" s="36"/>
      <c r="W739" s="36"/>
      <c r="X739" s="36"/>
      <c r="Y739" s="36"/>
      <c r="Z739" s="36"/>
    </row>
    <row r="740" spans="1:26">
      <c r="A740" s="36"/>
      <c r="B740" s="36"/>
      <c r="C740" s="36"/>
      <c r="D740" s="36"/>
      <c r="E740" s="36"/>
      <c r="F740" s="36"/>
      <c r="G740" s="36"/>
      <c r="H740" s="36"/>
      <c r="I740" s="36"/>
      <c r="J740" s="36"/>
      <c r="K740" s="36"/>
      <c r="L740" s="36"/>
      <c r="M740" s="36"/>
      <c r="N740" s="36"/>
      <c r="O740" s="36"/>
      <c r="P740" s="36"/>
      <c r="Q740" s="36"/>
      <c r="R740" s="36"/>
      <c r="S740" s="36"/>
      <c r="T740" s="36"/>
      <c r="U740" s="36"/>
      <c r="V740" s="36"/>
      <c r="W740" s="36"/>
      <c r="X740" s="36"/>
      <c r="Y740" s="36"/>
      <c r="Z740" s="36"/>
    </row>
    <row r="741" spans="1:26">
      <c r="A741" s="36"/>
      <c r="B741" s="36"/>
      <c r="C741" s="36"/>
      <c r="D741" s="36"/>
      <c r="E741" s="36"/>
      <c r="F741" s="36"/>
      <c r="G741" s="36"/>
      <c r="H741" s="36"/>
      <c r="I741" s="36"/>
      <c r="J741" s="36"/>
      <c r="K741" s="36"/>
      <c r="L741" s="36"/>
      <c r="M741" s="36"/>
      <c r="N741" s="36"/>
      <c r="O741" s="36"/>
      <c r="P741" s="36"/>
      <c r="Q741" s="36"/>
      <c r="R741" s="36"/>
      <c r="S741" s="36"/>
      <c r="T741" s="36"/>
      <c r="U741" s="36"/>
      <c r="V741" s="36"/>
      <c r="W741" s="36"/>
      <c r="X741" s="36"/>
      <c r="Y741" s="36"/>
      <c r="Z741" s="36"/>
    </row>
    <row r="742" spans="1:26">
      <c r="A742" s="36"/>
      <c r="B742" s="36"/>
      <c r="C742" s="36"/>
      <c r="D742" s="36"/>
      <c r="E742" s="36"/>
      <c r="F742" s="36"/>
      <c r="G742" s="36"/>
      <c r="H742" s="36"/>
      <c r="I742" s="36"/>
      <c r="J742" s="36"/>
      <c r="K742" s="36"/>
      <c r="L742" s="36"/>
      <c r="M742" s="36"/>
      <c r="N742" s="36"/>
      <c r="O742" s="36"/>
      <c r="P742" s="36"/>
      <c r="Q742" s="36"/>
      <c r="R742" s="36"/>
      <c r="S742" s="36"/>
      <c r="T742" s="36"/>
      <c r="U742" s="36"/>
      <c r="V742" s="36"/>
      <c r="W742" s="36"/>
      <c r="X742" s="36"/>
      <c r="Y742" s="36"/>
      <c r="Z742" s="36"/>
    </row>
    <row r="743" spans="1:26">
      <c r="A743" s="36"/>
      <c r="B743" s="36"/>
      <c r="C743" s="36"/>
      <c r="D743" s="36"/>
      <c r="E743" s="36"/>
      <c r="F743" s="36"/>
      <c r="G743" s="36"/>
      <c r="H743" s="36"/>
      <c r="I743" s="36"/>
      <c r="J743" s="36"/>
      <c r="K743" s="36"/>
      <c r="L743" s="36"/>
      <c r="M743" s="36"/>
      <c r="N743" s="36"/>
      <c r="O743" s="36"/>
      <c r="P743" s="36"/>
      <c r="Q743" s="36"/>
      <c r="R743" s="36"/>
      <c r="S743" s="36"/>
      <c r="T743" s="36"/>
      <c r="U743" s="36"/>
      <c r="V743" s="36"/>
      <c r="W743" s="36"/>
      <c r="X743" s="36"/>
      <c r="Y743" s="36"/>
      <c r="Z743" s="36"/>
    </row>
    <row r="744" spans="1:26">
      <c r="A744" s="36"/>
      <c r="B744" s="36"/>
      <c r="C744" s="36"/>
      <c r="D744" s="36"/>
      <c r="E744" s="36"/>
      <c r="F744" s="36"/>
      <c r="G744" s="36"/>
      <c r="H744" s="36"/>
      <c r="I744" s="36"/>
      <c r="J744" s="36"/>
      <c r="K744" s="36"/>
      <c r="L744" s="36"/>
      <c r="M744" s="36"/>
      <c r="N744" s="36"/>
      <c r="O744" s="36"/>
      <c r="P744" s="36"/>
      <c r="Q744" s="36"/>
      <c r="R744" s="36"/>
      <c r="S744" s="36"/>
      <c r="T744" s="36"/>
      <c r="U744" s="36"/>
      <c r="V744" s="36"/>
      <c r="W744" s="36"/>
      <c r="X744" s="36"/>
      <c r="Y744" s="36"/>
      <c r="Z744" s="36"/>
    </row>
    <row r="745" spans="1:26">
      <c r="A745" s="36"/>
      <c r="B745" s="36"/>
      <c r="C745" s="36"/>
      <c r="D745" s="36"/>
      <c r="E745" s="36"/>
      <c r="F745" s="36"/>
      <c r="G745" s="36"/>
      <c r="H745" s="36"/>
      <c r="I745" s="36"/>
      <c r="J745" s="36"/>
      <c r="K745" s="36"/>
      <c r="L745" s="36"/>
      <c r="M745" s="36"/>
      <c r="N745" s="36"/>
      <c r="O745" s="36"/>
      <c r="P745" s="36"/>
      <c r="Q745" s="36"/>
      <c r="R745" s="36"/>
      <c r="S745" s="36"/>
      <c r="T745" s="36"/>
      <c r="U745" s="36"/>
      <c r="V745" s="36"/>
      <c r="W745" s="36"/>
      <c r="X745" s="36"/>
      <c r="Y745" s="36"/>
      <c r="Z745" s="36"/>
    </row>
    <row r="746" spans="1:26">
      <c r="A746" s="36"/>
      <c r="B746" s="36"/>
      <c r="C746" s="36"/>
      <c r="D746" s="36"/>
      <c r="E746" s="36"/>
      <c r="F746" s="36"/>
      <c r="G746" s="36"/>
      <c r="H746" s="36"/>
      <c r="I746" s="36"/>
      <c r="J746" s="36"/>
      <c r="K746" s="36"/>
      <c r="L746" s="36"/>
      <c r="M746" s="36"/>
      <c r="N746" s="36"/>
      <c r="O746" s="36"/>
      <c r="P746" s="36"/>
      <c r="Q746" s="36"/>
      <c r="R746" s="36"/>
      <c r="S746" s="36"/>
      <c r="T746" s="36"/>
      <c r="U746" s="36"/>
      <c r="V746" s="36"/>
      <c r="W746" s="36"/>
      <c r="X746" s="36"/>
      <c r="Y746" s="36"/>
      <c r="Z746" s="36"/>
    </row>
    <row r="747" spans="1:26">
      <c r="A747" s="36"/>
      <c r="B747" s="36"/>
      <c r="C747" s="36"/>
      <c r="D747" s="36"/>
      <c r="E747" s="36"/>
      <c r="F747" s="36"/>
      <c r="G747" s="36"/>
      <c r="H747" s="36"/>
      <c r="I747" s="36"/>
      <c r="J747" s="36"/>
      <c r="K747" s="36"/>
      <c r="L747" s="36"/>
      <c r="M747" s="36"/>
      <c r="N747" s="36"/>
      <c r="O747" s="36"/>
      <c r="P747" s="36"/>
      <c r="Q747" s="36"/>
      <c r="R747" s="36"/>
      <c r="S747" s="36"/>
      <c r="T747" s="36"/>
      <c r="U747" s="36"/>
      <c r="V747" s="36"/>
      <c r="W747" s="36"/>
      <c r="X747" s="36"/>
      <c r="Y747" s="36"/>
      <c r="Z747" s="36"/>
    </row>
    <row r="748" spans="1:26">
      <c r="A748" s="36"/>
      <c r="B748" s="36"/>
      <c r="C748" s="36"/>
      <c r="D748" s="36"/>
      <c r="E748" s="36"/>
      <c r="F748" s="36"/>
      <c r="G748" s="36"/>
      <c r="H748" s="36"/>
      <c r="I748" s="36"/>
      <c r="J748" s="36"/>
      <c r="K748" s="36"/>
      <c r="L748" s="36"/>
      <c r="M748" s="36"/>
      <c r="N748" s="36"/>
      <c r="O748" s="36"/>
      <c r="P748" s="36"/>
      <c r="Q748" s="36"/>
      <c r="R748" s="36"/>
      <c r="S748" s="36"/>
      <c r="T748" s="36"/>
      <c r="U748" s="36"/>
      <c r="V748" s="36"/>
      <c r="W748" s="36"/>
      <c r="X748" s="36"/>
      <c r="Y748" s="36"/>
      <c r="Z748" s="36"/>
    </row>
    <row r="749" spans="1:26">
      <c r="A749" s="36"/>
      <c r="B749" s="36"/>
      <c r="C749" s="36"/>
      <c r="D749" s="36"/>
      <c r="E749" s="36"/>
      <c r="F749" s="36"/>
      <c r="G749" s="36"/>
      <c r="H749" s="36"/>
      <c r="I749" s="36"/>
      <c r="J749" s="36"/>
      <c r="K749" s="36"/>
      <c r="L749" s="36"/>
      <c r="M749" s="36"/>
      <c r="N749" s="36"/>
      <c r="O749" s="36"/>
      <c r="P749" s="36"/>
      <c r="Q749" s="36"/>
      <c r="R749" s="36"/>
      <c r="S749" s="36"/>
      <c r="T749" s="36"/>
      <c r="U749" s="36"/>
      <c r="V749" s="36"/>
      <c r="W749" s="36"/>
      <c r="X749" s="36"/>
      <c r="Y749" s="36"/>
      <c r="Z749" s="36"/>
    </row>
    <row r="750" spans="1:26">
      <c r="A750" s="36"/>
      <c r="B750" s="36"/>
      <c r="C750" s="36"/>
      <c r="D750" s="36"/>
      <c r="E750" s="36"/>
      <c r="F750" s="36"/>
      <c r="G750" s="36"/>
      <c r="H750" s="36"/>
      <c r="I750" s="36"/>
      <c r="J750" s="36"/>
      <c r="K750" s="36"/>
      <c r="L750" s="36"/>
      <c r="M750" s="36"/>
      <c r="N750" s="36"/>
      <c r="O750" s="36"/>
      <c r="P750" s="36"/>
      <c r="Q750" s="36"/>
      <c r="R750" s="36"/>
      <c r="S750" s="36"/>
      <c r="T750" s="36"/>
      <c r="U750" s="36"/>
      <c r="V750" s="36"/>
      <c r="W750" s="36"/>
      <c r="X750" s="36"/>
      <c r="Y750" s="36"/>
      <c r="Z750" s="36"/>
    </row>
    <row r="751" spans="1:26">
      <c r="A751" s="36"/>
      <c r="B751" s="36"/>
      <c r="C751" s="36"/>
      <c r="D751" s="36"/>
      <c r="E751" s="36"/>
      <c r="F751" s="36"/>
      <c r="G751" s="36"/>
      <c r="H751" s="36"/>
      <c r="I751" s="36"/>
      <c r="J751" s="36"/>
      <c r="K751" s="36"/>
      <c r="L751" s="36"/>
      <c r="M751" s="36"/>
      <c r="N751" s="36"/>
      <c r="O751" s="36"/>
      <c r="P751" s="36"/>
      <c r="Q751" s="36"/>
      <c r="R751" s="36"/>
      <c r="S751" s="36"/>
      <c r="T751" s="36"/>
      <c r="U751" s="36"/>
      <c r="V751" s="36"/>
      <c r="W751" s="36"/>
      <c r="X751" s="36"/>
      <c r="Y751" s="36"/>
      <c r="Z751" s="36"/>
    </row>
    <row r="752" spans="1:26">
      <c r="A752" s="36"/>
      <c r="B752" s="36"/>
      <c r="C752" s="36"/>
      <c r="D752" s="36"/>
      <c r="E752" s="36"/>
      <c r="F752" s="36"/>
      <c r="G752" s="36"/>
      <c r="H752" s="36"/>
      <c r="I752" s="36"/>
      <c r="J752" s="36"/>
      <c r="K752" s="36"/>
      <c r="L752" s="36"/>
      <c r="M752" s="36"/>
      <c r="N752" s="36"/>
      <c r="O752" s="36"/>
      <c r="P752" s="36"/>
      <c r="Q752" s="36"/>
      <c r="R752" s="36"/>
      <c r="S752" s="36"/>
      <c r="T752" s="36"/>
      <c r="U752" s="36"/>
      <c r="V752" s="36"/>
      <c r="W752" s="36"/>
      <c r="X752" s="36"/>
      <c r="Y752" s="36"/>
      <c r="Z752" s="36"/>
    </row>
    <row r="753" spans="1:26">
      <c r="A753" s="36"/>
      <c r="B753" s="36"/>
      <c r="C753" s="36"/>
      <c r="D753" s="36"/>
      <c r="E753" s="36"/>
      <c r="F753" s="36"/>
      <c r="G753" s="36"/>
      <c r="H753" s="36"/>
      <c r="I753" s="36"/>
      <c r="J753" s="36"/>
      <c r="K753" s="36"/>
      <c r="L753" s="36"/>
      <c r="M753" s="36"/>
      <c r="N753" s="36"/>
      <c r="O753" s="36"/>
      <c r="P753" s="36"/>
      <c r="Q753" s="36"/>
      <c r="R753" s="36"/>
      <c r="S753" s="36"/>
      <c r="T753" s="36"/>
      <c r="U753" s="36"/>
      <c r="V753" s="36"/>
      <c r="W753" s="36"/>
      <c r="X753" s="36"/>
      <c r="Y753" s="36"/>
      <c r="Z753" s="36"/>
    </row>
    <row r="754" spans="1:26">
      <c r="A754" s="36"/>
      <c r="B754" s="36"/>
      <c r="C754" s="36"/>
      <c r="D754" s="36"/>
      <c r="E754" s="36"/>
      <c r="F754" s="36"/>
      <c r="G754" s="36"/>
      <c r="H754" s="36"/>
      <c r="I754" s="36"/>
      <c r="J754" s="36"/>
      <c r="K754" s="36"/>
      <c r="L754" s="36"/>
      <c r="M754" s="36"/>
      <c r="N754" s="36"/>
      <c r="O754" s="36"/>
      <c r="P754" s="36"/>
      <c r="Q754" s="36"/>
      <c r="R754" s="36"/>
      <c r="S754" s="36"/>
      <c r="T754" s="36"/>
      <c r="U754" s="36"/>
      <c r="V754" s="36"/>
      <c r="W754" s="36"/>
      <c r="X754" s="36"/>
      <c r="Y754" s="36"/>
      <c r="Z754" s="36"/>
    </row>
    <row r="755" spans="1:26">
      <c r="A755" s="36"/>
      <c r="B755" s="36"/>
      <c r="C755" s="36"/>
      <c r="D755" s="36"/>
      <c r="E755" s="36"/>
      <c r="F755" s="36"/>
      <c r="G755" s="36"/>
      <c r="H755" s="36"/>
      <c r="I755" s="36"/>
      <c r="J755" s="36"/>
      <c r="K755" s="36"/>
      <c r="L755" s="36"/>
      <c r="M755" s="36"/>
      <c r="N755" s="36"/>
      <c r="O755" s="36"/>
      <c r="P755" s="36"/>
      <c r="Q755" s="36"/>
      <c r="R755" s="36"/>
      <c r="S755" s="36"/>
      <c r="T755" s="36"/>
      <c r="U755" s="36"/>
      <c r="V755" s="36"/>
      <c r="W755" s="36"/>
      <c r="X755" s="36"/>
      <c r="Y755" s="36"/>
      <c r="Z755" s="36"/>
    </row>
    <row r="756" spans="1:26">
      <c r="A756" s="36"/>
      <c r="B756" s="36"/>
      <c r="C756" s="36"/>
      <c r="D756" s="36"/>
      <c r="E756" s="36"/>
      <c r="F756" s="36"/>
      <c r="G756" s="36"/>
      <c r="H756" s="36"/>
      <c r="I756" s="36"/>
      <c r="J756" s="36"/>
      <c r="K756" s="36"/>
      <c r="L756" s="36"/>
      <c r="M756" s="36"/>
      <c r="N756" s="36"/>
      <c r="O756" s="36"/>
      <c r="P756" s="36"/>
      <c r="Q756" s="36"/>
      <c r="R756" s="36"/>
      <c r="S756" s="36"/>
      <c r="T756" s="36"/>
      <c r="U756" s="36"/>
      <c r="V756" s="36"/>
      <c r="W756" s="36"/>
      <c r="X756" s="36"/>
      <c r="Y756" s="36"/>
      <c r="Z756" s="36"/>
    </row>
    <row r="757" spans="1:26">
      <c r="A757" s="36"/>
      <c r="B757" s="36"/>
      <c r="C757" s="36"/>
      <c r="D757" s="36"/>
      <c r="E757" s="36"/>
      <c r="F757" s="36"/>
      <c r="G757" s="36"/>
      <c r="H757" s="36"/>
      <c r="I757" s="36"/>
      <c r="J757" s="36"/>
      <c r="K757" s="36"/>
      <c r="L757" s="36"/>
      <c r="M757" s="36"/>
      <c r="N757" s="36"/>
      <c r="O757" s="36"/>
      <c r="P757" s="36"/>
      <c r="Q757" s="36"/>
      <c r="R757" s="36"/>
      <c r="S757" s="36"/>
      <c r="T757" s="36"/>
      <c r="U757" s="36"/>
      <c r="V757" s="36"/>
      <c r="W757" s="36"/>
      <c r="X757" s="36"/>
      <c r="Y757" s="36"/>
      <c r="Z757" s="36"/>
    </row>
    <row r="758" spans="1:26">
      <c r="A758" s="36"/>
      <c r="B758" s="36"/>
      <c r="C758" s="36"/>
      <c r="D758" s="36"/>
      <c r="E758" s="36"/>
      <c r="F758" s="36"/>
      <c r="G758" s="36"/>
      <c r="H758" s="36"/>
      <c r="I758" s="36"/>
      <c r="J758" s="36"/>
      <c r="K758" s="36"/>
      <c r="L758" s="36"/>
      <c r="M758" s="36"/>
      <c r="N758" s="36"/>
      <c r="O758" s="36"/>
      <c r="P758" s="36"/>
      <c r="Q758" s="36"/>
      <c r="R758" s="36"/>
      <c r="S758" s="36"/>
      <c r="T758" s="36"/>
      <c r="U758" s="36"/>
      <c r="V758" s="36"/>
      <c r="W758" s="36"/>
      <c r="X758" s="36"/>
      <c r="Y758" s="36"/>
      <c r="Z758" s="36"/>
    </row>
    <row r="759" spans="1:26">
      <c r="A759" s="36"/>
      <c r="B759" s="36"/>
      <c r="C759" s="36"/>
      <c r="D759" s="36"/>
      <c r="E759" s="36"/>
      <c r="F759" s="36"/>
      <c r="G759" s="36"/>
      <c r="H759" s="36"/>
      <c r="I759" s="36"/>
      <c r="J759" s="36"/>
      <c r="K759" s="36"/>
      <c r="L759" s="36"/>
      <c r="M759" s="36"/>
      <c r="N759" s="36"/>
      <c r="O759" s="36"/>
      <c r="P759" s="36"/>
      <c r="Q759" s="36"/>
      <c r="R759" s="36"/>
      <c r="S759" s="36"/>
      <c r="T759" s="36"/>
      <c r="U759" s="36"/>
      <c r="V759" s="36"/>
      <c r="W759" s="36"/>
      <c r="X759" s="36"/>
      <c r="Y759" s="36"/>
      <c r="Z759" s="36"/>
    </row>
    <row r="760" spans="1:26">
      <c r="A760" s="36"/>
      <c r="B760" s="36"/>
      <c r="C760" s="36"/>
      <c r="D760" s="36"/>
      <c r="E760" s="36"/>
      <c r="F760" s="36"/>
      <c r="G760" s="36"/>
      <c r="H760" s="36"/>
      <c r="I760" s="36"/>
      <c r="J760" s="36"/>
      <c r="K760" s="36"/>
      <c r="L760" s="36"/>
      <c r="M760" s="36"/>
      <c r="N760" s="36"/>
      <c r="O760" s="36"/>
      <c r="P760" s="36"/>
      <c r="Q760" s="36"/>
      <c r="R760" s="36"/>
      <c r="S760" s="36"/>
      <c r="T760" s="36"/>
      <c r="U760" s="36"/>
      <c r="V760" s="36"/>
      <c r="W760" s="36"/>
      <c r="X760" s="36"/>
      <c r="Y760" s="36"/>
      <c r="Z760" s="36"/>
    </row>
    <row r="761" spans="1:26">
      <c r="A761" s="36"/>
      <c r="B761" s="36"/>
      <c r="C761" s="36"/>
      <c r="D761" s="36"/>
      <c r="E761" s="36"/>
      <c r="F761" s="36"/>
      <c r="G761" s="36"/>
      <c r="H761" s="36"/>
      <c r="I761" s="36"/>
      <c r="J761" s="36"/>
      <c r="K761" s="36"/>
      <c r="L761" s="36"/>
      <c r="M761" s="36"/>
      <c r="N761" s="36"/>
      <c r="O761" s="36"/>
      <c r="P761" s="36"/>
      <c r="Q761" s="36"/>
      <c r="R761" s="36"/>
      <c r="S761" s="36"/>
      <c r="T761" s="36"/>
      <c r="U761" s="36"/>
      <c r="V761" s="36"/>
      <c r="W761" s="36"/>
      <c r="X761" s="36"/>
      <c r="Y761" s="36"/>
      <c r="Z761" s="36"/>
    </row>
    <row r="762" spans="1:26">
      <c r="A762" s="36"/>
      <c r="B762" s="36"/>
      <c r="C762" s="36"/>
      <c r="D762" s="36"/>
      <c r="E762" s="36"/>
      <c r="F762" s="36"/>
      <c r="G762" s="36"/>
      <c r="H762" s="36"/>
      <c r="I762" s="36"/>
      <c r="J762" s="36"/>
      <c r="K762" s="36"/>
      <c r="L762" s="36"/>
      <c r="M762" s="36"/>
      <c r="N762" s="36"/>
      <c r="O762" s="36"/>
      <c r="P762" s="36"/>
      <c r="Q762" s="36"/>
      <c r="R762" s="36"/>
      <c r="S762" s="36"/>
      <c r="T762" s="36"/>
      <c r="U762" s="36"/>
      <c r="V762" s="36"/>
      <c r="W762" s="36"/>
      <c r="X762" s="36"/>
      <c r="Y762" s="36"/>
      <c r="Z762" s="36"/>
    </row>
    <row r="763" spans="1:26">
      <c r="A763" s="36"/>
      <c r="B763" s="36"/>
      <c r="C763" s="36"/>
      <c r="D763" s="36"/>
      <c r="E763" s="36"/>
      <c r="F763" s="36"/>
      <c r="G763" s="36"/>
      <c r="H763" s="36"/>
      <c r="I763" s="36"/>
      <c r="J763" s="36"/>
      <c r="K763" s="36"/>
      <c r="L763" s="36"/>
      <c r="M763" s="36"/>
      <c r="N763" s="36"/>
      <c r="O763" s="36"/>
      <c r="P763" s="36"/>
      <c r="Q763" s="36"/>
      <c r="R763" s="36"/>
      <c r="S763" s="36"/>
      <c r="T763" s="36"/>
      <c r="U763" s="36"/>
      <c r="V763" s="36"/>
      <c r="W763" s="36"/>
      <c r="X763" s="36"/>
      <c r="Y763" s="36"/>
      <c r="Z763" s="36"/>
    </row>
    <row r="764" spans="1:26">
      <c r="A764" s="36"/>
      <c r="B764" s="36"/>
      <c r="C764" s="36"/>
      <c r="D764" s="36"/>
      <c r="E764" s="36"/>
      <c r="F764" s="36"/>
      <c r="G764" s="36"/>
      <c r="H764" s="36"/>
      <c r="I764" s="36"/>
      <c r="J764" s="36"/>
      <c r="K764" s="36"/>
      <c r="L764" s="36"/>
      <c r="M764" s="36"/>
      <c r="N764" s="36"/>
      <c r="O764" s="36"/>
      <c r="P764" s="36"/>
      <c r="Q764" s="36"/>
      <c r="R764" s="36"/>
      <c r="S764" s="36"/>
      <c r="T764" s="36"/>
      <c r="U764" s="36"/>
      <c r="V764" s="36"/>
      <c r="W764" s="36"/>
      <c r="X764" s="36"/>
      <c r="Y764" s="36"/>
      <c r="Z764" s="36"/>
    </row>
    <row r="765" spans="1:26">
      <c r="A765" s="36"/>
      <c r="B765" s="36"/>
      <c r="C765" s="36"/>
      <c r="D765" s="36"/>
      <c r="E765" s="36"/>
      <c r="F765" s="36"/>
      <c r="G765" s="36"/>
      <c r="H765" s="36"/>
      <c r="I765" s="36"/>
      <c r="J765" s="36"/>
      <c r="K765" s="36"/>
      <c r="L765" s="36"/>
      <c r="M765" s="36"/>
      <c r="N765" s="36"/>
      <c r="O765" s="36"/>
      <c r="P765" s="36"/>
      <c r="Q765" s="36"/>
      <c r="R765" s="36"/>
      <c r="S765" s="36"/>
      <c r="T765" s="36"/>
      <c r="U765" s="36"/>
      <c r="V765" s="36"/>
      <c r="W765" s="36"/>
      <c r="X765" s="36"/>
      <c r="Y765" s="36"/>
      <c r="Z765" s="36"/>
    </row>
    <row r="766" spans="1:26">
      <c r="A766" s="36"/>
      <c r="B766" s="36"/>
      <c r="C766" s="36"/>
      <c r="D766" s="36"/>
      <c r="E766" s="36"/>
      <c r="F766" s="36"/>
      <c r="G766" s="36"/>
      <c r="H766" s="36"/>
      <c r="I766" s="36"/>
      <c r="J766" s="36"/>
      <c r="K766" s="36"/>
      <c r="L766" s="36"/>
      <c r="M766" s="36"/>
      <c r="N766" s="36"/>
      <c r="O766" s="36"/>
      <c r="P766" s="36"/>
      <c r="Q766" s="36"/>
      <c r="R766" s="36"/>
      <c r="S766" s="36"/>
      <c r="T766" s="36"/>
      <c r="U766" s="36"/>
      <c r="V766" s="36"/>
      <c r="W766" s="36"/>
      <c r="X766" s="36"/>
      <c r="Y766" s="36"/>
      <c r="Z766" s="36"/>
    </row>
    <row r="767" spans="1:26">
      <c r="A767" s="36"/>
      <c r="B767" s="36"/>
      <c r="C767" s="36"/>
      <c r="D767" s="36"/>
      <c r="E767" s="36"/>
      <c r="F767" s="36"/>
      <c r="G767" s="36"/>
      <c r="H767" s="36"/>
      <c r="I767" s="36"/>
      <c r="J767" s="36"/>
      <c r="K767" s="36"/>
      <c r="L767" s="36"/>
      <c r="M767" s="36"/>
      <c r="N767" s="36"/>
      <c r="O767" s="36"/>
      <c r="P767" s="36"/>
      <c r="Q767" s="36"/>
      <c r="R767" s="36"/>
      <c r="S767" s="36"/>
      <c r="T767" s="36"/>
      <c r="U767" s="36"/>
      <c r="V767" s="36"/>
      <c r="W767" s="36"/>
      <c r="X767" s="36"/>
      <c r="Y767" s="36"/>
      <c r="Z767" s="36"/>
    </row>
    <row r="768" spans="1:26">
      <c r="A768" s="36"/>
      <c r="B768" s="36"/>
      <c r="C768" s="36"/>
      <c r="D768" s="36"/>
      <c r="E768" s="36"/>
      <c r="F768" s="36"/>
      <c r="G768" s="36"/>
      <c r="H768" s="36"/>
      <c r="I768" s="36"/>
      <c r="J768" s="36"/>
      <c r="K768" s="36"/>
      <c r="L768" s="36"/>
      <c r="M768" s="36"/>
      <c r="N768" s="36"/>
      <c r="O768" s="36"/>
      <c r="P768" s="36"/>
      <c r="Q768" s="36"/>
      <c r="R768" s="36"/>
      <c r="S768" s="36"/>
      <c r="T768" s="36"/>
      <c r="U768" s="36"/>
      <c r="V768" s="36"/>
      <c r="W768" s="36"/>
      <c r="X768" s="36"/>
      <c r="Y768" s="36"/>
      <c r="Z768" s="36"/>
    </row>
    <row r="769" spans="1:26">
      <c r="A769" s="36"/>
      <c r="B769" s="36"/>
      <c r="C769" s="36"/>
      <c r="D769" s="36"/>
      <c r="E769" s="36"/>
      <c r="F769" s="36"/>
      <c r="G769" s="36"/>
      <c r="H769" s="36"/>
      <c r="I769" s="36"/>
      <c r="J769" s="36"/>
      <c r="K769" s="36"/>
      <c r="L769" s="36"/>
      <c r="M769" s="36"/>
      <c r="N769" s="36"/>
      <c r="O769" s="36"/>
      <c r="P769" s="36"/>
      <c r="Q769" s="36"/>
      <c r="R769" s="36"/>
      <c r="S769" s="36"/>
      <c r="T769" s="36"/>
      <c r="U769" s="36"/>
      <c r="V769" s="36"/>
      <c r="W769" s="36"/>
      <c r="X769" s="36"/>
      <c r="Y769" s="36"/>
      <c r="Z769" s="36"/>
    </row>
    <row r="770" spans="1:26">
      <c r="A770" s="36"/>
      <c r="B770" s="36"/>
      <c r="C770" s="36"/>
      <c r="D770" s="36"/>
      <c r="E770" s="36"/>
      <c r="F770" s="36"/>
      <c r="G770" s="36"/>
      <c r="H770" s="36"/>
      <c r="I770" s="36"/>
      <c r="J770" s="36"/>
      <c r="K770" s="36"/>
      <c r="L770" s="36"/>
      <c r="M770" s="36"/>
      <c r="N770" s="36"/>
      <c r="O770" s="36"/>
      <c r="P770" s="36"/>
      <c r="Q770" s="36"/>
      <c r="R770" s="36"/>
      <c r="S770" s="36"/>
      <c r="T770" s="36"/>
      <c r="U770" s="36"/>
      <c r="V770" s="36"/>
      <c r="W770" s="36"/>
      <c r="X770" s="36"/>
      <c r="Y770" s="36"/>
      <c r="Z770" s="36"/>
    </row>
    <row r="771" spans="1:26">
      <c r="A771" s="36"/>
      <c r="B771" s="36"/>
      <c r="C771" s="36"/>
      <c r="D771" s="36"/>
      <c r="E771" s="36"/>
      <c r="F771" s="36"/>
      <c r="G771" s="36"/>
      <c r="H771" s="36"/>
      <c r="I771" s="36"/>
      <c r="J771" s="36"/>
      <c r="K771" s="36"/>
      <c r="L771" s="36"/>
      <c r="M771" s="36"/>
      <c r="N771" s="36"/>
      <c r="O771" s="36"/>
      <c r="P771" s="36"/>
      <c r="Q771" s="36"/>
      <c r="R771" s="36"/>
      <c r="S771" s="36"/>
      <c r="T771" s="36"/>
      <c r="U771" s="36"/>
      <c r="V771" s="36"/>
      <c r="W771" s="36"/>
      <c r="X771" s="36"/>
      <c r="Y771" s="36"/>
      <c r="Z771" s="36"/>
    </row>
    <row r="772" spans="1:26">
      <c r="A772" s="36"/>
      <c r="B772" s="36"/>
      <c r="C772" s="36"/>
      <c r="D772" s="36"/>
      <c r="E772" s="36"/>
      <c r="F772" s="36"/>
      <c r="G772" s="36"/>
      <c r="H772" s="36"/>
      <c r="I772" s="36"/>
      <c r="J772" s="36"/>
      <c r="K772" s="36"/>
      <c r="L772" s="36"/>
      <c r="M772" s="36"/>
      <c r="N772" s="36"/>
      <c r="O772" s="36"/>
      <c r="P772" s="36"/>
      <c r="Q772" s="36"/>
      <c r="R772" s="36"/>
      <c r="S772" s="36"/>
      <c r="T772" s="36"/>
      <c r="U772" s="36"/>
      <c r="V772" s="36"/>
      <c r="W772" s="36"/>
      <c r="X772" s="36"/>
      <c r="Y772" s="36"/>
      <c r="Z772" s="36"/>
    </row>
    <row r="773" spans="1:26">
      <c r="A773" s="36"/>
      <c r="B773" s="36"/>
      <c r="C773" s="36"/>
      <c r="D773" s="36"/>
      <c r="E773" s="36"/>
      <c r="F773" s="36"/>
      <c r="G773" s="36"/>
      <c r="H773" s="36"/>
      <c r="I773" s="36"/>
      <c r="J773" s="36"/>
      <c r="K773" s="36"/>
      <c r="L773" s="36"/>
      <c r="M773" s="36"/>
      <c r="N773" s="36"/>
      <c r="O773" s="36"/>
      <c r="P773" s="36"/>
      <c r="Q773" s="36"/>
      <c r="R773" s="36"/>
      <c r="S773" s="36"/>
      <c r="T773" s="36"/>
      <c r="U773" s="36"/>
      <c r="V773" s="36"/>
      <c r="W773" s="36"/>
      <c r="X773" s="36"/>
      <c r="Y773" s="36"/>
      <c r="Z773" s="36"/>
    </row>
    <row r="774" spans="1:26">
      <c r="A774" s="36"/>
      <c r="B774" s="36"/>
      <c r="C774" s="36"/>
      <c r="D774" s="36"/>
      <c r="E774" s="36"/>
      <c r="F774" s="36"/>
      <c r="G774" s="36"/>
      <c r="H774" s="36"/>
      <c r="I774" s="36"/>
      <c r="J774" s="36"/>
      <c r="K774" s="36"/>
      <c r="L774" s="36"/>
      <c r="M774" s="36"/>
      <c r="N774" s="36"/>
      <c r="O774" s="36"/>
      <c r="P774" s="36"/>
      <c r="Q774" s="36"/>
      <c r="R774" s="36"/>
      <c r="S774" s="36"/>
      <c r="T774" s="36"/>
      <c r="U774" s="36"/>
      <c r="V774" s="36"/>
      <c r="W774" s="36"/>
      <c r="X774" s="36"/>
      <c r="Y774" s="36"/>
      <c r="Z774" s="36"/>
    </row>
    <row r="775" spans="1:26">
      <c r="A775" s="36"/>
      <c r="B775" s="36"/>
      <c r="C775" s="36"/>
      <c r="D775" s="36"/>
      <c r="E775" s="36"/>
      <c r="F775" s="36"/>
      <c r="G775" s="36"/>
      <c r="H775" s="36"/>
      <c r="I775" s="36"/>
      <c r="J775" s="36"/>
      <c r="K775" s="36"/>
      <c r="L775" s="36"/>
      <c r="M775" s="36"/>
      <c r="N775" s="36"/>
      <c r="O775" s="36"/>
      <c r="P775" s="36"/>
      <c r="Q775" s="36"/>
      <c r="R775" s="36"/>
      <c r="S775" s="36"/>
      <c r="T775" s="36"/>
      <c r="U775" s="36"/>
      <c r="V775" s="36"/>
      <c r="W775" s="36"/>
      <c r="X775" s="36"/>
      <c r="Y775" s="36"/>
      <c r="Z775" s="36"/>
    </row>
    <row r="776" spans="1:26">
      <c r="A776" s="36"/>
      <c r="B776" s="36"/>
      <c r="C776" s="36"/>
      <c r="D776" s="36"/>
      <c r="E776" s="36"/>
      <c r="F776" s="36"/>
      <c r="G776" s="36"/>
      <c r="H776" s="36"/>
      <c r="I776" s="36"/>
      <c r="J776" s="36"/>
      <c r="K776" s="36"/>
      <c r="L776" s="36"/>
      <c r="M776" s="36"/>
      <c r="N776" s="36"/>
      <c r="O776" s="36"/>
      <c r="P776" s="36"/>
      <c r="Q776" s="36"/>
      <c r="R776" s="36"/>
      <c r="S776" s="36"/>
      <c r="T776" s="36"/>
      <c r="U776" s="36"/>
      <c r="V776" s="36"/>
      <c r="W776" s="36"/>
      <c r="X776" s="36"/>
      <c r="Y776" s="36"/>
      <c r="Z776" s="36"/>
    </row>
    <row r="777" spans="1:26">
      <c r="A777" s="36"/>
      <c r="B777" s="36"/>
      <c r="C777" s="36"/>
      <c r="D777" s="36"/>
      <c r="E777" s="36"/>
      <c r="F777" s="36"/>
      <c r="G777" s="36"/>
      <c r="H777" s="36"/>
      <c r="I777" s="36"/>
      <c r="J777" s="36"/>
      <c r="K777" s="36"/>
      <c r="L777" s="36"/>
      <c r="M777" s="36"/>
      <c r="N777" s="36"/>
      <c r="O777" s="36"/>
      <c r="P777" s="36"/>
      <c r="Q777" s="36"/>
      <c r="R777" s="36"/>
      <c r="S777" s="36"/>
      <c r="T777" s="36"/>
      <c r="U777" s="36"/>
      <c r="V777" s="36"/>
      <c r="W777" s="36"/>
      <c r="X777" s="36"/>
      <c r="Y777" s="36"/>
      <c r="Z777" s="36"/>
    </row>
    <row r="778" spans="1:26">
      <c r="A778" s="36"/>
      <c r="B778" s="36"/>
      <c r="C778" s="36"/>
      <c r="D778" s="36"/>
      <c r="E778" s="36"/>
      <c r="F778" s="36"/>
      <c r="G778" s="36"/>
      <c r="H778" s="36"/>
      <c r="I778" s="36"/>
      <c r="J778" s="36"/>
      <c r="K778" s="36"/>
      <c r="L778" s="36"/>
      <c r="M778" s="36"/>
      <c r="N778" s="36"/>
      <c r="O778" s="36"/>
      <c r="P778" s="36"/>
      <c r="Q778" s="36"/>
      <c r="R778" s="36"/>
      <c r="S778" s="36"/>
      <c r="T778" s="36"/>
      <c r="U778" s="36"/>
      <c r="V778" s="36"/>
      <c r="W778" s="36"/>
      <c r="X778" s="36"/>
      <c r="Y778" s="36"/>
      <c r="Z778" s="36"/>
    </row>
    <row r="779" spans="1:26">
      <c r="A779" s="36"/>
      <c r="B779" s="36"/>
      <c r="C779" s="36"/>
      <c r="D779" s="36"/>
      <c r="E779" s="36"/>
      <c r="F779" s="36"/>
      <c r="G779" s="36"/>
      <c r="H779" s="36"/>
      <c r="I779" s="36"/>
      <c r="J779" s="36"/>
      <c r="K779" s="36"/>
      <c r="L779" s="36"/>
      <c r="M779" s="36"/>
      <c r="N779" s="36"/>
      <c r="O779" s="36"/>
      <c r="P779" s="36"/>
      <c r="Q779" s="36"/>
      <c r="R779" s="36"/>
      <c r="S779" s="36"/>
      <c r="T779" s="36"/>
      <c r="U779" s="36"/>
      <c r="V779" s="36"/>
      <c r="W779" s="36"/>
      <c r="X779" s="36"/>
      <c r="Y779" s="36"/>
      <c r="Z779" s="36"/>
    </row>
    <row r="780" spans="1:26">
      <c r="A780" s="36"/>
      <c r="B780" s="36"/>
      <c r="C780" s="36"/>
      <c r="D780" s="36"/>
      <c r="E780" s="36"/>
      <c r="F780" s="36"/>
      <c r="G780" s="36"/>
      <c r="H780" s="36"/>
      <c r="I780" s="36"/>
      <c r="J780" s="36"/>
      <c r="K780" s="36"/>
      <c r="L780" s="36"/>
      <c r="M780" s="36"/>
      <c r="N780" s="36"/>
      <c r="O780" s="36"/>
      <c r="P780" s="36"/>
      <c r="Q780" s="36"/>
      <c r="R780" s="36"/>
      <c r="S780" s="36"/>
      <c r="T780" s="36"/>
      <c r="U780" s="36"/>
      <c r="V780" s="36"/>
      <c r="W780" s="36"/>
      <c r="X780" s="36"/>
      <c r="Y780" s="36"/>
      <c r="Z780" s="36"/>
    </row>
    <row r="781" spans="1:26">
      <c r="A781" s="36"/>
      <c r="B781" s="36"/>
      <c r="C781" s="36"/>
      <c r="D781" s="36"/>
      <c r="E781" s="36"/>
      <c r="F781" s="36"/>
      <c r="G781" s="36"/>
      <c r="H781" s="36"/>
      <c r="I781" s="36"/>
      <c r="J781" s="36"/>
      <c r="K781" s="36"/>
      <c r="L781" s="36"/>
      <c r="M781" s="36"/>
      <c r="N781" s="36"/>
      <c r="O781" s="36"/>
      <c r="P781" s="36"/>
      <c r="Q781" s="36"/>
      <c r="R781" s="36"/>
      <c r="S781" s="36"/>
      <c r="T781" s="36"/>
      <c r="U781" s="36"/>
      <c r="V781" s="36"/>
      <c r="W781" s="36"/>
      <c r="X781" s="36"/>
      <c r="Y781" s="36"/>
      <c r="Z781" s="36"/>
    </row>
    <row r="782" spans="1:26">
      <c r="A782" s="36"/>
      <c r="B782" s="36"/>
      <c r="C782" s="36"/>
      <c r="D782" s="36"/>
      <c r="E782" s="36"/>
      <c r="F782" s="36"/>
      <c r="G782" s="36"/>
      <c r="H782" s="36"/>
      <c r="I782" s="36"/>
      <c r="J782" s="36"/>
      <c r="K782" s="36"/>
      <c r="L782" s="36"/>
      <c r="M782" s="36"/>
      <c r="N782" s="36"/>
      <c r="O782" s="36"/>
      <c r="P782" s="36"/>
      <c r="Q782" s="36"/>
      <c r="R782" s="36"/>
      <c r="S782" s="36"/>
      <c r="T782" s="36"/>
      <c r="U782" s="36"/>
      <c r="V782" s="36"/>
      <c r="W782" s="36"/>
      <c r="X782" s="36"/>
      <c r="Y782" s="36"/>
      <c r="Z782" s="36"/>
    </row>
    <row r="783" spans="1:26">
      <c r="A783" s="36"/>
      <c r="B783" s="36"/>
      <c r="C783" s="36"/>
      <c r="D783" s="36"/>
      <c r="E783" s="36"/>
      <c r="F783" s="36"/>
      <c r="G783" s="36"/>
      <c r="H783" s="36"/>
      <c r="I783" s="36"/>
      <c r="J783" s="36"/>
      <c r="K783" s="36"/>
      <c r="L783" s="36"/>
      <c r="M783" s="36"/>
      <c r="N783" s="36"/>
      <c r="O783" s="36"/>
      <c r="P783" s="36"/>
      <c r="Q783" s="36"/>
      <c r="R783" s="36"/>
      <c r="S783" s="36"/>
      <c r="T783" s="36"/>
      <c r="U783" s="36"/>
      <c r="V783" s="36"/>
      <c r="W783" s="36"/>
      <c r="X783" s="36"/>
      <c r="Y783" s="36"/>
      <c r="Z783" s="36"/>
    </row>
    <row r="784" spans="1:26">
      <c r="A784" s="36"/>
      <c r="B784" s="36"/>
      <c r="C784" s="36"/>
      <c r="D784" s="36"/>
      <c r="E784" s="36"/>
      <c r="F784" s="36"/>
      <c r="G784" s="36"/>
      <c r="H784" s="36"/>
      <c r="I784" s="36"/>
      <c r="J784" s="36"/>
      <c r="K784" s="36"/>
      <c r="L784" s="36"/>
      <c r="M784" s="36"/>
      <c r="N784" s="36"/>
      <c r="O784" s="36"/>
      <c r="P784" s="36"/>
      <c r="Q784" s="36"/>
      <c r="R784" s="36"/>
      <c r="S784" s="36"/>
      <c r="T784" s="36"/>
      <c r="U784" s="36"/>
      <c r="V784" s="36"/>
      <c r="W784" s="36"/>
      <c r="X784" s="36"/>
      <c r="Y784" s="36"/>
      <c r="Z784" s="36"/>
    </row>
    <row r="785" spans="1:26">
      <c r="A785" s="36"/>
      <c r="B785" s="36"/>
      <c r="C785" s="36"/>
      <c r="D785" s="36"/>
      <c r="E785" s="36"/>
      <c r="F785" s="36"/>
      <c r="G785" s="36"/>
      <c r="H785" s="36"/>
      <c r="I785" s="36"/>
      <c r="J785" s="36"/>
      <c r="K785" s="36"/>
      <c r="L785" s="36"/>
      <c r="M785" s="36"/>
      <c r="N785" s="36"/>
      <c r="O785" s="36"/>
      <c r="P785" s="36"/>
      <c r="Q785" s="36"/>
      <c r="R785" s="36"/>
      <c r="S785" s="36"/>
      <c r="T785" s="36"/>
      <c r="U785" s="36"/>
      <c r="V785" s="36"/>
      <c r="W785" s="36"/>
      <c r="X785" s="36"/>
      <c r="Y785" s="36"/>
      <c r="Z785" s="36"/>
    </row>
    <row r="786" spans="1:26">
      <c r="A786" s="36"/>
      <c r="B786" s="36"/>
      <c r="C786" s="36"/>
      <c r="D786" s="36"/>
      <c r="E786" s="36"/>
      <c r="F786" s="36"/>
      <c r="G786" s="36"/>
      <c r="H786" s="36"/>
      <c r="I786" s="36"/>
      <c r="J786" s="36"/>
      <c r="K786" s="36"/>
      <c r="L786" s="36"/>
      <c r="M786" s="36"/>
      <c r="N786" s="36"/>
      <c r="O786" s="36"/>
      <c r="P786" s="36"/>
      <c r="Q786" s="36"/>
      <c r="R786" s="36"/>
      <c r="S786" s="36"/>
      <c r="T786" s="36"/>
      <c r="U786" s="36"/>
      <c r="V786" s="36"/>
      <c r="W786" s="36"/>
      <c r="X786" s="36"/>
      <c r="Y786" s="36"/>
      <c r="Z786" s="36"/>
    </row>
    <row r="787" spans="1:26">
      <c r="A787" s="36"/>
      <c r="B787" s="36"/>
      <c r="C787" s="36"/>
      <c r="D787" s="36"/>
      <c r="E787" s="36"/>
      <c r="F787" s="36"/>
      <c r="G787" s="36"/>
      <c r="H787" s="36"/>
      <c r="I787" s="36"/>
      <c r="J787" s="36"/>
      <c r="K787" s="36"/>
      <c r="L787" s="36"/>
      <c r="M787" s="36"/>
      <c r="N787" s="36"/>
      <c r="O787" s="36"/>
      <c r="P787" s="36"/>
      <c r="Q787" s="36"/>
      <c r="R787" s="36"/>
      <c r="S787" s="36"/>
      <c r="T787" s="36"/>
      <c r="U787" s="36"/>
      <c r="V787" s="36"/>
      <c r="W787" s="36"/>
      <c r="X787" s="36"/>
      <c r="Y787" s="36"/>
      <c r="Z787" s="36"/>
    </row>
    <row r="788" spans="1:26">
      <c r="A788" s="36"/>
      <c r="B788" s="36"/>
      <c r="C788" s="36"/>
      <c r="D788" s="36"/>
      <c r="E788" s="36"/>
      <c r="F788" s="36"/>
      <c r="G788" s="36"/>
      <c r="H788" s="36"/>
      <c r="I788" s="36"/>
      <c r="J788" s="36"/>
      <c r="K788" s="36"/>
      <c r="L788" s="36"/>
      <c r="M788" s="36"/>
      <c r="N788" s="36"/>
      <c r="O788" s="36"/>
      <c r="P788" s="36"/>
      <c r="Q788" s="36"/>
      <c r="R788" s="36"/>
      <c r="S788" s="36"/>
      <c r="T788" s="36"/>
      <c r="U788" s="36"/>
      <c r="V788" s="36"/>
      <c r="W788" s="36"/>
      <c r="X788" s="36"/>
      <c r="Y788" s="36"/>
      <c r="Z788" s="36"/>
    </row>
    <row r="789" spans="1:26">
      <c r="A789" s="36"/>
      <c r="B789" s="36"/>
      <c r="C789" s="36"/>
      <c r="D789" s="36"/>
      <c r="E789" s="36"/>
      <c r="F789" s="36"/>
      <c r="G789" s="36"/>
      <c r="H789" s="36"/>
      <c r="I789" s="36"/>
      <c r="J789" s="36"/>
      <c r="K789" s="36"/>
      <c r="L789" s="36"/>
      <c r="M789" s="36"/>
      <c r="N789" s="36"/>
      <c r="O789" s="36"/>
      <c r="P789" s="36"/>
      <c r="Q789" s="36"/>
      <c r="R789" s="36"/>
      <c r="S789" s="36"/>
      <c r="T789" s="36"/>
      <c r="U789" s="36"/>
      <c r="V789" s="36"/>
      <c r="W789" s="36"/>
      <c r="X789" s="36"/>
      <c r="Y789" s="36"/>
      <c r="Z789" s="36"/>
    </row>
    <row r="790" spans="1:26">
      <c r="A790" s="36"/>
      <c r="B790" s="36"/>
      <c r="C790" s="36"/>
      <c r="D790" s="36"/>
      <c r="E790" s="36"/>
      <c r="F790" s="36"/>
      <c r="G790" s="36"/>
      <c r="H790" s="36"/>
      <c r="I790" s="36"/>
      <c r="J790" s="36"/>
      <c r="K790" s="36"/>
      <c r="L790" s="36"/>
      <c r="M790" s="36"/>
      <c r="N790" s="36"/>
      <c r="O790" s="36"/>
      <c r="P790" s="36"/>
      <c r="Q790" s="36"/>
      <c r="R790" s="36"/>
      <c r="S790" s="36"/>
      <c r="T790" s="36"/>
      <c r="U790" s="36"/>
      <c r="V790" s="36"/>
      <c r="W790" s="36"/>
      <c r="X790" s="36"/>
      <c r="Y790" s="36"/>
      <c r="Z790" s="36"/>
    </row>
    <row r="791" spans="1:26">
      <c r="A791" s="36"/>
      <c r="B791" s="36"/>
      <c r="C791" s="36"/>
      <c r="D791" s="36"/>
      <c r="E791" s="36"/>
      <c r="F791" s="36"/>
      <c r="G791" s="36"/>
      <c r="H791" s="36"/>
      <c r="I791" s="36"/>
      <c r="J791" s="36"/>
      <c r="K791" s="36"/>
      <c r="L791" s="36"/>
      <c r="M791" s="36"/>
      <c r="N791" s="36"/>
      <c r="O791" s="36"/>
      <c r="P791" s="36"/>
      <c r="Q791" s="36"/>
      <c r="R791" s="36"/>
      <c r="S791" s="36"/>
      <c r="T791" s="36"/>
      <c r="U791" s="36"/>
      <c r="V791" s="36"/>
      <c r="W791" s="36"/>
      <c r="X791" s="36"/>
      <c r="Y791" s="36"/>
      <c r="Z791" s="36"/>
    </row>
    <row r="792" spans="1:26">
      <c r="A792" s="36"/>
      <c r="B792" s="36"/>
      <c r="C792" s="36"/>
      <c r="D792" s="36"/>
      <c r="E792" s="36"/>
      <c r="F792" s="36"/>
      <c r="G792" s="36"/>
      <c r="H792" s="36"/>
      <c r="I792" s="36"/>
      <c r="J792" s="36"/>
      <c r="K792" s="36"/>
      <c r="L792" s="36"/>
      <c r="M792" s="36"/>
      <c r="N792" s="36"/>
      <c r="O792" s="36"/>
      <c r="P792" s="36"/>
      <c r="Q792" s="36"/>
      <c r="R792" s="36"/>
      <c r="S792" s="36"/>
      <c r="T792" s="36"/>
      <c r="U792" s="36"/>
      <c r="V792" s="36"/>
      <c r="W792" s="36"/>
      <c r="X792" s="36"/>
      <c r="Y792" s="36"/>
      <c r="Z792" s="36"/>
    </row>
    <row r="793" spans="1:26">
      <c r="A793" s="36"/>
      <c r="B793" s="36"/>
      <c r="C793" s="36"/>
      <c r="D793" s="36"/>
      <c r="E793" s="36"/>
      <c r="F793" s="36"/>
      <c r="G793" s="36"/>
      <c r="H793" s="36"/>
      <c r="I793" s="36"/>
      <c r="J793" s="36"/>
      <c r="K793" s="36"/>
      <c r="L793" s="36"/>
      <c r="M793" s="36"/>
      <c r="N793" s="36"/>
      <c r="O793" s="36"/>
      <c r="P793" s="36"/>
      <c r="Q793" s="36"/>
      <c r="R793" s="36"/>
      <c r="S793" s="36"/>
      <c r="T793" s="36"/>
      <c r="U793" s="36"/>
      <c r="V793" s="36"/>
      <c r="W793" s="36"/>
      <c r="X793" s="36"/>
      <c r="Y793" s="36"/>
      <c r="Z793" s="36"/>
    </row>
    <row r="794" spans="1:26">
      <c r="A794" s="36"/>
      <c r="B794" s="36"/>
      <c r="C794" s="36"/>
      <c r="D794" s="36"/>
      <c r="E794" s="36"/>
      <c r="F794" s="36"/>
      <c r="G794" s="36"/>
      <c r="H794" s="36"/>
      <c r="I794" s="36"/>
      <c r="J794" s="36"/>
      <c r="K794" s="36"/>
      <c r="L794" s="36"/>
      <c r="M794" s="36"/>
      <c r="N794" s="36"/>
      <c r="O794" s="36"/>
      <c r="P794" s="36"/>
      <c r="Q794" s="36"/>
      <c r="R794" s="36"/>
      <c r="S794" s="36"/>
      <c r="T794" s="36"/>
      <c r="U794" s="36"/>
      <c r="V794" s="36"/>
      <c r="W794" s="36"/>
      <c r="X794" s="36"/>
      <c r="Y794" s="36"/>
      <c r="Z794" s="36"/>
    </row>
    <row r="795" spans="1:26">
      <c r="A795" s="36"/>
      <c r="B795" s="36"/>
      <c r="C795" s="36"/>
      <c r="D795" s="36"/>
      <c r="E795" s="36"/>
      <c r="F795" s="36"/>
      <c r="G795" s="36"/>
      <c r="H795" s="36"/>
      <c r="I795" s="36"/>
      <c r="J795" s="36"/>
      <c r="K795" s="36"/>
      <c r="L795" s="36"/>
      <c r="M795" s="36"/>
      <c r="N795" s="36"/>
      <c r="O795" s="36"/>
      <c r="P795" s="36"/>
      <c r="Q795" s="36"/>
      <c r="R795" s="36"/>
      <c r="S795" s="36"/>
      <c r="T795" s="36"/>
      <c r="U795" s="36"/>
      <c r="V795" s="36"/>
      <c r="W795" s="36"/>
      <c r="X795" s="36"/>
      <c r="Y795" s="36"/>
      <c r="Z795" s="36"/>
    </row>
    <row r="796" spans="1:26">
      <c r="A796" s="36"/>
      <c r="B796" s="36"/>
      <c r="C796" s="36"/>
      <c r="D796" s="36"/>
      <c r="E796" s="36"/>
      <c r="F796" s="36"/>
      <c r="G796" s="36"/>
      <c r="H796" s="36"/>
      <c r="I796" s="36"/>
      <c r="J796" s="36"/>
      <c r="K796" s="36"/>
      <c r="L796" s="36"/>
      <c r="M796" s="36"/>
      <c r="N796" s="36"/>
      <c r="O796" s="36"/>
      <c r="P796" s="36"/>
      <c r="Q796" s="36"/>
      <c r="R796" s="36"/>
      <c r="S796" s="36"/>
      <c r="T796" s="36"/>
      <c r="U796" s="36"/>
      <c r="V796" s="36"/>
      <c r="W796" s="36"/>
      <c r="X796" s="36"/>
      <c r="Y796" s="36"/>
      <c r="Z796" s="36"/>
    </row>
    <row r="797" spans="1:26">
      <c r="A797" s="36"/>
      <c r="B797" s="36"/>
      <c r="C797" s="36"/>
      <c r="D797" s="36"/>
      <c r="E797" s="36"/>
      <c r="F797" s="36"/>
      <c r="G797" s="36"/>
      <c r="H797" s="36"/>
      <c r="I797" s="36"/>
      <c r="J797" s="36"/>
      <c r="K797" s="36"/>
      <c r="L797" s="36"/>
      <c r="M797" s="36"/>
      <c r="N797" s="36"/>
      <c r="O797" s="36"/>
      <c r="P797" s="36"/>
      <c r="Q797" s="36"/>
      <c r="R797" s="36"/>
      <c r="S797" s="36"/>
      <c r="T797" s="36"/>
      <c r="U797" s="36"/>
      <c r="V797" s="36"/>
      <c r="W797" s="36"/>
      <c r="X797" s="36"/>
      <c r="Y797" s="36"/>
      <c r="Z797" s="36"/>
    </row>
    <row r="798" spans="1:26">
      <c r="A798" s="36"/>
      <c r="B798" s="36"/>
      <c r="C798" s="36"/>
      <c r="D798" s="36"/>
      <c r="E798" s="36"/>
      <c r="F798" s="36"/>
      <c r="G798" s="36"/>
      <c r="H798" s="36"/>
      <c r="I798" s="36"/>
      <c r="J798" s="36"/>
      <c r="K798" s="36"/>
      <c r="L798" s="36"/>
      <c r="M798" s="36"/>
      <c r="N798" s="36"/>
      <c r="O798" s="36"/>
      <c r="P798" s="36"/>
      <c r="Q798" s="36"/>
      <c r="R798" s="36"/>
      <c r="S798" s="36"/>
      <c r="T798" s="36"/>
      <c r="U798" s="36"/>
      <c r="V798" s="36"/>
      <c r="W798" s="36"/>
      <c r="X798" s="36"/>
      <c r="Y798" s="36"/>
      <c r="Z798" s="36"/>
    </row>
    <row r="799" spans="1:26">
      <c r="A799" s="36"/>
      <c r="B799" s="36"/>
      <c r="C799" s="36"/>
      <c r="D799" s="36"/>
      <c r="E799" s="36"/>
      <c r="F799" s="36"/>
      <c r="G799" s="36"/>
      <c r="H799" s="36"/>
      <c r="I799" s="36"/>
      <c r="J799" s="36"/>
      <c r="K799" s="36"/>
      <c r="L799" s="36"/>
      <c r="M799" s="36"/>
      <c r="N799" s="36"/>
      <c r="O799" s="36"/>
      <c r="P799" s="36"/>
      <c r="Q799" s="36"/>
      <c r="R799" s="36"/>
      <c r="S799" s="36"/>
      <c r="T799" s="36"/>
      <c r="U799" s="36"/>
      <c r="V799" s="36"/>
      <c r="W799" s="36"/>
      <c r="X799" s="36"/>
      <c r="Y799" s="36"/>
      <c r="Z799" s="36"/>
    </row>
    <row r="800" spans="1:26">
      <c r="A800" s="36"/>
      <c r="B800" s="36"/>
      <c r="C800" s="36"/>
      <c r="D800" s="36"/>
      <c r="E800" s="36"/>
      <c r="F800" s="36"/>
      <c r="G800" s="36"/>
      <c r="H800" s="36"/>
      <c r="I800" s="36"/>
      <c r="J800" s="36"/>
      <c r="K800" s="36"/>
      <c r="L800" s="36"/>
      <c r="M800" s="36"/>
      <c r="N800" s="36"/>
      <c r="O800" s="36"/>
      <c r="P800" s="36"/>
      <c r="Q800" s="36"/>
      <c r="R800" s="36"/>
      <c r="S800" s="36"/>
      <c r="T800" s="36"/>
      <c r="U800" s="36"/>
      <c r="V800" s="36"/>
      <c r="W800" s="36"/>
      <c r="X800" s="36"/>
      <c r="Y800" s="36"/>
      <c r="Z800" s="36"/>
    </row>
    <row r="801" spans="1:26">
      <c r="A801" s="36"/>
      <c r="B801" s="36"/>
      <c r="C801" s="36"/>
      <c r="D801" s="36"/>
      <c r="E801" s="36"/>
      <c r="F801" s="36"/>
      <c r="G801" s="36"/>
      <c r="H801" s="36"/>
      <c r="I801" s="36"/>
      <c r="J801" s="36"/>
      <c r="K801" s="36"/>
      <c r="L801" s="36"/>
      <c r="M801" s="36"/>
      <c r="N801" s="36"/>
      <c r="O801" s="36"/>
      <c r="P801" s="36"/>
      <c r="Q801" s="36"/>
      <c r="R801" s="36"/>
      <c r="S801" s="36"/>
      <c r="T801" s="36"/>
      <c r="U801" s="36"/>
      <c r="V801" s="36"/>
      <c r="W801" s="36"/>
      <c r="X801" s="36"/>
      <c r="Y801" s="36"/>
      <c r="Z801" s="36"/>
    </row>
    <row r="802" spans="1:26">
      <c r="A802" s="36"/>
      <c r="B802" s="36"/>
      <c r="C802" s="36"/>
      <c r="D802" s="36"/>
      <c r="E802" s="36"/>
      <c r="F802" s="36"/>
      <c r="G802" s="36"/>
      <c r="H802" s="36"/>
      <c r="I802" s="36"/>
      <c r="J802" s="36"/>
      <c r="K802" s="36"/>
      <c r="L802" s="36"/>
      <c r="M802" s="36"/>
      <c r="N802" s="36"/>
      <c r="O802" s="36"/>
      <c r="P802" s="36"/>
      <c r="Q802" s="36"/>
      <c r="R802" s="36"/>
      <c r="S802" s="36"/>
      <c r="T802" s="36"/>
      <c r="U802" s="36"/>
      <c r="V802" s="36"/>
      <c r="W802" s="36"/>
      <c r="X802" s="36"/>
      <c r="Y802" s="36"/>
      <c r="Z802" s="36"/>
    </row>
    <row r="803" spans="1:26">
      <c r="A803" s="36"/>
      <c r="B803" s="36"/>
      <c r="C803" s="36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36"/>
      <c r="O803" s="36"/>
      <c r="P803" s="36"/>
      <c r="Q803" s="36"/>
      <c r="R803" s="36"/>
      <c r="S803" s="36"/>
      <c r="T803" s="36"/>
      <c r="U803" s="36"/>
      <c r="V803" s="36"/>
      <c r="W803" s="36"/>
      <c r="X803" s="36"/>
      <c r="Y803" s="36"/>
      <c r="Z803" s="36"/>
    </row>
    <row r="804" spans="1:26">
      <c r="A804" s="36"/>
      <c r="B804" s="36"/>
      <c r="C804" s="36"/>
      <c r="D804" s="36"/>
      <c r="E804" s="36"/>
      <c r="F804" s="36"/>
      <c r="G804" s="36"/>
      <c r="H804" s="36"/>
      <c r="I804" s="36"/>
      <c r="J804" s="36"/>
      <c r="K804" s="36"/>
      <c r="L804" s="36"/>
      <c r="M804" s="36"/>
      <c r="N804" s="36"/>
      <c r="O804" s="36"/>
      <c r="P804" s="36"/>
      <c r="Q804" s="36"/>
      <c r="R804" s="36"/>
      <c r="S804" s="36"/>
      <c r="T804" s="36"/>
      <c r="U804" s="36"/>
      <c r="V804" s="36"/>
      <c r="W804" s="36"/>
      <c r="X804" s="36"/>
      <c r="Y804" s="36"/>
      <c r="Z804" s="36"/>
    </row>
    <row r="805" spans="1:26">
      <c r="A805" s="36"/>
      <c r="B805" s="36"/>
      <c r="C805" s="36"/>
      <c r="D805" s="36"/>
      <c r="E805" s="36"/>
      <c r="F805" s="36"/>
      <c r="G805" s="36"/>
      <c r="H805" s="36"/>
      <c r="I805" s="36"/>
      <c r="J805" s="36"/>
      <c r="K805" s="36"/>
      <c r="L805" s="36"/>
      <c r="M805" s="36"/>
      <c r="N805" s="36"/>
      <c r="O805" s="36"/>
      <c r="P805" s="36"/>
      <c r="Q805" s="36"/>
      <c r="R805" s="36"/>
      <c r="S805" s="36"/>
      <c r="T805" s="36"/>
      <c r="U805" s="36"/>
      <c r="V805" s="36"/>
      <c r="W805" s="36"/>
      <c r="X805" s="36"/>
      <c r="Y805" s="36"/>
      <c r="Z805" s="36"/>
    </row>
    <row r="806" spans="1:26">
      <c r="A806" s="36"/>
      <c r="B806" s="36"/>
      <c r="C806" s="36"/>
      <c r="D806" s="36"/>
      <c r="E806" s="36"/>
      <c r="F806" s="36"/>
      <c r="G806" s="36"/>
      <c r="H806" s="36"/>
      <c r="I806" s="36"/>
      <c r="J806" s="36"/>
      <c r="K806" s="36"/>
      <c r="L806" s="36"/>
      <c r="M806" s="36"/>
      <c r="N806" s="36"/>
      <c r="O806" s="36"/>
      <c r="P806" s="36"/>
      <c r="Q806" s="36"/>
      <c r="R806" s="36"/>
      <c r="S806" s="36"/>
      <c r="T806" s="36"/>
      <c r="U806" s="36"/>
      <c r="V806" s="36"/>
      <c r="W806" s="36"/>
      <c r="X806" s="36"/>
      <c r="Y806" s="36"/>
      <c r="Z806" s="36"/>
    </row>
    <row r="807" spans="1:26">
      <c r="A807" s="36"/>
      <c r="B807" s="36"/>
      <c r="C807" s="36"/>
      <c r="D807" s="36"/>
      <c r="E807" s="36"/>
      <c r="F807" s="36"/>
      <c r="G807" s="36"/>
      <c r="H807" s="36"/>
      <c r="I807" s="36"/>
      <c r="J807" s="36"/>
      <c r="K807" s="36"/>
      <c r="L807" s="36"/>
      <c r="M807" s="36"/>
      <c r="N807" s="36"/>
      <c r="O807" s="36"/>
      <c r="P807" s="36"/>
      <c r="Q807" s="36"/>
      <c r="R807" s="36"/>
      <c r="S807" s="36"/>
      <c r="T807" s="36"/>
      <c r="U807" s="36"/>
      <c r="V807" s="36"/>
      <c r="W807" s="36"/>
      <c r="X807" s="36"/>
      <c r="Y807" s="36"/>
      <c r="Z807" s="36"/>
    </row>
    <row r="808" spans="1:26">
      <c r="A808" s="36"/>
      <c r="B808" s="36"/>
      <c r="C808" s="36"/>
      <c r="D808" s="36"/>
      <c r="E808" s="36"/>
      <c r="F808" s="36"/>
      <c r="G808" s="36"/>
      <c r="H808" s="36"/>
      <c r="I808" s="36"/>
      <c r="J808" s="36"/>
      <c r="K808" s="36"/>
      <c r="L808" s="36"/>
      <c r="M808" s="36"/>
      <c r="N808" s="36"/>
      <c r="O808" s="36"/>
      <c r="P808" s="36"/>
      <c r="Q808" s="36"/>
      <c r="R808" s="36"/>
      <c r="S808" s="36"/>
      <c r="T808" s="36"/>
      <c r="U808" s="36"/>
      <c r="V808" s="36"/>
      <c r="W808" s="36"/>
      <c r="X808" s="36"/>
      <c r="Y808" s="36"/>
      <c r="Z808" s="36"/>
    </row>
    <row r="809" spans="1:26">
      <c r="A809" s="36"/>
      <c r="B809" s="36"/>
      <c r="C809" s="36"/>
      <c r="D809" s="36"/>
      <c r="E809" s="36"/>
      <c r="F809" s="36"/>
      <c r="G809" s="36"/>
      <c r="H809" s="36"/>
      <c r="I809" s="36"/>
      <c r="J809" s="36"/>
      <c r="K809" s="36"/>
      <c r="L809" s="36"/>
      <c r="M809" s="36"/>
      <c r="N809" s="36"/>
      <c r="O809" s="36"/>
      <c r="P809" s="36"/>
      <c r="Q809" s="36"/>
      <c r="R809" s="36"/>
      <c r="S809" s="36"/>
      <c r="T809" s="36"/>
      <c r="U809" s="36"/>
      <c r="V809" s="36"/>
      <c r="W809" s="36"/>
      <c r="X809" s="36"/>
      <c r="Y809" s="36"/>
      <c r="Z809" s="36"/>
    </row>
    <row r="810" spans="1:26">
      <c r="A810" s="36"/>
      <c r="B810" s="36"/>
      <c r="C810" s="36"/>
      <c r="D810" s="36"/>
      <c r="E810" s="36"/>
      <c r="F810" s="36"/>
      <c r="G810" s="36"/>
      <c r="H810" s="36"/>
      <c r="I810" s="36"/>
      <c r="J810" s="36"/>
      <c r="K810" s="36"/>
      <c r="L810" s="36"/>
      <c r="M810" s="36"/>
      <c r="N810" s="36"/>
      <c r="O810" s="36"/>
      <c r="P810" s="36"/>
      <c r="Q810" s="36"/>
      <c r="R810" s="36"/>
      <c r="S810" s="36"/>
      <c r="T810" s="36"/>
      <c r="U810" s="36"/>
      <c r="V810" s="36"/>
      <c r="W810" s="36"/>
      <c r="X810" s="36"/>
      <c r="Y810" s="36"/>
      <c r="Z810" s="36"/>
    </row>
    <row r="811" spans="1:26">
      <c r="A811" s="36"/>
      <c r="B811" s="36"/>
      <c r="C811" s="36"/>
      <c r="D811" s="36"/>
      <c r="E811" s="36"/>
      <c r="F811" s="36"/>
      <c r="G811" s="36"/>
      <c r="H811" s="36"/>
      <c r="I811" s="36"/>
      <c r="J811" s="36"/>
      <c r="K811" s="36"/>
      <c r="L811" s="36"/>
      <c r="M811" s="36"/>
      <c r="N811" s="36"/>
      <c r="O811" s="36"/>
      <c r="P811" s="36"/>
      <c r="Q811" s="36"/>
      <c r="R811" s="36"/>
      <c r="S811" s="36"/>
      <c r="T811" s="36"/>
      <c r="U811" s="36"/>
      <c r="V811" s="36"/>
      <c r="W811" s="36"/>
      <c r="X811" s="36"/>
      <c r="Y811" s="36"/>
      <c r="Z811" s="36"/>
    </row>
    <row r="812" spans="1:26">
      <c r="A812" s="36"/>
      <c r="B812" s="36"/>
      <c r="C812" s="36"/>
      <c r="D812" s="36"/>
      <c r="E812" s="36"/>
      <c r="F812" s="36"/>
      <c r="G812" s="36"/>
      <c r="H812" s="36"/>
      <c r="I812" s="36"/>
      <c r="J812" s="36"/>
      <c r="K812" s="36"/>
      <c r="L812" s="36"/>
      <c r="M812" s="36"/>
      <c r="N812" s="36"/>
      <c r="O812" s="36"/>
      <c r="P812" s="36"/>
      <c r="Q812" s="36"/>
      <c r="R812" s="36"/>
      <c r="S812" s="36"/>
      <c r="T812" s="36"/>
      <c r="U812" s="36"/>
      <c r="V812" s="36"/>
      <c r="W812" s="36"/>
      <c r="X812" s="36"/>
      <c r="Y812" s="36"/>
      <c r="Z812" s="36"/>
    </row>
    <row r="813" spans="1:26">
      <c r="A813" s="36"/>
      <c r="B813" s="36"/>
      <c r="C813" s="36"/>
      <c r="D813" s="36"/>
      <c r="E813" s="36"/>
      <c r="F813" s="36"/>
      <c r="G813" s="36"/>
      <c r="H813" s="36"/>
      <c r="I813" s="36"/>
      <c r="J813" s="36"/>
      <c r="K813" s="36"/>
      <c r="L813" s="36"/>
      <c r="M813" s="36"/>
      <c r="N813" s="36"/>
      <c r="O813" s="36"/>
      <c r="P813" s="36"/>
      <c r="Q813" s="36"/>
      <c r="R813" s="36"/>
      <c r="S813" s="36"/>
      <c r="T813" s="36"/>
      <c r="U813" s="36"/>
      <c r="V813" s="36"/>
      <c r="W813" s="36"/>
      <c r="X813" s="36"/>
      <c r="Y813" s="36"/>
      <c r="Z813" s="36"/>
    </row>
    <row r="814" spans="1:26">
      <c r="A814" s="36"/>
      <c r="B814" s="36"/>
      <c r="C814" s="36"/>
      <c r="D814" s="36"/>
      <c r="E814" s="36"/>
      <c r="F814" s="36"/>
      <c r="G814" s="36"/>
      <c r="H814" s="36"/>
      <c r="I814" s="36"/>
      <c r="J814" s="36"/>
      <c r="K814" s="36"/>
      <c r="L814" s="36"/>
      <c r="M814" s="36"/>
      <c r="N814" s="36"/>
      <c r="O814" s="36"/>
      <c r="P814" s="36"/>
      <c r="Q814" s="36"/>
      <c r="R814" s="36"/>
      <c r="S814" s="36"/>
      <c r="T814" s="36"/>
      <c r="U814" s="36"/>
      <c r="V814" s="36"/>
      <c r="W814" s="36"/>
      <c r="X814" s="36"/>
      <c r="Y814" s="36"/>
      <c r="Z814" s="36"/>
    </row>
    <row r="815" spans="1:26">
      <c r="A815" s="36"/>
      <c r="B815" s="36"/>
      <c r="C815" s="36"/>
      <c r="D815" s="36"/>
      <c r="E815" s="36"/>
      <c r="F815" s="36"/>
      <c r="G815" s="36"/>
      <c r="H815" s="36"/>
      <c r="I815" s="36"/>
      <c r="J815" s="36"/>
      <c r="K815" s="36"/>
      <c r="L815" s="36"/>
      <c r="M815" s="36"/>
      <c r="N815" s="36"/>
      <c r="O815" s="36"/>
      <c r="P815" s="36"/>
      <c r="Q815" s="36"/>
      <c r="R815" s="36"/>
      <c r="S815" s="36"/>
      <c r="T815" s="36"/>
      <c r="U815" s="36"/>
      <c r="V815" s="36"/>
      <c r="W815" s="36"/>
      <c r="X815" s="36"/>
      <c r="Y815" s="36"/>
      <c r="Z815" s="36"/>
    </row>
    <row r="816" spans="1:26">
      <c r="A816" s="36"/>
      <c r="B816" s="36"/>
      <c r="C816" s="36"/>
      <c r="D816" s="36"/>
      <c r="E816" s="36"/>
      <c r="F816" s="36"/>
      <c r="G816" s="36"/>
      <c r="H816" s="36"/>
      <c r="I816" s="36"/>
      <c r="J816" s="36"/>
      <c r="K816" s="36"/>
      <c r="L816" s="36"/>
      <c r="M816" s="36"/>
      <c r="N816" s="36"/>
      <c r="O816" s="36"/>
      <c r="P816" s="36"/>
      <c r="Q816" s="36"/>
      <c r="R816" s="36"/>
      <c r="S816" s="36"/>
      <c r="T816" s="36"/>
      <c r="U816" s="36"/>
      <c r="V816" s="36"/>
      <c r="W816" s="36"/>
      <c r="X816" s="36"/>
      <c r="Y816" s="36"/>
      <c r="Z816" s="36"/>
    </row>
    <row r="817" spans="1:26">
      <c r="A817" s="36"/>
      <c r="B817" s="36"/>
      <c r="C817" s="36"/>
      <c r="D817" s="36"/>
      <c r="E817" s="36"/>
      <c r="F817" s="36"/>
      <c r="G817" s="36"/>
      <c r="H817" s="36"/>
      <c r="I817" s="36"/>
      <c r="J817" s="36"/>
      <c r="K817" s="36"/>
      <c r="L817" s="36"/>
      <c r="M817" s="36"/>
      <c r="N817" s="36"/>
      <c r="O817" s="36"/>
      <c r="P817" s="36"/>
      <c r="Q817" s="36"/>
      <c r="R817" s="36"/>
      <c r="S817" s="36"/>
      <c r="T817" s="36"/>
      <c r="U817" s="36"/>
      <c r="V817" s="36"/>
      <c r="W817" s="36"/>
      <c r="X817" s="36"/>
      <c r="Y817" s="36"/>
      <c r="Z817" s="36"/>
    </row>
    <row r="818" spans="1:26">
      <c r="A818" s="36"/>
      <c r="B818" s="36"/>
      <c r="C818" s="36"/>
      <c r="D818" s="36"/>
      <c r="E818" s="36"/>
      <c r="F818" s="36"/>
      <c r="G818" s="36"/>
      <c r="H818" s="36"/>
      <c r="I818" s="36"/>
      <c r="J818" s="36"/>
      <c r="K818" s="36"/>
      <c r="L818" s="36"/>
      <c r="M818" s="36"/>
      <c r="N818" s="36"/>
      <c r="O818" s="36"/>
      <c r="P818" s="36"/>
      <c r="Q818" s="36"/>
      <c r="R818" s="36"/>
      <c r="S818" s="36"/>
      <c r="T818" s="36"/>
      <c r="U818" s="36"/>
      <c r="V818" s="36"/>
      <c r="W818" s="36"/>
      <c r="X818" s="36"/>
      <c r="Y818" s="36"/>
      <c r="Z818" s="36"/>
    </row>
    <row r="819" spans="1:26">
      <c r="A819" s="36"/>
      <c r="B819" s="36"/>
      <c r="C819" s="36"/>
      <c r="D819" s="36"/>
      <c r="E819" s="36"/>
      <c r="F819" s="36"/>
      <c r="G819" s="36"/>
      <c r="H819" s="36"/>
      <c r="I819" s="36"/>
      <c r="J819" s="36"/>
      <c r="K819" s="36"/>
      <c r="L819" s="36"/>
      <c r="M819" s="36"/>
      <c r="N819" s="36"/>
      <c r="O819" s="36"/>
      <c r="P819" s="36"/>
      <c r="Q819" s="36"/>
      <c r="R819" s="36"/>
      <c r="S819" s="36"/>
      <c r="T819" s="36"/>
      <c r="U819" s="36"/>
      <c r="V819" s="36"/>
      <c r="W819" s="36"/>
      <c r="X819" s="36"/>
      <c r="Y819" s="36"/>
      <c r="Z819" s="36"/>
    </row>
    <row r="820" spans="1:26">
      <c r="A820" s="36"/>
      <c r="B820" s="36"/>
      <c r="C820" s="36"/>
      <c r="D820" s="36"/>
      <c r="E820" s="36"/>
      <c r="F820" s="36"/>
      <c r="G820" s="36"/>
      <c r="H820" s="36"/>
      <c r="I820" s="36"/>
      <c r="J820" s="36"/>
      <c r="K820" s="36"/>
      <c r="L820" s="36"/>
      <c r="M820" s="36"/>
      <c r="N820" s="36"/>
      <c r="O820" s="36"/>
      <c r="P820" s="36"/>
      <c r="Q820" s="36"/>
      <c r="R820" s="36"/>
      <c r="S820" s="36"/>
      <c r="T820" s="36"/>
      <c r="U820" s="36"/>
      <c r="V820" s="36"/>
      <c r="W820" s="36"/>
      <c r="X820" s="36"/>
      <c r="Y820" s="36"/>
      <c r="Z820" s="36"/>
    </row>
    <row r="821" spans="1:26">
      <c r="A821" s="36"/>
      <c r="B821" s="36"/>
      <c r="C821" s="36"/>
      <c r="D821" s="36"/>
      <c r="E821" s="36"/>
      <c r="F821" s="36"/>
      <c r="G821" s="36"/>
      <c r="H821" s="36"/>
      <c r="I821" s="36"/>
      <c r="J821" s="36"/>
      <c r="K821" s="36"/>
      <c r="L821" s="36"/>
      <c r="M821" s="36"/>
      <c r="N821" s="36"/>
      <c r="O821" s="36"/>
      <c r="P821" s="36"/>
      <c r="Q821" s="36"/>
      <c r="R821" s="36"/>
      <c r="S821" s="36"/>
      <c r="T821" s="36"/>
      <c r="U821" s="36"/>
      <c r="V821" s="36"/>
      <c r="W821" s="36"/>
      <c r="X821" s="36"/>
      <c r="Y821" s="36"/>
      <c r="Z821" s="36"/>
    </row>
    <row r="822" spans="1:26">
      <c r="A822" s="36"/>
      <c r="B822" s="36"/>
      <c r="C822" s="36"/>
      <c r="D822" s="36"/>
      <c r="E822" s="36"/>
      <c r="F822" s="36"/>
      <c r="G822" s="36"/>
      <c r="H822" s="36"/>
      <c r="I822" s="36"/>
      <c r="J822" s="36"/>
      <c r="K822" s="36"/>
      <c r="L822" s="36"/>
      <c r="M822" s="36"/>
      <c r="N822" s="36"/>
      <c r="O822" s="36"/>
      <c r="P822" s="36"/>
      <c r="Q822" s="36"/>
      <c r="R822" s="36"/>
      <c r="S822" s="36"/>
      <c r="T822" s="36"/>
      <c r="U822" s="36"/>
      <c r="V822" s="36"/>
      <c r="W822" s="36"/>
      <c r="X822" s="36"/>
      <c r="Y822" s="36"/>
      <c r="Z822" s="36"/>
    </row>
    <row r="823" spans="1:26">
      <c r="A823" s="36"/>
      <c r="B823" s="36"/>
      <c r="C823" s="36"/>
      <c r="D823" s="36"/>
      <c r="E823" s="36"/>
      <c r="F823" s="36"/>
      <c r="G823" s="36"/>
      <c r="H823" s="36"/>
      <c r="I823" s="36"/>
      <c r="J823" s="36"/>
      <c r="K823" s="36"/>
      <c r="L823" s="36"/>
      <c r="M823" s="36"/>
      <c r="N823" s="36"/>
      <c r="O823" s="36"/>
      <c r="P823" s="36"/>
      <c r="Q823" s="36"/>
      <c r="R823" s="36"/>
      <c r="S823" s="36"/>
      <c r="T823" s="36"/>
      <c r="U823" s="36"/>
      <c r="V823" s="36"/>
      <c r="W823" s="36"/>
      <c r="X823" s="36"/>
      <c r="Y823" s="36"/>
      <c r="Z823" s="36"/>
    </row>
    <row r="824" spans="1:26">
      <c r="A824" s="36"/>
      <c r="B824" s="36"/>
      <c r="C824" s="36"/>
      <c r="D824" s="36"/>
      <c r="E824" s="36"/>
      <c r="F824" s="36"/>
      <c r="G824" s="36"/>
      <c r="H824" s="36"/>
      <c r="I824" s="36"/>
      <c r="J824" s="36"/>
      <c r="K824" s="36"/>
      <c r="L824" s="36"/>
      <c r="M824" s="36"/>
      <c r="N824" s="36"/>
      <c r="O824" s="36"/>
      <c r="P824" s="36"/>
      <c r="Q824" s="36"/>
      <c r="R824" s="36"/>
      <c r="S824" s="36"/>
      <c r="T824" s="36"/>
      <c r="U824" s="36"/>
      <c r="V824" s="36"/>
      <c r="W824" s="36"/>
      <c r="X824" s="36"/>
      <c r="Y824" s="36"/>
      <c r="Z824" s="36"/>
    </row>
    <row r="825" spans="1:26">
      <c r="A825" s="36"/>
      <c r="B825" s="36"/>
      <c r="C825" s="36"/>
      <c r="D825" s="36"/>
      <c r="E825" s="36"/>
      <c r="F825" s="36"/>
      <c r="G825" s="36"/>
      <c r="H825" s="36"/>
      <c r="I825" s="36"/>
      <c r="J825" s="36"/>
      <c r="K825" s="36"/>
      <c r="L825" s="36"/>
      <c r="M825" s="36"/>
      <c r="N825" s="36"/>
      <c r="O825" s="36"/>
      <c r="P825" s="36"/>
      <c r="Q825" s="36"/>
      <c r="R825" s="36"/>
      <c r="S825" s="36"/>
      <c r="T825" s="36"/>
      <c r="U825" s="36"/>
      <c r="V825" s="36"/>
      <c r="W825" s="36"/>
      <c r="X825" s="36"/>
      <c r="Y825" s="36"/>
      <c r="Z825" s="36"/>
    </row>
    <row r="826" spans="1:26">
      <c r="A826" s="36"/>
      <c r="B826" s="36"/>
      <c r="C826" s="36"/>
      <c r="D826" s="36"/>
      <c r="E826" s="36"/>
      <c r="F826" s="36"/>
      <c r="G826" s="36"/>
      <c r="H826" s="36"/>
      <c r="I826" s="36"/>
      <c r="J826" s="36"/>
      <c r="K826" s="36"/>
      <c r="L826" s="36"/>
      <c r="M826" s="36"/>
      <c r="N826" s="36"/>
      <c r="O826" s="36"/>
      <c r="P826" s="36"/>
      <c r="Q826" s="36"/>
      <c r="R826" s="36"/>
      <c r="S826" s="36"/>
      <c r="T826" s="36"/>
      <c r="U826" s="36"/>
      <c r="V826" s="36"/>
      <c r="W826" s="36"/>
      <c r="X826" s="36"/>
      <c r="Y826" s="36"/>
      <c r="Z826" s="36"/>
    </row>
    <row r="827" spans="1:26">
      <c r="A827" s="36"/>
      <c r="B827" s="36"/>
      <c r="C827" s="36"/>
      <c r="D827" s="36"/>
      <c r="E827" s="36"/>
      <c r="F827" s="36"/>
      <c r="G827" s="36"/>
      <c r="H827" s="36"/>
      <c r="I827" s="36"/>
      <c r="J827" s="36"/>
      <c r="K827" s="36"/>
      <c r="L827" s="36"/>
      <c r="M827" s="36"/>
      <c r="N827" s="36"/>
      <c r="O827" s="36"/>
      <c r="P827" s="36"/>
      <c r="Q827" s="36"/>
      <c r="R827" s="36"/>
      <c r="S827" s="36"/>
      <c r="T827" s="36"/>
      <c r="U827" s="36"/>
      <c r="V827" s="36"/>
      <c r="W827" s="36"/>
      <c r="X827" s="36"/>
      <c r="Y827" s="36"/>
      <c r="Z827" s="36"/>
    </row>
    <row r="828" spans="1:26">
      <c r="A828" s="36"/>
      <c r="B828" s="36"/>
      <c r="C828" s="36"/>
      <c r="D828" s="36"/>
      <c r="E828" s="36"/>
      <c r="F828" s="36"/>
      <c r="G828" s="36"/>
      <c r="H828" s="36"/>
      <c r="I828" s="36"/>
      <c r="J828" s="36"/>
      <c r="K828" s="36"/>
      <c r="L828" s="36"/>
      <c r="M828" s="36"/>
      <c r="N828" s="36"/>
      <c r="O828" s="36"/>
      <c r="P828" s="36"/>
      <c r="Q828" s="36"/>
      <c r="R828" s="36"/>
      <c r="S828" s="36"/>
      <c r="T828" s="36"/>
      <c r="U828" s="36"/>
      <c r="V828" s="36"/>
      <c r="W828" s="36"/>
      <c r="X828" s="36"/>
      <c r="Y828" s="36"/>
      <c r="Z828" s="36"/>
    </row>
    <row r="829" spans="1:26">
      <c r="A829" s="36"/>
      <c r="B829" s="36"/>
      <c r="C829" s="36"/>
      <c r="D829" s="36"/>
      <c r="E829" s="36"/>
      <c r="F829" s="36"/>
      <c r="G829" s="36"/>
      <c r="H829" s="36"/>
      <c r="I829" s="36"/>
      <c r="J829" s="36"/>
      <c r="K829" s="36"/>
      <c r="L829" s="36"/>
      <c r="M829" s="36"/>
      <c r="N829" s="36"/>
      <c r="O829" s="36"/>
      <c r="P829" s="36"/>
      <c r="Q829" s="36"/>
      <c r="R829" s="36"/>
      <c r="S829" s="36"/>
      <c r="T829" s="36"/>
      <c r="U829" s="36"/>
      <c r="V829" s="36"/>
      <c r="W829" s="36"/>
      <c r="X829" s="36"/>
      <c r="Y829" s="36"/>
      <c r="Z829" s="36"/>
    </row>
    <row r="830" spans="1:26">
      <c r="A830" s="36"/>
      <c r="B830" s="36"/>
      <c r="C830" s="36"/>
      <c r="D830" s="36"/>
      <c r="E830" s="36"/>
      <c r="F830" s="36"/>
      <c r="G830" s="36"/>
      <c r="H830" s="36"/>
      <c r="I830" s="36"/>
      <c r="J830" s="36"/>
      <c r="K830" s="36"/>
      <c r="L830" s="36"/>
      <c r="M830" s="36"/>
      <c r="N830" s="36"/>
      <c r="O830" s="36"/>
      <c r="P830" s="36"/>
      <c r="Q830" s="36"/>
      <c r="R830" s="36"/>
      <c r="S830" s="36"/>
      <c r="T830" s="36"/>
      <c r="U830" s="36"/>
      <c r="V830" s="36"/>
      <c r="W830" s="36"/>
      <c r="X830" s="36"/>
      <c r="Y830" s="36"/>
      <c r="Z830" s="36"/>
    </row>
    <row r="831" spans="1:26">
      <c r="A831" s="36"/>
      <c r="B831" s="36"/>
      <c r="C831" s="36"/>
      <c r="D831" s="36"/>
      <c r="E831" s="36"/>
      <c r="F831" s="36"/>
      <c r="G831" s="36"/>
      <c r="H831" s="36"/>
      <c r="I831" s="36"/>
      <c r="J831" s="36"/>
      <c r="K831" s="36"/>
      <c r="L831" s="36"/>
      <c r="M831" s="36"/>
      <c r="N831" s="36"/>
      <c r="O831" s="36"/>
      <c r="P831" s="36"/>
      <c r="Q831" s="36"/>
      <c r="R831" s="36"/>
      <c r="S831" s="36"/>
      <c r="T831" s="36"/>
      <c r="U831" s="36"/>
      <c r="V831" s="36"/>
      <c r="W831" s="36"/>
      <c r="X831" s="36"/>
      <c r="Y831" s="36"/>
      <c r="Z831" s="36"/>
    </row>
    <row r="832" spans="1:26">
      <c r="A832" s="36"/>
      <c r="B832" s="36"/>
      <c r="C832" s="36"/>
      <c r="D832" s="36"/>
      <c r="E832" s="36"/>
      <c r="F832" s="36"/>
      <c r="G832" s="36"/>
      <c r="H832" s="36"/>
      <c r="I832" s="36"/>
      <c r="J832" s="36"/>
      <c r="K832" s="36"/>
      <c r="L832" s="36"/>
      <c r="M832" s="36"/>
      <c r="N832" s="36"/>
      <c r="O832" s="36"/>
      <c r="P832" s="36"/>
      <c r="Q832" s="36"/>
      <c r="R832" s="36"/>
      <c r="S832" s="36"/>
      <c r="T832" s="36"/>
      <c r="U832" s="36"/>
      <c r="V832" s="36"/>
      <c r="W832" s="36"/>
      <c r="X832" s="36"/>
      <c r="Y832" s="36"/>
      <c r="Z832" s="36"/>
    </row>
    <row r="833" spans="1:26">
      <c r="A833" s="36"/>
      <c r="B833" s="36"/>
      <c r="C833" s="36"/>
      <c r="D833" s="36"/>
      <c r="E833" s="36"/>
      <c r="F833" s="36"/>
      <c r="G833" s="36"/>
      <c r="H833" s="36"/>
      <c r="I833" s="36"/>
      <c r="J833" s="36"/>
      <c r="K833" s="36"/>
      <c r="L833" s="36"/>
      <c r="M833" s="36"/>
      <c r="N833" s="36"/>
      <c r="O833" s="36"/>
      <c r="P833" s="36"/>
      <c r="Q833" s="36"/>
      <c r="R833" s="36"/>
      <c r="S833" s="36"/>
      <c r="T833" s="36"/>
      <c r="U833" s="36"/>
      <c r="V833" s="36"/>
      <c r="W833" s="36"/>
      <c r="X833" s="36"/>
      <c r="Y833" s="36"/>
      <c r="Z833" s="36"/>
    </row>
    <row r="834" spans="1:26">
      <c r="A834" s="36"/>
      <c r="B834" s="36"/>
      <c r="C834" s="36"/>
      <c r="D834" s="36"/>
      <c r="E834" s="36"/>
      <c r="F834" s="36"/>
      <c r="G834" s="36"/>
      <c r="H834" s="36"/>
      <c r="I834" s="36"/>
      <c r="J834" s="36"/>
      <c r="K834" s="36"/>
      <c r="L834" s="36"/>
      <c r="M834" s="36"/>
      <c r="N834" s="36"/>
      <c r="O834" s="36"/>
      <c r="P834" s="36"/>
      <c r="Q834" s="36"/>
      <c r="R834" s="36"/>
      <c r="S834" s="36"/>
      <c r="T834" s="36"/>
      <c r="U834" s="36"/>
      <c r="V834" s="36"/>
      <c r="W834" s="36"/>
      <c r="X834" s="36"/>
      <c r="Y834" s="36"/>
      <c r="Z834" s="36"/>
    </row>
    <row r="835" spans="1:26">
      <c r="A835" s="36"/>
      <c r="B835" s="36"/>
      <c r="C835" s="36"/>
      <c r="D835" s="36"/>
      <c r="E835" s="36"/>
      <c r="F835" s="36"/>
      <c r="G835" s="36"/>
      <c r="H835" s="36"/>
      <c r="I835" s="36"/>
      <c r="J835" s="36"/>
      <c r="K835" s="36"/>
      <c r="L835" s="36"/>
      <c r="M835" s="36"/>
      <c r="N835" s="36"/>
      <c r="O835" s="36"/>
      <c r="P835" s="36"/>
      <c r="Q835" s="36"/>
      <c r="R835" s="36"/>
      <c r="S835" s="36"/>
      <c r="T835" s="36"/>
      <c r="U835" s="36"/>
      <c r="V835" s="36"/>
      <c r="W835" s="36"/>
      <c r="X835" s="36"/>
      <c r="Y835" s="36"/>
      <c r="Z835" s="36"/>
    </row>
    <row r="836" spans="1:26">
      <c r="A836" s="36"/>
      <c r="B836" s="36"/>
      <c r="C836" s="36"/>
      <c r="D836" s="36"/>
      <c r="E836" s="36"/>
      <c r="F836" s="36"/>
      <c r="G836" s="36"/>
      <c r="H836" s="36"/>
      <c r="I836" s="36"/>
      <c r="J836" s="36"/>
      <c r="K836" s="36"/>
      <c r="L836" s="36"/>
      <c r="M836" s="36"/>
      <c r="N836" s="36"/>
      <c r="O836" s="36"/>
      <c r="P836" s="36"/>
      <c r="Q836" s="36"/>
      <c r="R836" s="36"/>
      <c r="S836" s="36"/>
      <c r="T836" s="36"/>
      <c r="U836" s="36"/>
      <c r="V836" s="36"/>
      <c r="W836" s="36"/>
      <c r="X836" s="36"/>
      <c r="Y836" s="36"/>
      <c r="Z836" s="36"/>
    </row>
    <row r="837" spans="1:26">
      <c r="A837" s="36"/>
      <c r="B837" s="36"/>
      <c r="C837" s="36"/>
      <c r="D837" s="36"/>
      <c r="E837" s="36"/>
      <c r="F837" s="36"/>
      <c r="G837" s="36"/>
      <c r="H837" s="36"/>
      <c r="I837" s="36"/>
      <c r="J837" s="36"/>
      <c r="K837" s="36"/>
      <c r="L837" s="36"/>
      <c r="M837" s="36"/>
      <c r="N837" s="36"/>
      <c r="O837" s="36"/>
      <c r="P837" s="36"/>
      <c r="Q837" s="36"/>
      <c r="R837" s="36"/>
      <c r="S837" s="36"/>
      <c r="T837" s="36"/>
      <c r="U837" s="36"/>
      <c r="V837" s="36"/>
      <c r="W837" s="36"/>
      <c r="X837" s="36"/>
      <c r="Y837" s="36"/>
      <c r="Z837" s="36"/>
    </row>
    <row r="838" spans="1:26">
      <c r="A838" s="36"/>
      <c r="B838" s="36"/>
      <c r="C838" s="36"/>
      <c r="D838" s="36"/>
      <c r="E838" s="36"/>
      <c r="F838" s="36"/>
      <c r="G838" s="36"/>
      <c r="H838" s="36"/>
      <c r="I838" s="36"/>
      <c r="J838" s="36"/>
      <c r="K838" s="36"/>
      <c r="L838" s="36"/>
      <c r="M838" s="36"/>
      <c r="N838" s="36"/>
      <c r="O838" s="36"/>
      <c r="P838" s="36"/>
      <c r="Q838" s="36"/>
      <c r="R838" s="36"/>
      <c r="S838" s="36"/>
      <c r="T838" s="36"/>
      <c r="U838" s="36"/>
      <c r="V838" s="36"/>
      <c r="W838" s="36"/>
      <c r="X838" s="36"/>
      <c r="Y838" s="36"/>
      <c r="Z838" s="36"/>
    </row>
    <row r="839" spans="1:26">
      <c r="A839" s="36"/>
      <c r="B839" s="36"/>
      <c r="C839" s="36"/>
      <c r="D839" s="36"/>
      <c r="E839" s="36"/>
      <c r="F839" s="36"/>
      <c r="G839" s="36"/>
      <c r="H839" s="36"/>
      <c r="I839" s="36"/>
      <c r="J839" s="36"/>
      <c r="K839" s="36"/>
      <c r="L839" s="36"/>
      <c r="M839" s="36"/>
      <c r="N839" s="36"/>
      <c r="O839" s="36"/>
      <c r="P839" s="36"/>
      <c r="Q839" s="36"/>
      <c r="R839" s="36"/>
      <c r="S839" s="36"/>
      <c r="T839" s="36"/>
      <c r="U839" s="36"/>
      <c r="V839" s="36"/>
      <c r="W839" s="36"/>
      <c r="X839" s="36"/>
      <c r="Y839" s="36"/>
      <c r="Z839" s="36"/>
    </row>
    <row r="840" spans="1:26">
      <c r="A840" s="36"/>
      <c r="B840" s="36"/>
      <c r="C840" s="36"/>
      <c r="D840" s="36"/>
      <c r="E840" s="36"/>
      <c r="F840" s="36"/>
      <c r="G840" s="36"/>
      <c r="H840" s="36"/>
      <c r="I840" s="36"/>
      <c r="J840" s="36"/>
      <c r="K840" s="36"/>
      <c r="L840" s="36"/>
      <c r="M840" s="36"/>
      <c r="N840" s="36"/>
      <c r="O840" s="36"/>
      <c r="P840" s="36"/>
      <c r="Q840" s="36"/>
      <c r="R840" s="36"/>
      <c r="S840" s="36"/>
      <c r="T840" s="36"/>
      <c r="U840" s="36"/>
      <c r="V840" s="36"/>
      <c r="W840" s="36"/>
      <c r="X840" s="36"/>
      <c r="Y840" s="36"/>
      <c r="Z840" s="36"/>
    </row>
    <row r="841" spans="1:26">
      <c r="A841" s="36"/>
      <c r="B841" s="36"/>
      <c r="C841" s="36"/>
      <c r="D841" s="36"/>
      <c r="E841" s="36"/>
      <c r="F841" s="36"/>
      <c r="G841" s="36"/>
      <c r="H841" s="36"/>
      <c r="I841" s="36"/>
      <c r="J841" s="36"/>
      <c r="K841" s="36"/>
      <c r="L841" s="36"/>
      <c r="M841" s="36"/>
      <c r="N841" s="36"/>
      <c r="O841" s="36"/>
      <c r="P841" s="36"/>
      <c r="Q841" s="36"/>
      <c r="R841" s="36"/>
      <c r="S841" s="36"/>
      <c r="T841" s="36"/>
      <c r="U841" s="36"/>
      <c r="V841" s="36"/>
      <c r="W841" s="36"/>
      <c r="X841" s="36"/>
      <c r="Y841" s="36"/>
      <c r="Z841" s="36"/>
    </row>
    <row r="842" spans="1:26">
      <c r="A842" s="36"/>
      <c r="B842" s="36"/>
      <c r="C842" s="36"/>
      <c r="D842" s="36"/>
      <c r="E842" s="36"/>
      <c r="F842" s="36"/>
      <c r="G842" s="36"/>
      <c r="H842" s="36"/>
      <c r="I842" s="36"/>
      <c r="J842" s="36"/>
      <c r="K842" s="36"/>
      <c r="L842" s="36"/>
      <c r="M842" s="36"/>
      <c r="N842" s="36"/>
      <c r="O842" s="36"/>
      <c r="P842" s="36"/>
      <c r="Q842" s="36"/>
      <c r="R842" s="36"/>
      <c r="S842" s="36"/>
      <c r="T842" s="36"/>
      <c r="U842" s="36"/>
      <c r="V842" s="36"/>
      <c r="W842" s="36"/>
      <c r="X842" s="36"/>
      <c r="Y842" s="36"/>
      <c r="Z842" s="36"/>
    </row>
    <row r="843" spans="1:26">
      <c r="A843" s="36"/>
      <c r="B843" s="36"/>
      <c r="C843" s="36"/>
      <c r="D843" s="36"/>
      <c r="E843" s="36"/>
      <c r="F843" s="36"/>
      <c r="G843" s="36"/>
      <c r="H843" s="36"/>
      <c r="I843" s="36"/>
      <c r="J843" s="36"/>
      <c r="K843" s="36"/>
      <c r="L843" s="36"/>
      <c r="M843" s="36"/>
      <c r="N843" s="36"/>
      <c r="O843" s="36"/>
      <c r="P843" s="36"/>
      <c r="Q843" s="36"/>
      <c r="R843" s="36"/>
      <c r="S843" s="36"/>
      <c r="T843" s="36"/>
      <c r="U843" s="36"/>
      <c r="V843" s="36"/>
      <c r="W843" s="36"/>
      <c r="X843" s="36"/>
      <c r="Y843" s="36"/>
      <c r="Z843" s="36"/>
    </row>
    <row r="844" spans="1:26">
      <c r="A844" s="36"/>
      <c r="B844" s="36"/>
      <c r="C844" s="36"/>
      <c r="D844" s="36"/>
      <c r="E844" s="36"/>
      <c r="F844" s="36"/>
      <c r="G844" s="36"/>
      <c r="H844" s="36"/>
      <c r="I844" s="36"/>
      <c r="J844" s="36"/>
      <c r="K844" s="36"/>
      <c r="L844" s="36"/>
      <c r="M844" s="36"/>
      <c r="N844" s="36"/>
      <c r="O844" s="36"/>
      <c r="P844" s="36"/>
      <c r="Q844" s="36"/>
      <c r="R844" s="36"/>
      <c r="S844" s="36"/>
      <c r="T844" s="36"/>
      <c r="U844" s="36"/>
      <c r="V844" s="36"/>
      <c r="W844" s="36"/>
      <c r="X844" s="36"/>
      <c r="Y844" s="36"/>
      <c r="Z844" s="36"/>
    </row>
    <row r="845" spans="1:26">
      <c r="A845" s="36"/>
      <c r="B845" s="36"/>
      <c r="C845" s="36"/>
      <c r="D845" s="36"/>
      <c r="E845" s="36"/>
      <c r="F845" s="36"/>
      <c r="G845" s="36"/>
      <c r="H845" s="36"/>
      <c r="I845" s="36"/>
      <c r="J845" s="36"/>
      <c r="K845" s="36"/>
      <c r="L845" s="36"/>
      <c r="M845" s="36"/>
      <c r="N845" s="36"/>
      <c r="O845" s="36"/>
      <c r="P845" s="36"/>
      <c r="Q845" s="36"/>
      <c r="R845" s="36"/>
      <c r="S845" s="36"/>
      <c r="T845" s="36"/>
      <c r="U845" s="36"/>
      <c r="V845" s="36"/>
      <c r="W845" s="36"/>
      <c r="X845" s="36"/>
      <c r="Y845" s="36"/>
      <c r="Z845" s="36"/>
    </row>
    <row r="846" spans="1:26">
      <c r="A846" s="36"/>
      <c r="B846" s="36"/>
      <c r="C846" s="36"/>
      <c r="D846" s="36"/>
      <c r="E846" s="36"/>
      <c r="F846" s="36"/>
      <c r="G846" s="36"/>
      <c r="H846" s="36"/>
      <c r="I846" s="36"/>
      <c r="J846" s="36"/>
      <c r="K846" s="36"/>
      <c r="L846" s="36"/>
      <c r="M846" s="36"/>
      <c r="N846" s="36"/>
      <c r="O846" s="36"/>
      <c r="P846" s="36"/>
      <c r="Q846" s="36"/>
      <c r="R846" s="36"/>
      <c r="S846" s="36"/>
      <c r="T846" s="36"/>
      <c r="U846" s="36"/>
      <c r="V846" s="36"/>
      <c r="W846" s="36"/>
      <c r="X846" s="36"/>
      <c r="Y846" s="36"/>
      <c r="Z846" s="36"/>
    </row>
    <row r="847" spans="1:26">
      <c r="A847" s="36"/>
      <c r="B847" s="36"/>
      <c r="C847" s="36"/>
      <c r="D847" s="36"/>
      <c r="E847" s="36"/>
      <c r="F847" s="36"/>
      <c r="G847" s="36"/>
      <c r="H847" s="36"/>
      <c r="I847" s="36"/>
      <c r="J847" s="36"/>
      <c r="K847" s="36"/>
      <c r="L847" s="36"/>
      <c r="M847" s="36"/>
      <c r="N847" s="36"/>
      <c r="O847" s="36"/>
      <c r="P847" s="36"/>
      <c r="Q847" s="36"/>
      <c r="R847" s="36"/>
      <c r="S847" s="36"/>
      <c r="T847" s="36"/>
      <c r="U847" s="36"/>
      <c r="V847" s="36"/>
      <c r="W847" s="36"/>
      <c r="X847" s="36"/>
      <c r="Y847" s="36"/>
      <c r="Z847" s="36"/>
    </row>
    <row r="848" spans="1:26">
      <c r="A848" s="36"/>
      <c r="B848" s="36"/>
      <c r="C848" s="36"/>
      <c r="D848" s="36"/>
      <c r="E848" s="36"/>
      <c r="F848" s="36"/>
      <c r="G848" s="36"/>
      <c r="H848" s="36"/>
      <c r="I848" s="36"/>
      <c r="J848" s="36"/>
      <c r="K848" s="36"/>
      <c r="L848" s="36"/>
      <c r="M848" s="36"/>
      <c r="N848" s="36"/>
      <c r="O848" s="36"/>
      <c r="P848" s="36"/>
      <c r="Q848" s="36"/>
      <c r="R848" s="36"/>
      <c r="S848" s="36"/>
      <c r="T848" s="36"/>
      <c r="U848" s="36"/>
      <c r="V848" s="36"/>
      <c r="W848" s="36"/>
      <c r="X848" s="36"/>
      <c r="Y848" s="36"/>
      <c r="Z848" s="36"/>
    </row>
    <row r="849" spans="1:26">
      <c r="A849" s="36"/>
      <c r="B849" s="36"/>
      <c r="C849" s="36"/>
      <c r="D849" s="36"/>
      <c r="E849" s="36"/>
      <c r="F849" s="36"/>
      <c r="G849" s="36"/>
      <c r="H849" s="36"/>
      <c r="I849" s="36"/>
      <c r="J849" s="36"/>
      <c r="K849" s="36"/>
      <c r="L849" s="36"/>
      <c r="M849" s="36"/>
      <c r="N849" s="36"/>
      <c r="O849" s="36"/>
      <c r="P849" s="36"/>
      <c r="Q849" s="36"/>
      <c r="R849" s="36"/>
      <c r="S849" s="36"/>
      <c r="T849" s="36"/>
      <c r="U849" s="36"/>
      <c r="V849" s="36"/>
      <c r="W849" s="36"/>
      <c r="X849" s="36"/>
      <c r="Y849" s="36"/>
      <c r="Z849" s="36"/>
    </row>
    <row r="850" spans="1:26">
      <c r="A850" s="36"/>
      <c r="B850" s="36"/>
      <c r="C850" s="36"/>
      <c r="D850" s="36"/>
      <c r="E850" s="36"/>
      <c r="F850" s="36"/>
      <c r="G850" s="36"/>
      <c r="H850" s="36"/>
      <c r="I850" s="36"/>
      <c r="J850" s="36"/>
      <c r="K850" s="36"/>
      <c r="L850" s="36"/>
      <c r="M850" s="36"/>
      <c r="N850" s="36"/>
      <c r="O850" s="36"/>
      <c r="P850" s="36"/>
      <c r="Q850" s="36"/>
      <c r="R850" s="36"/>
      <c r="S850" s="36"/>
      <c r="T850" s="36"/>
      <c r="U850" s="36"/>
      <c r="V850" s="36"/>
      <c r="W850" s="36"/>
      <c r="X850" s="36"/>
      <c r="Y850" s="36"/>
      <c r="Z850" s="36"/>
    </row>
    <row r="851" spans="1:26">
      <c r="A851" s="36"/>
      <c r="B851" s="36"/>
      <c r="C851" s="36"/>
      <c r="D851" s="36"/>
      <c r="E851" s="36"/>
      <c r="F851" s="36"/>
      <c r="G851" s="36"/>
      <c r="H851" s="36"/>
      <c r="I851" s="36"/>
      <c r="J851" s="36"/>
      <c r="K851" s="36"/>
      <c r="L851" s="36"/>
      <c r="M851" s="36"/>
      <c r="N851" s="36"/>
      <c r="O851" s="36"/>
      <c r="P851" s="36"/>
      <c r="Q851" s="36"/>
      <c r="R851" s="36"/>
      <c r="S851" s="36"/>
      <c r="T851" s="36"/>
      <c r="U851" s="36"/>
      <c r="V851" s="36"/>
      <c r="W851" s="36"/>
      <c r="X851" s="36"/>
      <c r="Y851" s="36"/>
      <c r="Z851" s="36"/>
    </row>
    <row r="852" spans="1:26">
      <c r="A852" s="36"/>
      <c r="B852" s="36"/>
      <c r="C852" s="36"/>
      <c r="D852" s="36"/>
      <c r="E852" s="36"/>
      <c r="F852" s="36"/>
      <c r="G852" s="36"/>
      <c r="H852" s="36"/>
      <c r="I852" s="36"/>
      <c r="J852" s="36"/>
      <c r="K852" s="36"/>
      <c r="L852" s="36"/>
      <c r="M852" s="36"/>
      <c r="N852" s="36"/>
      <c r="O852" s="36"/>
      <c r="P852" s="36"/>
      <c r="Q852" s="36"/>
      <c r="R852" s="36"/>
      <c r="S852" s="36"/>
      <c r="T852" s="36"/>
      <c r="U852" s="36"/>
      <c r="V852" s="36"/>
      <c r="W852" s="36"/>
      <c r="X852" s="36"/>
      <c r="Y852" s="36"/>
      <c r="Z852" s="36"/>
    </row>
    <row r="853" spans="1:26">
      <c r="A853" s="36"/>
      <c r="B853" s="36"/>
      <c r="C853" s="36"/>
      <c r="D853" s="36"/>
      <c r="E853" s="36"/>
      <c r="F853" s="36"/>
      <c r="G853" s="36"/>
      <c r="H853" s="36"/>
      <c r="I853" s="36"/>
      <c r="J853" s="36"/>
      <c r="K853" s="36"/>
      <c r="L853" s="36"/>
      <c r="M853" s="36"/>
      <c r="N853" s="36"/>
      <c r="O853" s="36"/>
      <c r="P853" s="36"/>
      <c r="Q853" s="36"/>
      <c r="R853" s="36"/>
      <c r="S853" s="36"/>
      <c r="T853" s="36"/>
      <c r="U853" s="36"/>
      <c r="V853" s="36"/>
      <c r="W853" s="36"/>
      <c r="X853" s="36"/>
      <c r="Y853" s="36"/>
      <c r="Z853" s="36"/>
    </row>
    <row r="854" spans="1:26">
      <c r="A854" s="36"/>
      <c r="B854" s="36"/>
      <c r="C854" s="36"/>
      <c r="D854" s="36"/>
      <c r="E854" s="36"/>
      <c r="F854" s="36"/>
      <c r="G854" s="36"/>
      <c r="H854" s="36"/>
      <c r="I854" s="36"/>
      <c r="J854" s="36"/>
      <c r="K854" s="36"/>
      <c r="L854" s="36"/>
      <c r="M854" s="36"/>
      <c r="N854" s="36"/>
      <c r="O854" s="36"/>
      <c r="P854" s="36"/>
      <c r="Q854" s="36"/>
      <c r="R854" s="36"/>
      <c r="S854" s="36"/>
      <c r="T854" s="36"/>
      <c r="U854" s="36"/>
      <c r="V854" s="36"/>
      <c r="W854" s="36"/>
      <c r="X854" s="36"/>
      <c r="Y854" s="36"/>
      <c r="Z854" s="36"/>
    </row>
    <row r="855" spans="1:26">
      <c r="A855" s="36"/>
      <c r="B855" s="36"/>
      <c r="C855" s="36"/>
      <c r="D855" s="36"/>
      <c r="E855" s="36"/>
      <c r="F855" s="36"/>
      <c r="G855" s="36"/>
      <c r="H855" s="36"/>
      <c r="I855" s="36"/>
      <c r="J855" s="36"/>
      <c r="K855" s="36"/>
      <c r="L855" s="36"/>
      <c r="M855" s="36"/>
      <c r="N855" s="36"/>
      <c r="O855" s="36"/>
      <c r="P855" s="36"/>
      <c r="Q855" s="36"/>
      <c r="R855" s="36"/>
      <c r="S855" s="36"/>
      <c r="T855" s="36"/>
      <c r="U855" s="36"/>
      <c r="V855" s="36"/>
      <c r="W855" s="36"/>
      <c r="X855" s="36"/>
      <c r="Y855" s="36"/>
      <c r="Z855" s="36"/>
    </row>
    <row r="856" spans="1:26">
      <c r="A856" s="36"/>
      <c r="B856" s="36"/>
      <c r="C856" s="36"/>
      <c r="D856" s="36"/>
      <c r="E856" s="36"/>
      <c r="F856" s="36"/>
      <c r="G856" s="36"/>
      <c r="H856" s="36"/>
      <c r="I856" s="36"/>
      <c r="J856" s="36"/>
      <c r="K856" s="36"/>
      <c r="L856" s="36"/>
      <c r="M856" s="36"/>
      <c r="N856" s="36"/>
      <c r="O856" s="36"/>
      <c r="P856" s="36"/>
      <c r="Q856" s="36"/>
      <c r="R856" s="36"/>
      <c r="S856" s="36"/>
      <c r="T856" s="36"/>
      <c r="U856" s="36"/>
      <c r="V856" s="36"/>
      <c r="W856" s="36"/>
      <c r="X856" s="36"/>
      <c r="Y856" s="36"/>
      <c r="Z856" s="36"/>
    </row>
    <row r="857" spans="1:26">
      <c r="A857" s="36"/>
      <c r="B857" s="36"/>
      <c r="C857" s="36"/>
      <c r="D857" s="36"/>
      <c r="E857" s="36"/>
      <c r="F857" s="36"/>
      <c r="G857" s="36"/>
      <c r="H857" s="36"/>
      <c r="I857" s="36"/>
      <c r="J857" s="36"/>
      <c r="K857" s="36"/>
      <c r="L857" s="36"/>
      <c r="M857" s="36"/>
      <c r="N857" s="36"/>
      <c r="O857" s="36"/>
      <c r="P857" s="36"/>
      <c r="Q857" s="36"/>
      <c r="R857" s="36"/>
      <c r="S857" s="36"/>
      <c r="T857" s="36"/>
      <c r="U857" s="36"/>
      <c r="V857" s="36"/>
      <c r="W857" s="36"/>
      <c r="X857" s="36"/>
      <c r="Y857" s="36"/>
      <c r="Z857" s="36"/>
    </row>
    <row r="858" spans="1:26">
      <c r="A858" s="36"/>
      <c r="B858" s="36"/>
      <c r="C858" s="36"/>
      <c r="D858" s="36"/>
      <c r="E858" s="36"/>
      <c r="F858" s="36"/>
      <c r="G858" s="36"/>
      <c r="H858" s="36"/>
      <c r="I858" s="36"/>
      <c r="J858" s="36"/>
      <c r="K858" s="36"/>
      <c r="L858" s="36"/>
      <c r="M858" s="36"/>
      <c r="N858" s="36"/>
      <c r="O858" s="36"/>
      <c r="P858" s="36"/>
      <c r="Q858" s="36"/>
      <c r="R858" s="36"/>
      <c r="S858" s="36"/>
      <c r="T858" s="36"/>
      <c r="U858" s="36"/>
      <c r="V858" s="36"/>
      <c r="W858" s="36"/>
      <c r="X858" s="36"/>
      <c r="Y858" s="36"/>
      <c r="Z858" s="36"/>
    </row>
    <row r="859" spans="1:26">
      <c r="A859" s="36"/>
      <c r="B859" s="36"/>
      <c r="C859" s="36"/>
      <c r="D859" s="36"/>
      <c r="E859" s="36"/>
      <c r="F859" s="36"/>
      <c r="G859" s="36"/>
      <c r="H859" s="36"/>
      <c r="I859" s="36"/>
      <c r="J859" s="36"/>
      <c r="K859" s="36"/>
      <c r="L859" s="36"/>
      <c r="M859" s="36"/>
      <c r="N859" s="36"/>
      <c r="O859" s="36"/>
      <c r="P859" s="36"/>
      <c r="Q859" s="36"/>
      <c r="R859" s="36"/>
      <c r="S859" s="36"/>
      <c r="T859" s="36"/>
      <c r="U859" s="36"/>
      <c r="V859" s="36"/>
      <c r="W859" s="36"/>
      <c r="X859" s="36"/>
      <c r="Y859" s="36"/>
      <c r="Z859" s="36"/>
    </row>
    <row r="860" spans="1:26">
      <c r="A860" s="36"/>
      <c r="B860" s="36"/>
      <c r="C860" s="36"/>
      <c r="D860" s="36"/>
      <c r="E860" s="36"/>
      <c r="F860" s="36"/>
      <c r="G860" s="36"/>
      <c r="H860" s="36"/>
      <c r="I860" s="36"/>
      <c r="J860" s="36"/>
      <c r="K860" s="36"/>
      <c r="L860" s="36"/>
      <c r="M860" s="36"/>
      <c r="N860" s="36"/>
      <c r="O860" s="36"/>
      <c r="P860" s="36"/>
      <c r="Q860" s="36"/>
      <c r="R860" s="36"/>
      <c r="S860" s="36"/>
      <c r="T860" s="36"/>
      <c r="U860" s="36"/>
      <c r="V860" s="36"/>
      <c r="W860" s="36"/>
      <c r="X860" s="36"/>
      <c r="Y860" s="36"/>
      <c r="Z860" s="36"/>
    </row>
    <row r="861" spans="1:26">
      <c r="A861" s="36"/>
      <c r="B861" s="36"/>
      <c r="C861" s="36"/>
      <c r="D861" s="36"/>
      <c r="E861" s="36"/>
      <c r="F861" s="36"/>
      <c r="G861" s="36"/>
      <c r="H861" s="36"/>
      <c r="I861" s="36"/>
      <c r="J861" s="36"/>
      <c r="K861" s="36"/>
      <c r="L861" s="36"/>
      <c r="M861" s="36"/>
      <c r="N861" s="36"/>
      <c r="O861" s="36"/>
      <c r="P861" s="36"/>
      <c r="Q861" s="36"/>
      <c r="R861" s="36"/>
      <c r="S861" s="36"/>
      <c r="T861" s="36"/>
      <c r="U861" s="36"/>
      <c r="V861" s="36"/>
      <c r="W861" s="36"/>
      <c r="X861" s="36"/>
      <c r="Y861" s="36"/>
      <c r="Z861" s="36"/>
    </row>
    <row r="862" spans="1:26">
      <c r="A862" s="36"/>
      <c r="B862" s="36"/>
      <c r="C862" s="36"/>
      <c r="D862" s="36"/>
      <c r="E862" s="36"/>
      <c r="F862" s="36"/>
      <c r="G862" s="36"/>
      <c r="H862" s="36"/>
      <c r="I862" s="36"/>
      <c r="J862" s="36"/>
      <c r="K862" s="36"/>
      <c r="L862" s="36"/>
      <c r="M862" s="36"/>
      <c r="N862" s="36"/>
      <c r="O862" s="36"/>
      <c r="P862" s="36"/>
      <c r="Q862" s="36"/>
      <c r="R862" s="36"/>
      <c r="S862" s="36"/>
      <c r="T862" s="36"/>
      <c r="U862" s="36"/>
      <c r="V862" s="36"/>
      <c r="W862" s="36"/>
      <c r="X862" s="36"/>
      <c r="Y862" s="36"/>
      <c r="Z862" s="36"/>
    </row>
    <row r="863" spans="1:26">
      <c r="A863" s="36"/>
      <c r="B863" s="36"/>
      <c r="C863" s="36"/>
      <c r="D863" s="36"/>
      <c r="E863" s="36"/>
      <c r="F863" s="36"/>
      <c r="G863" s="36"/>
      <c r="H863" s="36"/>
      <c r="I863" s="36"/>
      <c r="J863" s="36"/>
      <c r="K863" s="36"/>
      <c r="L863" s="36"/>
      <c r="M863" s="36"/>
      <c r="N863" s="36"/>
      <c r="O863" s="36"/>
      <c r="P863" s="36"/>
      <c r="Q863" s="36"/>
      <c r="R863" s="36"/>
      <c r="S863" s="36"/>
      <c r="T863" s="36"/>
      <c r="U863" s="36"/>
      <c r="V863" s="36"/>
      <c r="W863" s="36"/>
      <c r="X863" s="36"/>
      <c r="Y863" s="36"/>
      <c r="Z863" s="36"/>
    </row>
    <row r="864" spans="1:26">
      <c r="A864" s="36"/>
      <c r="B864" s="36"/>
      <c r="C864" s="36"/>
      <c r="D864" s="36"/>
      <c r="E864" s="36"/>
      <c r="F864" s="36"/>
      <c r="G864" s="36"/>
      <c r="H864" s="36"/>
      <c r="I864" s="36"/>
      <c r="J864" s="36"/>
      <c r="K864" s="36"/>
      <c r="L864" s="36"/>
      <c r="M864" s="36"/>
      <c r="N864" s="36"/>
      <c r="O864" s="36"/>
      <c r="P864" s="36"/>
      <c r="Q864" s="36"/>
      <c r="R864" s="36"/>
      <c r="S864" s="36"/>
      <c r="T864" s="36"/>
      <c r="U864" s="36"/>
      <c r="V864" s="36"/>
      <c r="W864" s="36"/>
      <c r="X864" s="36"/>
      <c r="Y864" s="36"/>
      <c r="Z864" s="36"/>
    </row>
    <row r="865" spans="1:26">
      <c r="A865" s="36"/>
      <c r="B865" s="36"/>
      <c r="C865" s="36"/>
      <c r="D865" s="36"/>
      <c r="E865" s="36"/>
      <c r="F865" s="36"/>
      <c r="G865" s="36"/>
      <c r="H865" s="36"/>
      <c r="I865" s="36"/>
      <c r="J865" s="36"/>
      <c r="K865" s="36"/>
      <c r="L865" s="36"/>
      <c r="M865" s="36"/>
      <c r="N865" s="36"/>
      <c r="O865" s="36"/>
      <c r="P865" s="36"/>
      <c r="Q865" s="36"/>
      <c r="R865" s="36"/>
      <c r="S865" s="36"/>
      <c r="T865" s="36"/>
      <c r="U865" s="36"/>
      <c r="V865" s="36"/>
      <c r="W865" s="36"/>
      <c r="X865" s="36"/>
      <c r="Y865" s="36"/>
      <c r="Z865" s="36"/>
    </row>
    <row r="866" spans="1:26">
      <c r="A866" s="36"/>
      <c r="B866" s="36"/>
      <c r="C866" s="36"/>
      <c r="D866" s="36"/>
      <c r="E866" s="36"/>
      <c r="F866" s="36"/>
      <c r="G866" s="36"/>
      <c r="H866" s="36"/>
      <c r="I866" s="36"/>
      <c r="J866" s="36"/>
      <c r="K866" s="36"/>
      <c r="L866" s="36"/>
      <c r="M866" s="36"/>
      <c r="N866" s="36"/>
      <c r="O866" s="36"/>
      <c r="P866" s="36"/>
      <c r="Q866" s="36"/>
      <c r="R866" s="36"/>
      <c r="S866" s="36"/>
      <c r="T866" s="36"/>
      <c r="U866" s="36"/>
      <c r="V866" s="36"/>
      <c r="W866" s="36"/>
      <c r="X866" s="36"/>
      <c r="Y866" s="36"/>
      <c r="Z866" s="36"/>
    </row>
    <row r="867" spans="1:26">
      <c r="A867" s="36"/>
      <c r="B867" s="36"/>
      <c r="C867" s="36"/>
      <c r="D867" s="36"/>
      <c r="E867" s="36"/>
      <c r="F867" s="36"/>
      <c r="G867" s="36"/>
      <c r="H867" s="36"/>
      <c r="I867" s="36"/>
      <c r="J867" s="36"/>
      <c r="K867" s="36"/>
      <c r="L867" s="36"/>
      <c r="M867" s="36"/>
      <c r="N867" s="36"/>
      <c r="O867" s="36"/>
      <c r="P867" s="36"/>
      <c r="Q867" s="36"/>
      <c r="R867" s="36"/>
      <c r="S867" s="36"/>
      <c r="T867" s="36"/>
      <c r="U867" s="36"/>
      <c r="V867" s="36"/>
      <c r="W867" s="36"/>
      <c r="X867" s="36"/>
      <c r="Y867" s="36"/>
      <c r="Z867" s="36"/>
    </row>
    <row r="868" spans="1:26">
      <c r="A868" s="36"/>
      <c r="B868" s="36"/>
      <c r="C868" s="36"/>
      <c r="D868" s="36"/>
      <c r="E868" s="36"/>
      <c r="F868" s="36"/>
      <c r="G868" s="36"/>
      <c r="H868" s="36"/>
      <c r="I868" s="36"/>
      <c r="J868" s="36"/>
      <c r="K868" s="36"/>
      <c r="L868" s="36"/>
      <c r="M868" s="36"/>
      <c r="N868" s="36"/>
      <c r="O868" s="36"/>
      <c r="P868" s="36"/>
      <c r="Q868" s="36"/>
      <c r="R868" s="36"/>
      <c r="S868" s="36"/>
      <c r="T868" s="36"/>
      <c r="U868" s="36"/>
      <c r="V868" s="36"/>
      <c r="W868" s="36"/>
      <c r="X868" s="36"/>
      <c r="Y868" s="36"/>
      <c r="Z868" s="36"/>
    </row>
    <row r="869" spans="1:26">
      <c r="A869" s="36"/>
      <c r="B869" s="36"/>
      <c r="C869" s="36"/>
      <c r="D869" s="36"/>
      <c r="E869" s="36"/>
      <c r="F869" s="36"/>
      <c r="G869" s="36"/>
      <c r="H869" s="36"/>
      <c r="I869" s="36"/>
      <c r="J869" s="36"/>
      <c r="K869" s="36"/>
      <c r="L869" s="36"/>
      <c r="M869" s="36"/>
      <c r="N869" s="36"/>
      <c r="O869" s="36"/>
      <c r="P869" s="36"/>
      <c r="Q869" s="36"/>
      <c r="R869" s="36"/>
      <c r="S869" s="36"/>
      <c r="T869" s="36"/>
      <c r="U869" s="36"/>
      <c r="V869" s="36"/>
      <c r="W869" s="36"/>
      <c r="X869" s="36"/>
      <c r="Y869" s="36"/>
      <c r="Z869" s="36"/>
    </row>
    <row r="870" spans="1:26">
      <c r="A870" s="36"/>
      <c r="B870" s="36"/>
      <c r="C870" s="36"/>
      <c r="D870" s="36"/>
      <c r="E870" s="36"/>
      <c r="F870" s="36"/>
      <c r="G870" s="36"/>
      <c r="H870" s="36"/>
      <c r="I870" s="36"/>
      <c r="J870" s="36"/>
      <c r="K870" s="36"/>
      <c r="L870" s="36"/>
      <c r="M870" s="36"/>
      <c r="N870" s="36"/>
      <c r="O870" s="36"/>
      <c r="P870" s="36"/>
      <c r="Q870" s="36"/>
      <c r="R870" s="36"/>
      <c r="S870" s="36"/>
      <c r="T870" s="36"/>
      <c r="U870" s="36"/>
      <c r="V870" s="36"/>
      <c r="W870" s="36"/>
      <c r="X870" s="36"/>
      <c r="Y870" s="36"/>
      <c r="Z870" s="36"/>
    </row>
    <row r="871" spans="1:26">
      <c r="A871" s="36"/>
      <c r="B871" s="36"/>
      <c r="C871" s="36"/>
      <c r="D871" s="36"/>
      <c r="E871" s="36"/>
      <c r="F871" s="36"/>
      <c r="G871" s="36"/>
      <c r="H871" s="36"/>
      <c r="I871" s="36"/>
      <c r="J871" s="36"/>
      <c r="K871" s="36"/>
      <c r="L871" s="36"/>
      <c r="M871" s="36"/>
      <c r="N871" s="36"/>
      <c r="O871" s="36"/>
      <c r="P871" s="36"/>
      <c r="Q871" s="36"/>
      <c r="R871" s="36"/>
      <c r="S871" s="36"/>
      <c r="T871" s="36"/>
      <c r="U871" s="36"/>
      <c r="V871" s="36"/>
      <c r="W871" s="36"/>
      <c r="X871" s="36"/>
      <c r="Y871" s="36"/>
      <c r="Z871" s="36"/>
    </row>
    <row r="872" spans="1:26">
      <c r="A872" s="36"/>
      <c r="B872" s="36"/>
      <c r="C872" s="36"/>
      <c r="D872" s="36"/>
      <c r="E872" s="36"/>
      <c r="F872" s="36"/>
      <c r="G872" s="36"/>
      <c r="H872" s="36"/>
      <c r="I872" s="36"/>
      <c r="J872" s="36"/>
      <c r="K872" s="36"/>
      <c r="L872" s="36"/>
      <c r="M872" s="36"/>
      <c r="N872" s="36"/>
      <c r="O872" s="36"/>
      <c r="P872" s="36"/>
      <c r="Q872" s="36"/>
      <c r="R872" s="36"/>
      <c r="S872" s="36"/>
      <c r="T872" s="36"/>
      <c r="U872" s="36"/>
      <c r="V872" s="36"/>
      <c r="W872" s="36"/>
      <c r="X872" s="36"/>
      <c r="Y872" s="36"/>
      <c r="Z872" s="36"/>
    </row>
    <row r="873" spans="1:26">
      <c r="A873" s="36"/>
      <c r="B873" s="36"/>
      <c r="C873" s="36"/>
      <c r="D873" s="36"/>
      <c r="E873" s="36"/>
      <c r="F873" s="36"/>
      <c r="G873" s="36"/>
      <c r="H873" s="36"/>
      <c r="I873" s="36"/>
      <c r="J873" s="36"/>
      <c r="K873" s="36"/>
      <c r="L873" s="36"/>
      <c r="M873" s="36"/>
      <c r="N873" s="36"/>
      <c r="O873" s="36"/>
      <c r="P873" s="36"/>
      <c r="Q873" s="36"/>
      <c r="R873" s="36"/>
      <c r="S873" s="36"/>
      <c r="T873" s="36"/>
      <c r="U873" s="36"/>
      <c r="V873" s="36"/>
      <c r="W873" s="36"/>
      <c r="X873" s="36"/>
      <c r="Y873" s="36"/>
      <c r="Z873" s="36"/>
    </row>
    <row r="874" spans="1:26">
      <c r="A874" s="36"/>
      <c r="B874" s="36"/>
      <c r="C874" s="36"/>
      <c r="D874" s="36"/>
      <c r="E874" s="36"/>
      <c r="F874" s="36"/>
      <c r="G874" s="36"/>
      <c r="H874" s="36"/>
      <c r="I874" s="36"/>
      <c r="J874" s="36"/>
      <c r="K874" s="36"/>
      <c r="L874" s="36"/>
      <c r="M874" s="36"/>
      <c r="N874" s="36"/>
      <c r="O874" s="36"/>
      <c r="P874" s="36"/>
      <c r="Q874" s="36"/>
      <c r="R874" s="36"/>
      <c r="S874" s="36"/>
      <c r="T874" s="36"/>
      <c r="U874" s="36"/>
      <c r="V874" s="36"/>
      <c r="W874" s="36"/>
      <c r="X874" s="36"/>
      <c r="Y874" s="36"/>
      <c r="Z874" s="36"/>
    </row>
    <row r="875" spans="1:26">
      <c r="A875" s="36"/>
      <c r="B875" s="36"/>
      <c r="C875" s="36"/>
      <c r="D875" s="36"/>
      <c r="E875" s="36"/>
      <c r="F875" s="36"/>
      <c r="G875" s="36"/>
      <c r="H875" s="36"/>
      <c r="I875" s="36"/>
      <c r="J875" s="36"/>
      <c r="K875" s="36"/>
      <c r="L875" s="36"/>
      <c r="M875" s="36"/>
      <c r="N875" s="36"/>
      <c r="O875" s="36"/>
      <c r="P875" s="36"/>
      <c r="Q875" s="36"/>
      <c r="R875" s="36"/>
      <c r="S875" s="36"/>
      <c r="T875" s="36"/>
      <c r="U875" s="36"/>
      <c r="V875" s="36"/>
      <c r="W875" s="36"/>
      <c r="X875" s="36"/>
      <c r="Y875" s="36"/>
      <c r="Z875" s="36"/>
    </row>
    <row r="876" spans="1:26">
      <c r="A876" s="36"/>
      <c r="B876" s="36"/>
      <c r="C876" s="36"/>
      <c r="D876" s="36"/>
      <c r="E876" s="36"/>
      <c r="F876" s="36"/>
      <c r="G876" s="36"/>
      <c r="H876" s="36"/>
      <c r="I876" s="36"/>
      <c r="J876" s="36"/>
      <c r="K876" s="36"/>
      <c r="L876" s="36"/>
      <c r="M876" s="36"/>
      <c r="N876" s="36"/>
      <c r="O876" s="36"/>
      <c r="P876" s="36"/>
      <c r="Q876" s="36"/>
      <c r="R876" s="36"/>
      <c r="S876" s="36"/>
      <c r="T876" s="36"/>
      <c r="U876" s="36"/>
      <c r="V876" s="36"/>
      <c r="W876" s="36"/>
      <c r="X876" s="36"/>
      <c r="Y876" s="36"/>
      <c r="Z876" s="36"/>
    </row>
    <row r="877" spans="1:26">
      <c r="A877" s="36"/>
      <c r="B877" s="36"/>
      <c r="C877" s="36"/>
      <c r="D877" s="36"/>
      <c r="E877" s="36"/>
      <c r="F877" s="36"/>
      <c r="G877" s="36"/>
      <c r="H877" s="36"/>
      <c r="I877" s="36"/>
      <c r="J877" s="36"/>
      <c r="K877" s="36"/>
      <c r="L877" s="36"/>
      <c r="M877" s="36"/>
      <c r="N877" s="36"/>
      <c r="O877" s="36"/>
      <c r="P877" s="36"/>
      <c r="Q877" s="36"/>
      <c r="R877" s="36"/>
      <c r="S877" s="36"/>
      <c r="T877" s="36"/>
      <c r="U877" s="36"/>
      <c r="V877" s="36"/>
      <c r="W877" s="36"/>
      <c r="X877" s="36"/>
      <c r="Y877" s="36"/>
      <c r="Z877" s="36"/>
    </row>
    <row r="878" spans="1:26">
      <c r="A878" s="36"/>
      <c r="B878" s="36"/>
      <c r="C878" s="36"/>
      <c r="D878" s="36"/>
      <c r="E878" s="36"/>
      <c r="F878" s="36"/>
      <c r="G878" s="36"/>
      <c r="H878" s="36"/>
      <c r="I878" s="36"/>
      <c r="J878" s="36"/>
      <c r="K878" s="36"/>
      <c r="L878" s="36"/>
      <c r="M878" s="36"/>
      <c r="N878" s="36"/>
      <c r="O878" s="36"/>
      <c r="P878" s="36"/>
      <c r="Q878" s="36"/>
      <c r="R878" s="36"/>
      <c r="S878" s="36"/>
      <c r="T878" s="36"/>
      <c r="U878" s="36"/>
      <c r="V878" s="36"/>
      <c r="W878" s="36"/>
      <c r="X878" s="36"/>
      <c r="Y878" s="36"/>
      <c r="Z878" s="36"/>
    </row>
    <row r="879" spans="1:26">
      <c r="A879" s="36"/>
      <c r="B879" s="36"/>
      <c r="C879" s="36"/>
      <c r="D879" s="36"/>
      <c r="E879" s="36"/>
      <c r="F879" s="36"/>
      <c r="G879" s="36"/>
      <c r="H879" s="36"/>
      <c r="I879" s="36"/>
      <c r="J879" s="36"/>
      <c r="K879" s="36"/>
      <c r="L879" s="36"/>
      <c r="M879" s="36"/>
      <c r="N879" s="36"/>
      <c r="O879" s="36"/>
      <c r="P879" s="36"/>
      <c r="Q879" s="36"/>
      <c r="R879" s="36"/>
      <c r="S879" s="36"/>
      <c r="T879" s="36"/>
      <c r="U879" s="36"/>
      <c r="V879" s="36"/>
      <c r="W879" s="36"/>
      <c r="X879" s="36"/>
      <c r="Y879" s="36"/>
      <c r="Z879" s="36"/>
    </row>
    <row r="880" spans="1:26">
      <c r="A880" s="36"/>
      <c r="B880" s="36"/>
      <c r="C880" s="36"/>
      <c r="D880" s="36"/>
      <c r="E880" s="36"/>
      <c r="F880" s="36"/>
      <c r="G880" s="36"/>
      <c r="H880" s="36"/>
      <c r="I880" s="36"/>
      <c r="J880" s="36"/>
      <c r="K880" s="36"/>
      <c r="L880" s="36"/>
      <c r="M880" s="36"/>
      <c r="N880" s="36"/>
      <c r="O880" s="36"/>
      <c r="P880" s="36"/>
      <c r="Q880" s="36"/>
      <c r="R880" s="36"/>
      <c r="S880" s="36"/>
      <c r="T880" s="36"/>
      <c r="U880" s="36"/>
      <c r="V880" s="36"/>
      <c r="W880" s="36"/>
      <c r="X880" s="36"/>
      <c r="Y880" s="36"/>
      <c r="Z880" s="36"/>
    </row>
    <row r="881" spans="1:26">
      <c r="A881" s="36"/>
      <c r="B881" s="36"/>
      <c r="C881" s="36"/>
      <c r="D881" s="36"/>
      <c r="E881" s="36"/>
      <c r="F881" s="36"/>
      <c r="G881" s="36"/>
      <c r="H881" s="36"/>
      <c r="I881" s="36"/>
      <c r="J881" s="36"/>
      <c r="K881" s="36"/>
      <c r="L881" s="36"/>
      <c r="M881" s="36"/>
      <c r="N881" s="36"/>
      <c r="O881" s="36"/>
      <c r="P881" s="36"/>
      <c r="Q881" s="36"/>
      <c r="R881" s="36"/>
      <c r="S881" s="36"/>
      <c r="T881" s="36"/>
      <c r="U881" s="36"/>
      <c r="V881" s="36"/>
      <c r="W881" s="36"/>
      <c r="X881" s="36"/>
      <c r="Y881" s="36"/>
      <c r="Z881" s="36"/>
    </row>
    <row r="882" spans="1:26">
      <c r="A882" s="36"/>
      <c r="B882" s="36"/>
      <c r="C882" s="36"/>
      <c r="D882" s="36"/>
      <c r="E882" s="36"/>
      <c r="F882" s="36"/>
      <c r="G882" s="36"/>
      <c r="H882" s="36"/>
      <c r="I882" s="36"/>
      <c r="J882" s="36"/>
      <c r="K882" s="36"/>
      <c r="L882" s="36"/>
      <c r="M882" s="36"/>
      <c r="N882" s="36"/>
      <c r="O882" s="36"/>
      <c r="P882" s="36"/>
      <c r="Q882" s="36"/>
      <c r="R882" s="36"/>
      <c r="S882" s="36"/>
      <c r="T882" s="36"/>
      <c r="U882" s="36"/>
      <c r="V882" s="36"/>
      <c r="W882" s="36"/>
      <c r="X882" s="36"/>
      <c r="Y882" s="36"/>
      <c r="Z882" s="36"/>
    </row>
    <row r="883" spans="1:26">
      <c r="A883" s="36"/>
      <c r="B883" s="36"/>
      <c r="C883" s="36"/>
      <c r="D883" s="36"/>
      <c r="E883" s="36"/>
      <c r="F883" s="36"/>
      <c r="G883" s="36"/>
      <c r="H883" s="36"/>
      <c r="I883" s="36"/>
      <c r="J883" s="36"/>
      <c r="K883" s="36"/>
      <c r="L883" s="36"/>
      <c r="M883" s="36"/>
      <c r="N883" s="36"/>
      <c r="O883" s="36"/>
      <c r="P883" s="36"/>
      <c r="Q883" s="36"/>
      <c r="R883" s="36"/>
      <c r="S883" s="36"/>
      <c r="T883" s="36"/>
      <c r="U883" s="36"/>
      <c r="V883" s="36"/>
      <c r="W883" s="36"/>
      <c r="X883" s="36"/>
      <c r="Y883" s="36"/>
      <c r="Z883" s="36"/>
    </row>
    <row r="884" spans="1:26">
      <c r="A884" s="36"/>
      <c r="B884" s="36"/>
      <c r="C884" s="36"/>
      <c r="D884" s="36"/>
      <c r="E884" s="36"/>
      <c r="F884" s="36"/>
      <c r="G884" s="36"/>
      <c r="H884" s="36"/>
      <c r="I884" s="36"/>
      <c r="J884" s="36"/>
      <c r="K884" s="36"/>
      <c r="L884" s="36"/>
      <c r="M884" s="36"/>
      <c r="N884" s="36"/>
      <c r="O884" s="36"/>
      <c r="P884" s="36"/>
      <c r="Q884" s="36"/>
      <c r="R884" s="36"/>
      <c r="S884" s="36"/>
      <c r="T884" s="36"/>
      <c r="U884" s="36"/>
      <c r="V884" s="36"/>
      <c r="W884" s="36"/>
      <c r="X884" s="36"/>
      <c r="Y884" s="36"/>
      <c r="Z884" s="36"/>
    </row>
    <row r="885" spans="1:26">
      <c r="A885" s="36"/>
      <c r="B885" s="36"/>
      <c r="C885" s="36"/>
      <c r="D885" s="36"/>
      <c r="E885" s="36"/>
      <c r="F885" s="36"/>
      <c r="G885" s="36"/>
      <c r="H885" s="36"/>
      <c r="I885" s="36"/>
      <c r="J885" s="36"/>
      <c r="K885" s="36"/>
      <c r="L885" s="36"/>
      <c r="M885" s="36"/>
      <c r="N885" s="36"/>
      <c r="O885" s="36"/>
      <c r="P885" s="36"/>
      <c r="Q885" s="36"/>
      <c r="R885" s="36"/>
      <c r="S885" s="36"/>
      <c r="T885" s="36"/>
      <c r="U885" s="36"/>
      <c r="V885" s="36"/>
      <c r="W885" s="36"/>
      <c r="X885" s="36"/>
      <c r="Y885" s="36"/>
      <c r="Z885" s="36"/>
    </row>
    <row r="886" spans="1:26">
      <c r="A886" s="36"/>
      <c r="B886" s="36"/>
      <c r="C886" s="36"/>
      <c r="D886" s="36"/>
      <c r="E886" s="36"/>
      <c r="F886" s="36"/>
      <c r="G886" s="36"/>
      <c r="H886" s="36"/>
      <c r="I886" s="36"/>
      <c r="J886" s="36"/>
      <c r="K886" s="36"/>
      <c r="L886" s="36"/>
      <c r="M886" s="36"/>
      <c r="N886" s="36"/>
      <c r="O886" s="36"/>
      <c r="P886" s="36"/>
      <c r="Q886" s="36"/>
      <c r="R886" s="36"/>
      <c r="S886" s="36"/>
      <c r="T886" s="36"/>
      <c r="U886" s="36"/>
      <c r="V886" s="36"/>
      <c r="W886" s="36"/>
      <c r="X886" s="36"/>
      <c r="Y886" s="36"/>
      <c r="Z886" s="36"/>
    </row>
    <row r="887" spans="1:26">
      <c r="A887" s="36"/>
      <c r="B887" s="36"/>
      <c r="C887" s="36"/>
      <c r="D887" s="36"/>
      <c r="E887" s="36"/>
      <c r="F887" s="36"/>
      <c r="G887" s="36"/>
      <c r="H887" s="36"/>
      <c r="I887" s="36"/>
      <c r="J887" s="36"/>
      <c r="K887" s="36"/>
      <c r="L887" s="36"/>
      <c r="M887" s="36"/>
      <c r="N887" s="36"/>
      <c r="O887" s="36"/>
      <c r="P887" s="36"/>
      <c r="Q887" s="36"/>
      <c r="R887" s="36"/>
      <c r="S887" s="36"/>
      <c r="T887" s="36"/>
      <c r="U887" s="36"/>
      <c r="V887" s="36"/>
      <c r="W887" s="36"/>
      <c r="X887" s="36"/>
      <c r="Y887" s="36"/>
      <c r="Z887" s="36"/>
    </row>
    <row r="888" spans="1:26">
      <c r="A888" s="36"/>
      <c r="B888" s="36"/>
      <c r="C888" s="36"/>
      <c r="D888" s="36"/>
      <c r="E888" s="36"/>
      <c r="F888" s="36"/>
      <c r="G888" s="36"/>
      <c r="H888" s="36"/>
      <c r="I888" s="36"/>
      <c r="J888" s="36"/>
      <c r="K888" s="36"/>
      <c r="L888" s="36"/>
      <c r="M888" s="36"/>
      <c r="N888" s="36"/>
      <c r="O888" s="36"/>
      <c r="P888" s="36"/>
      <c r="Q888" s="36"/>
      <c r="R888" s="36"/>
      <c r="S888" s="36"/>
      <c r="T888" s="36"/>
      <c r="U888" s="36"/>
      <c r="V888" s="36"/>
      <c r="W888" s="36"/>
      <c r="X888" s="36"/>
      <c r="Y888" s="36"/>
      <c r="Z888" s="36"/>
    </row>
    <row r="889" spans="1:26">
      <c r="A889" s="36"/>
      <c r="B889" s="36"/>
      <c r="C889" s="36"/>
      <c r="D889" s="36"/>
      <c r="E889" s="36"/>
      <c r="F889" s="36"/>
      <c r="G889" s="36"/>
      <c r="H889" s="36"/>
      <c r="I889" s="36"/>
      <c r="J889" s="36"/>
      <c r="K889" s="36"/>
      <c r="L889" s="36"/>
      <c r="M889" s="36"/>
      <c r="N889" s="36"/>
      <c r="O889" s="36"/>
      <c r="P889" s="36"/>
      <c r="Q889" s="36"/>
      <c r="R889" s="36"/>
      <c r="S889" s="36"/>
      <c r="T889" s="36"/>
      <c r="U889" s="36"/>
      <c r="V889" s="36"/>
      <c r="W889" s="36"/>
      <c r="X889" s="36"/>
      <c r="Y889" s="36"/>
      <c r="Z889" s="36"/>
    </row>
    <row r="890" spans="1:26">
      <c r="A890" s="36"/>
      <c r="B890" s="36"/>
      <c r="C890" s="36"/>
      <c r="D890" s="36"/>
      <c r="E890" s="36"/>
      <c r="F890" s="36"/>
      <c r="G890" s="36"/>
      <c r="H890" s="36"/>
      <c r="I890" s="36"/>
      <c r="J890" s="36"/>
      <c r="K890" s="36"/>
      <c r="L890" s="36"/>
      <c r="M890" s="36"/>
      <c r="N890" s="36"/>
      <c r="O890" s="36"/>
      <c r="P890" s="36"/>
      <c r="Q890" s="36"/>
      <c r="R890" s="36"/>
      <c r="S890" s="36"/>
      <c r="T890" s="36"/>
      <c r="U890" s="36"/>
      <c r="V890" s="36"/>
      <c r="W890" s="36"/>
      <c r="X890" s="36"/>
      <c r="Y890" s="36"/>
      <c r="Z890" s="36"/>
    </row>
    <row r="891" spans="1:26">
      <c r="A891" s="36"/>
      <c r="B891" s="36"/>
      <c r="C891" s="36"/>
      <c r="D891" s="36"/>
      <c r="E891" s="36"/>
      <c r="F891" s="36"/>
      <c r="G891" s="36"/>
      <c r="H891" s="36"/>
      <c r="I891" s="36"/>
      <c r="J891" s="36"/>
      <c r="K891" s="36"/>
      <c r="L891" s="36"/>
      <c r="M891" s="36"/>
      <c r="N891" s="36"/>
      <c r="O891" s="36"/>
      <c r="P891" s="36"/>
      <c r="Q891" s="36"/>
      <c r="R891" s="36"/>
      <c r="S891" s="36"/>
      <c r="T891" s="36"/>
      <c r="U891" s="36"/>
      <c r="V891" s="36"/>
      <c r="W891" s="36"/>
      <c r="X891" s="36"/>
      <c r="Y891" s="36"/>
      <c r="Z891" s="36"/>
    </row>
    <row r="892" spans="1:26">
      <c r="A892" s="36"/>
      <c r="B892" s="36"/>
      <c r="C892" s="36"/>
      <c r="D892" s="36"/>
      <c r="E892" s="36"/>
      <c r="F892" s="36"/>
      <c r="G892" s="36"/>
      <c r="H892" s="36"/>
      <c r="I892" s="36"/>
      <c r="J892" s="36"/>
      <c r="K892" s="36"/>
      <c r="L892" s="36"/>
      <c r="M892" s="36"/>
      <c r="N892" s="36"/>
      <c r="O892" s="36"/>
      <c r="P892" s="36"/>
      <c r="Q892" s="36"/>
      <c r="R892" s="36"/>
      <c r="S892" s="36"/>
      <c r="T892" s="36"/>
      <c r="U892" s="36"/>
      <c r="V892" s="36"/>
      <c r="W892" s="36"/>
      <c r="X892" s="36"/>
      <c r="Y892" s="36"/>
      <c r="Z892" s="36"/>
    </row>
    <row r="893" spans="1:26">
      <c r="A893" s="36"/>
      <c r="B893" s="36"/>
      <c r="C893" s="36"/>
      <c r="D893" s="36"/>
      <c r="E893" s="36"/>
      <c r="F893" s="36"/>
      <c r="G893" s="36"/>
      <c r="H893" s="36"/>
      <c r="I893" s="36"/>
      <c r="J893" s="36"/>
      <c r="K893" s="36"/>
      <c r="L893" s="36"/>
      <c r="M893" s="36"/>
      <c r="N893" s="36"/>
      <c r="O893" s="36"/>
      <c r="P893" s="36"/>
      <c r="Q893" s="36"/>
      <c r="R893" s="36"/>
      <c r="S893" s="36"/>
      <c r="T893" s="36"/>
      <c r="U893" s="36"/>
      <c r="V893" s="36"/>
      <c r="W893" s="36"/>
      <c r="X893" s="36"/>
      <c r="Y893" s="36"/>
      <c r="Z893" s="36"/>
    </row>
    <row r="894" spans="1:26">
      <c r="A894" s="36"/>
      <c r="B894" s="36"/>
      <c r="C894" s="36"/>
      <c r="D894" s="36"/>
      <c r="E894" s="36"/>
      <c r="F894" s="36"/>
      <c r="G894" s="36"/>
      <c r="H894" s="36"/>
      <c r="I894" s="36"/>
      <c r="J894" s="36"/>
      <c r="K894" s="36"/>
      <c r="L894" s="36"/>
      <c r="M894" s="36"/>
      <c r="N894" s="36"/>
      <c r="O894" s="36"/>
      <c r="P894" s="36"/>
      <c r="Q894" s="36"/>
      <c r="R894" s="36"/>
      <c r="S894" s="36"/>
      <c r="T894" s="36"/>
      <c r="U894" s="36"/>
      <c r="V894" s="36"/>
      <c r="W894" s="36"/>
      <c r="X894" s="36"/>
      <c r="Y894" s="36"/>
      <c r="Z894" s="36"/>
    </row>
    <row r="895" spans="1:26">
      <c r="A895" s="36"/>
      <c r="B895" s="36"/>
      <c r="C895" s="36"/>
      <c r="D895" s="36"/>
      <c r="E895" s="36"/>
      <c r="F895" s="36"/>
      <c r="G895" s="36"/>
      <c r="H895" s="36"/>
      <c r="I895" s="36"/>
      <c r="J895" s="36"/>
      <c r="K895" s="36"/>
      <c r="L895" s="36"/>
      <c r="M895" s="36"/>
      <c r="N895" s="36"/>
      <c r="O895" s="36"/>
      <c r="P895" s="36"/>
      <c r="Q895" s="36"/>
      <c r="R895" s="36"/>
      <c r="S895" s="36"/>
      <c r="T895" s="36"/>
      <c r="U895" s="36"/>
      <c r="V895" s="36"/>
      <c r="W895" s="36"/>
      <c r="X895" s="36"/>
      <c r="Y895" s="36"/>
      <c r="Z895" s="36"/>
    </row>
    <row r="896" spans="1:26">
      <c r="A896" s="36"/>
      <c r="B896" s="36"/>
      <c r="C896" s="36"/>
      <c r="D896" s="36"/>
      <c r="E896" s="36"/>
      <c r="F896" s="36"/>
      <c r="G896" s="36"/>
      <c r="H896" s="36"/>
      <c r="I896" s="36"/>
      <c r="J896" s="36"/>
      <c r="K896" s="36"/>
      <c r="L896" s="36"/>
      <c r="M896" s="36"/>
      <c r="N896" s="36"/>
      <c r="O896" s="36"/>
      <c r="P896" s="36"/>
      <c r="Q896" s="36"/>
      <c r="R896" s="36"/>
      <c r="S896" s="36"/>
      <c r="T896" s="36"/>
      <c r="U896" s="36"/>
      <c r="V896" s="36"/>
      <c r="W896" s="36"/>
      <c r="X896" s="36"/>
      <c r="Y896" s="36"/>
      <c r="Z896" s="36"/>
    </row>
    <row r="897" spans="1:26">
      <c r="A897" s="36"/>
      <c r="B897" s="36"/>
      <c r="C897" s="36"/>
      <c r="D897" s="36"/>
      <c r="E897" s="36"/>
      <c r="F897" s="36"/>
      <c r="G897" s="36"/>
      <c r="H897" s="36"/>
      <c r="I897" s="36"/>
      <c r="J897" s="36"/>
      <c r="K897" s="36"/>
      <c r="L897" s="36"/>
      <c r="M897" s="36"/>
      <c r="N897" s="36"/>
      <c r="O897" s="36"/>
      <c r="P897" s="36"/>
      <c r="Q897" s="36"/>
      <c r="R897" s="36"/>
      <c r="S897" s="36"/>
      <c r="T897" s="36"/>
      <c r="U897" s="36"/>
      <c r="V897" s="36"/>
      <c r="W897" s="36"/>
      <c r="X897" s="36"/>
      <c r="Y897" s="36"/>
      <c r="Z897" s="36"/>
    </row>
    <row r="898" spans="1:26">
      <c r="A898" s="36"/>
      <c r="B898" s="36"/>
      <c r="C898" s="36"/>
      <c r="D898" s="36"/>
      <c r="E898" s="36"/>
      <c r="F898" s="36"/>
      <c r="G898" s="36"/>
      <c r="H898" s="36"/>
      <c r="I898" s="36"/>
      <c r="J898" s="36"/>
      <c r="K898" s="36"/>
      <c r="L898" s="36"/>
      <c r="M898" s="36"/>
      <c r="N898" s="36"/>
      <c r="O898" s="36"/>
      <c r="P898" s="36"/>
      <c r="Q898" s="36"/>
      <c r="R898" s="36"/>
      <c r="S898" s="36"/>
      <c r="T898" s="36"/>
      <c r="U898" s="36"/>
      <c r="V898" s="36"/>
      <c r="W898" s="36"/>
      <c r="X898" s="36"/>
      <c r="Y898" s="36"/>
      <c r="Z898" s="36"/>
    </row>
    <row r="899" spans="1:26">
      <c r="A899" s="36"/>
      <c r="B899" s="36"/>
      <c r="C899" s="36"/>
      <c r="D899" s="36"/>
      <c r="E899" s="36"/>
      <c r="F899" s="36"/>
      <c r="G899" s="36"/>
      <c r="H899" s="36"/>
      <c r="I899" s="36"/>
      <c r="J899" s="36"/>
      <c r="K899" s="36"/>
      <c r="L899" s="36"/>
      <c r="M899" s="36"/>
      <c r="N899" s="36"/>
      <c r="O899" s="36"/>
      <c r="P899" s="36"/>
      <c r="Q899" s="36"/>
      <c r="R899" s="36"/>
      <c r="S899" s="36"/>
      <c r="T899" s="36"/>
      <c r="U899" s="36"/>
      <c r="V899" s="36"/>
      <c r="W899" s="36"/>
      <c r="X899" s="36"/>
      <c r="Y899" s="36"/>
      <c r="Z899" s="36"/>
    </row>
    <row r="900" spans="1:26">
      <c r="A900" s="36"/>
      <c r="B900" s="36"/>
      <c r="C900" s="36"/>
      <c r="D900" s="36"/>
      <c r="E900" s="36"/>
      <c r="F900" s="36"/>
      <c r="G900" s="36"/>
      <c r="H900" s="36"/>
      <c r="I900" s="36"/>
      <c r="J900" s="36"/>
      <c r="K900" s="36"/>
      <c r="L900" s="36"/>
      <c r="M900" s="36"/>
      <c r="N900" s="36"/>
      <c r="O900" s="36"/>
      <c r="P900" s="36"/>
      <c r="Q900" s="36"/>
      <c r="R900" s="36"/>
      <c r="S900" s="36"/>
      <c r="T900" s="36"/>
      <c r="U900" s="36"/>
      <c r="V900" s="36"/>
      <c r="W900" s="36"/>
      <c r="X900" s="36"/>
      <c r="Y900" s="36"/>
      <c r="Z900" s="36"/>
    </row>
    <row r="901" spans="1:26">
      <c r="A901" s="36"/>
      <c r="B901" s="36"/>
      <c r="C901" s="36"/>
      <c r="D901" s="36"/>
      <c r="E901" s="36"/>
      <c r="F901" s="36"/>
      <c r="G901" s="36"/>
      <c r="H901" s="36"/>
      <c r="I901" s="36"/>
      <c r="J901" s="36"/>
      <c r="K901" s="36"/>
      <c r="L901" s="36"/>
      <c r="M901" s="36"/>
      <c r="N901" s="36"/>
      <c r="O901" s="36"/>
      <c r="P901" s="36"/>
      <c r="Q901" s="36"/>
      <c r="R901" s="36"/>
      <c r="S901" s="36"/>
      <c r="T901" s="36"/>
      <c r="U901" s="36"/>
      <c r="V901" s="36"/>
      <c r="W901" s="36"/>
      <c r="X901" s="36"/>
      <c r="Y901" s="36"/>
      <c r="Z901" s="36"/>
    </row>
    <row r="902" spans="1:26">
      <c r="A902" s="36"/>
      <c r="B902" s="36"/>
      <c r="C902" s="36"/>
      <c r="D902" s="36"/>
      <c r="E902" s="36"/>
      <c r="F902" s="36"/>
      <c r="G902" s="36"/>
      <c r="H902" s="36"/>
      <c r="I902" s="36"/>
      <c r="J902" s="36"/>
      <c r="K902" s="36"/>
      <c r="L902" s="36"/>
      <c r="M902" s="36"/>
      <c r="N902" s="36"/>
      <c r="O902" s="36"/>
      <c r="P902" s="36"/>
      <c r="Q902" s="36"/>
      <c r="R902" s="36"/>
      <c r="S902" s="36"/>
      <c r="T902" s="36"/>
      <c r="U902" s="36"/>
      <c r="V902" s="36"/>
      <c r="W902" s="36"/>
      <c r="X902" s="36"/>
      <c r="Y902" s="36"/>
      <c r="Z902" s="36"/>
    </row>
    <row r="903" spans="1:26">
      <c r="A903" s="36"/>
      <c r="B903" s="36"/>
      <c r="C903" s="36"/>
      <c r="D903" s="36"/>
      <c r="E903" s="36"/>
      <c r="F903" s="36"/>
      <c r="G903" s="36"/>
      <c r="H903" s="36"/>
      <c r="I903" s="36"/>
      <c r="J903" s="36"/>
      <c r="K903" s="36"/>
      <c r="L903" s="36"/>
      <c r="M903" s="36"/>
      <c r="N903" s="36"/>
      <c r="O903" s="36"/>
      <c r="P903" s="36"/>
      <c r="Q903" s="36"/>
      <c r="R903" s="36"/>
      <c r="S903" s="36"/>
      <c r="T903" s="36"/>
      <c r="U903" s="36"/>
      <c r="V903" s="36"/>
      <c r="W903" s="36"/>
      <c r="X903" s="36"/>
      <c r="Y903" s="36"/>
      <c r="Z903" s="36"/>
    </row>
    <row r="904" spans="1:26">
      <c r="A904" s="36"/>
      <c r="B904" s="36"/>
      <c r="C904" s="36"/>
      <c r="D904" s="36"/>
      <c r="E904" s="36"/>
      <c r="F904" s="36"/>
      <c r="G904" s="36"/>
      <c r="H904" s="36"/>
      <c r="I904" s="36"/>
      <c r="J904" s="36"/>
      <c r="K904" s="36"/>
      <c r="L904" s="36"/>
      <c r="M904" s="36"/>
      <c r="N904" s="36"/>
      <c r="O904" s="36"/>
      <c r="P904" s="36"/>
      <c r="Q904" s="36"/>
      <c r="R904" s="36"/>
      <c r="S904" s="36"/>
      <c r="T904" s="36"/>
      <c r="U904" s="36"/>
      <c r="V904" s="36"/>
      <c r="W904" s="36"/>
      <c r="X904" s="36"/>
      <c r="Y904" s="36"/>
      <c r="Z904" s="36"/>
    </row>
    <row r="905" spans="1:26">
      <c r="A905" s="36"/>
      <c r="B905" s="36"/>
      <c r="C905" s="36"/>
      <c r="D905" s="36"/>
      <c r="E905" s="36"/>
      <c r="F905" s="36"/>
      <c r="G905" s="36"/>
      <c r="H905" s="36"/>
      <c r="I905" s="36"/>
      <c r="J905" s="36"/>
      <c r="K905" s="36"/>
      <c r="L905" s="36"/>
      <c r="M905" s="36"/>
      <c r="N905" s="36"/>
      <c r="O905" s="36"/>
      <c r="P905" s="36"/>
      <c r="Q905" s="36"/>
      <c r="R905" s="36"/>
      <c r="S905" s="36"/>
      <c r="T905" s="36"/>
      <c r="U905" s="36"/>
      <c r="V905" s="36"/>
      <c r="W905" s="36"/>
      <c r="X905" s="36"/>
      <c r="Y905" s="36"/>
      <c r="Z905" s="36"/>
    </row>
    <row r="906" spans="1:26">
      <c r="A906" s="36"/>
      <c r="B906" s="36"/>
      <c r="C906" s="36"/>
      <c r="D906" s="36"/>
      <c r="E906" s="36"/>
      <c r="F906" s="36"/>
      <c r="G906" s="36"/>
      <c r="H906" s="36"/>
      <c r="I906" s="36"/>
      <c r="J906" s="36"/>
      <c r="K906" s="36"/>
      <c r="L906" s="36"/>
      <c r="M906" s="36"/>
      <c r="N906" s="36"/>
      <c r="O906" s="36"/>
      <c r="P906" s="36"/>
      <c r="Q906" s="36"/>
      <c r="R906" s="36"/>
      <c r="S906" s="36"/>
      <c r="T906" s="36"/>
      <c r="U906" s="36"/>
      <c r="V906" s="36"/>
      <c r="W906" s="36"/>
      <c r="X906" s="36"/>
      <c r="Y906" s="36"/>
      <c r="Z906" s="36"/>
    </row>
    <row r="907" spans="1:26">
      <c r="A907" s="36"/>
      <c r="B907" s="36"/>
      <c r="C907" s="36"/>
      <c r="D907" s="36"/>
      <c r="E907" s="36"/>
      <c r="F907" s="36"/>
      <c r="G907" s="36"/>
      <c r="H907" s="36"/>
      <c r="I907" s="36"/>
      <c r="J907" s="36"/>
      <c r="K907" s="36"/>
      <c r="L907" s="36"/>
      <c r="M907" s="36"/>
      <c r="N907" s="36"/>
      <c r="O907" s="36"/>
      <c r="P907" s="36"/>
      <c r="Q907" s="36"/>
      <c r="R907" s="36"/>
      <c r="S907" s="36"/>
      <c r="T907" s="36"/>
      <c r="U907" s="36"/>
      <c r="V907" s="36"/>
      <c r="W907" s="36"/>
      <c r="X907" s="36"/>
      <c r="Y907" s="36"/>
      <c r="Z907" s="36"/>
    </row>
    <row r="908" spans="1:26">
      <c r="A908" s="36"/>
      <c r="B908" s="36"/>
      <c r="C908" s="36"/>
      <c r="D908" s="36"/>
      <c r="E908" s="36"/>
      <c r="F908" s="36"/>
      <c r="G908" s="36"/>
      <c r="H908" s="36"/>
      <c r="I908" s="36"/>
      <c r="J908" s="36"/>
      <c r="K908" s="36"/>
      <c r="L908" s="36"/>
      <c r="M908" s="36"/>
      <c r="N908" s="36"/>
      <c r="O908" s="36"/>
      <c r="P908" s="36"/>
      <c r="Q908" s="36"/>
      <c r="R908" s="36"/>
      <c r="S908" s="36"/>
      <c r="T908" s="36"/>
      <c r="U908" s="36"/>
      <c r="V908" s="36"/>
      <c r="W908" s="36"/>
      <c r="X908" s="36"/>
      <c r="Y908" s="36"/>
      <c r="Z908" s="36"/>
    </row>
    <row r="909" spans="1:26">
      <c r="A909" s="36"/>
      <c r="B909" s="36"/>
      <c r="C909" s="36"/>
      <c r="D909" s="36"/>
      <c r="E909" s="36"/>
      <c r="F909" s="36"/>
      <c r="G909" s="36"/>
      <c r="H909" s="36"/>
      <c r="I909" s="36"/>
      <c r="J909" s="36"/>
      <c r="K909" s="36"/>
      <c r="L909" s="36"/>
      <c r="M909" s="36"/>
      <c r="N909" s="36"/>
      <c r="O909" s="36"/>
      <c r="P909" s="36"/>
      <c r="Q909" s="36"/>
      <c r="R909" s="36"/>
      <c r="S909" s="36"/>
      <c r="T909" s="36"/>
      <c r="U909" s="36"/>
      <c r="V909" s="36"/>
      <c r="W909" s="36"/>
      <c r="X909" s="36"/>
      <c r="Y909" s="36"/>
      <c r="Z909" s="36"/>
    </row>
    <row r="910" spans="1:26">
      <c r="A910" s="36"/>
      <c r="B910" s="36"/>
      <c r="C910" s="36"/>
      <c r="D910" s="36"/>
      <c r="E910" s="36"/>
      <c r="F910" s="36"/>
      <c r="G910" s="36"/>
      <c r="H910" s="36"/>
      <c r="I910" s="36"/>
      <c r="J910" s="36"/>
      <c r="K910" s="36"/>
      <c r="L910" s="36"/>
      <c r="M910" s="36"/>
      <c r="N910" s="36"/>
      <c r="O910" s="36"/>
      <c r="P910" s="36"/>
      <c r="Q910" s="36"/>
      <c r="R910" s="36"/>
      <c r="S910" s="36"/>
      <c r="T910" s="36"/>
      <c r="U910" s="36"/>
      <c r="V910" s="36"/>
      <c r="W910" s="36"/>
      <c r="X910" s="36"/>
      <c r="Y910" s="36"/>
      <c r="Z910" s="36"/>
    </row>
    <row r="911" spans="1:26">
      <c r="A911" s="36"/>
      <c r="B911" s="36"/>
      <c r="C911" s="36"/>
      <c r="D911" s="36"/>
      <c r="E911" s="36"/>
      <c r="F911" s="36"/>
      <c r="G911" s="36"/>
      <c r="H911" s="36"/>
      <c r="I911" s="36"/>
      <c r="J911" s="36"/>
      <c r="K911" s="36"/>
      <c r="L911" s="36"/>
      <c r="M911" s="36"/>
      <c r="N911" s="36"/>
      <c r="O911" s="36"/>
      <c r="P911" s="36"/>
      <c r="Q911" s="36"/>
      <c r="R911" s="36"/>
      <c r="S911" s="36"/>
      <c r="T911" s="36"/>
      <c r="U911" s="36"/>
      <c r="V911" s="36"/>
      <c r="W911" s="36"/>
      <c r="X911" s="36"/>
      <c r="Y911" s="36"/>
      <c r="Z911" s="36"/>
    </row>
    <row r="912" spans="1:26">
      <c r="A912" s="36"/>
      <c r="B912" s="36"/>
      <c r="C912" s="36"/>
      <c r="D912" s="36"/>
      <c r="E912" s="36"/>
      <c r="F912" s="36"/>
      <c r="G912" s="36"/>
      <c r="H912" s="36"/>
      <c r="I912" s="36"/>
      <c r="J912" s="36"/>
      <c r="K912" s="36"/>
      <c r="L912" s="36"/>
      <c r="M912" s="36"/>
      <c r="N912" s="36"/>
      <c r="O912" s="36"/>
      <c r="P912" s="36"/>
      <c r="Q912" s="36"/>
      <c r="R912" s="36"/>
      <c r="S912" s="36"/>
      <c r="T912" s="36"/>
      <c r="U912" s="36"/>
      <c r="V912" s="36"/>
      <c r="W912" s="36"/>
      <c r="X912" s="36"/>
      <c r="Y912" s="36"/>
      <c r="Z912" s="36"/>
    </row>
    <row r="913" spans="1:26">
      <c r="A913" s="36"/>
      <c r="B913" s="36"/>
      <c r="C913" s="36"/>
      <c r="D913" s="36"/>
      <c r="E913" s="36"/>
      <c r="F913" s="36"/>
      <c r="G913" s="36"/>
      <c r="H913" s="36"/>
      <c r="I913" s="36"/>
      <c r="J913" s="36"/>
      <c r="K913" s="36"/>
      <c r="L913" s="36"/>
      <c r="M913" s="36"/>
      <c r="N913" s="36"/>
      <c r="O913" s="36"/>
      <c r="P913" s="36"/>
      <c r="Q913" s="36"/>
      <c r="R913" s="36"/>
      <c r="S913" s="36"/>
      <c r="T913" s="36"/>
      <c r="U913" s="36"/>
      <c r="V913" s="36"/>
      <c r="W913" s="36"/>
      <c r="X913" s="36"/>
      <c r="Y913" s="36"/>
      <c r="Z913" s="36"/>
    </row>
    <row r="914" spans="1:26">
      <c r="A914" s="36"/>
      <c r="B914" s="36"/>
      <c r="C914" s="36"/>
      <c r="D914" s="36"/>
      <c r="E914" s="36"/>
      <c r="F914" s="36"/>
      <c r="G914" s="36"/>
      <c r="H914" s="36"/>
      <c r="I914" s="36"/>
      <c r="J914" s="36"/>
      <c r="K914" s="36"/>
      <c r="L914" s="36"/>
      <c r="M914" s="36"/>
      <c r="N914" s="36"/>
      <c r="O914" s="36"/>
      <c r="P914" s="36"/>
      <c r="Q914" s="36"/>
      <c r="R914" s="36"/>
      <c r="S914" s="36"/>
      <c r="T914" s="36"/>
      <c r="U914" s="36"/>
      <c r="V914" s="36"/>
      <c r="W914" s="36"/>
      <c r="X914" s="36"/>
      <c r="Y914" s="36"/>
      <c r="Z914" s="36"/>
    </row>
    <row r="915" spans="1:26">
      <c r="A915" s="36"/>
      <c r="B915" s="36"/>
      <c r="C915" s="36"/>
      <c r="D915" s="36"/>
      <c r="E915" s="36"/>
      <c r="F915" s="36"/>
      <c r="G915" s="36"/>
      <c r="H915" s="36"/>
      <c r="I915" s="36"/>
      <c r="J915" s="36"/>
      <c r="K915" s="36"/>
      <c r="L915" s="36"/>
      <c r="M915" s="36"/>
      <c r="N915" s="36"/>
      <c r="O915" s="36"/>
      <c r="P915" s="36"/>
      <c r="Q915" s="36"/>
      <c r="R915" s="36"/>
      <c r="S915" s="36"/>
      <c r="T915" s="36"/>
      <c r="U915" s="36"/>
      <c r="V915" s="36"/>
      <c r="W915" s="36"/>
      <c r="X915" s="36"/>
      <c r="Y915" s="36"/>
      <c r="Z915" s="36"/>
    </row>
    <row r="916" spans="1:26">
      <c r="A916" s="36"/>
      <c r="B916" s="36"/>
      <c r="C916" s="36"/>
      <c r="D916" s="36"/>
      <c r="E916" s="36"/>
      <c r="F916" s="36"/>
      <c r="G916" s="36"/>
      <c r="H916" s="36"/>
      <c r="I916" s="36"/>
      <c r="J916" s="36"/>
      <c r="K916" s="36"/>
      <c r="L916" s="36"/>
      <c r="M916" s="36"/>
      <c r="N916" s="36"/>
      <c r="O916" s="36"/>
      <c r="P916" s="36"/>
      <c r="Q916" s="36"/>
      <c r="R916" s="36"/>
      <c r="S916" s="36"/>
      <c r="T916" s="36"/>
      <c r="U916" s="36"/>
      <c r="V916" s="36"/>
      <c r="W916" s="36"/>
      <c r="X916" s="36"/>
      <c r="Y916" s="36"/>
      <c r="Z916" s="36"/>
    </row>
    <row r="917" spans="1:26">
      <c r="A917" s="36"/>
      <c r="B917" s="36"/>
      <c r="C917" s="36"/>
      <c r="D917" s="36"/>
      <c r="E917" s="36"/>
      <c r="F917" s="36"/>
      <c r="G917" s="36"/>
      <c r="H917" s="36"/>
      <c r="I917" s="36"/>
      <c r="J917" s="36"/>
      <c r="K917" s="36"/>
      <c r="L917" s="36"/>
      <c r="M917" s="36"/>
      <c r="N917" s="36"/>
      <c r="O917" s="36"/>
      <c r="P917" s="36"/>
      <c r="Q917" s="36"/>
      <c r="R917" s="36"/>
      <c r="S917" s="36"/>
      <c r="T917" s="36"/>
      <c r="U917" s="36"/>
      <c r="V917" s="36"/>
      <c r="W917" s="36"/>
      <c r="X917" s="36"/>
      <c r="Y917" s="36"/>
      <c r="Z917" s="36"/>
    </row>
    <row r="918" spans="1:26">
      <c r="A918" s="36"/>
      <c r="B918" s="36"/>
      <c r="C918" s="36"/>
      <c r="D918" s="36"/>
      <c r="E918" s="36"/>
      <c r="F918" s="36"/>
      <c r="G918" s="36"/>
      <c r="H918" s="36"/>
      <c r="I918" s="36"/>
      <c r="J918" s="36"/>
      <c r="K918" s="36"/>
      <c r="L918" s="36"/>
      <c r="M918" s="36"/>
      <c r="N918" s="36"/>
      <c r="O918" s="36"/>
      <c r="P918" s="36"/>
      <c r="Q918" s="36"/>
      <c r="R918" s="36"/>
      <c r="S918" s="36"/>
      <c r="T918" s="36"/>
      <c r="U918" s="36"/>
      <c r="V918" s="36"/>
      <c r="W918" s="36"/>
      <c r="X918" s="36"/>
      <c r="Y918" s="36"/>
      <c r="Z918" s="36"/>
    </row>
    <row r="919" spans="1:26">
      <c r="A919" s="36"/>
      <c r="B919" s="36"/>
      <c r="C919" s="36"/>
      <c r="D919" s="36"/>
      <c r="E919" s="36"/>
      <c r="F919" s="36"/>
      <c r="G919" s="36"/>
      <c r="H919" s="36"/>
      <c r="I919" s="36"/>
      <c r="J919" s="36"/>
      <c r="K919" s="36"/>
      <c r="L919" s="36"/>
      <c r="M919" s="36"/>
      <c r="N919" s="36"/>
      <c r="O919" s="36"/>
      <c r="P919" s="36"/>
      <c r="Q919" s="36"/>
      <c r="R919" s="36"/>
      <c r="S919" s="36"/>
      <c r="T919" s="36"/>
      <c r="U919" s="36"/>
      <c r="V919" s="36"/>
      <c r="W919" s="36"/>
      <c r="X919" s="36"/>
      <c r="Y919" s="36"/>
      <c r="Z919" s="36"/>
    </row>
    <row r="920" spans="1:26">
      <c r="A920" s="36"/>
      <c r="B920" s="36"/>
      <c r="C920" s="36"/>
      <c r="D920" s="36"/>
      <c r="E920" s="36"/>
      <c r="F920" s="36"/>
      <c r="G920" s="36"/>
      <c r="H920" s="36"/>
      <c r="I920" s="36"/>
      <c r="J920" s="36"/>
      <c r="K920" s="36"/>
      <c r="L920" s="36"/>
      <c r="M920" s="36"/>
      <c r="N920" s="36"/>
      <c r="O920" s="36"/>
      <c r="P920" s="36"/>
      <c r="Q920" s="36"/>
      <c r="R920" s="36"/>
      <c r="S920" s="36"/>
      <c r="T920" s="36"/>
      <c r="U920" s="36"/>
      <c r="V920" s="36"/>
      <c r="W920" s="36"/>
      <c r="X920" s="36"/>
      <c r="Y920" s="36"/>
      <c r="Z920" s="36"/>
    </row>
    <row r="921" spans="1:26">
      <c r="A921" s="36"/>
      <c r="B921" s="36"/>
      <c r="C921" s="36"/>
      <c r="D921" s="36"/>
      <c r="E921" s="36"/>
      <c r="F921" s="36"/>
      <c r="G921" s="36"/>
      <c r="H921" s="36"/>
      <c r="I921" s="36"/>
      <c r="J921" s="36"/>
      <c r="K921" s="36"/>
      <c r="L921" s="36"/>
      <c r="M921" s="36"/>
      <c r="N921" s="36"/>
      <c r="O921" s="36"/>
      <c r="P921" s="36"/>
      <c r="Q921" s="36"/>
      <c r="R921" s="36"/>
      <c r="S921" s="36"/>
      <c r="T921" s="36"/>
      <c r="U921" s="36"/>
      <c r="V921" s="36"/>
      <c r="W921" s="36"/>
      <c r="X921" s="36"/>
      <c r="Y921" s="36"/>
      <c r="Z921" s="36"/>
    </row>
    <row r="922" spans="1:26">
      <c r="A922" s="36"/>
      <c r="B922" s="36"/>
      <c r="C922" s="36"/>
      <c r="D922" s="36"/>
      <c r="E922" s="36"/>
      <c r="F922" s="36"/>
      <c r="G922" s="36"/>
      <c r="H922" s="36"/>
      <c r="I922" s="36"/>
      <c r="J922" s="36"/>
      <c r="K922" s="36"/>
      <c r="L922" s="36"/>
      <c r="M922" s="36"/>
      <c r="N922" s="36"/>
      <c r="O922" s="36"/>
      <c r="P922" s="36"/>
      <c r="Q922" s="36"/>
      <c r="R922" s="36"/>
      <c r="S922" s="36"/>
      <c r="T922" s="36"/>
      <c r="U922" s="36"/>
      <c r="V922" s="36"/>
      <c r="W922" s="36"/>
      <c r="X922" s="36"/>
      <c r="Y922" s="36"/>
      <c r="Z922" s="36"/>
    </row>
    <row r="923" spans="1:26">
      <c r="A923" s="36"/>
      <c r="B923" s="36"/>
      <c r="C923" s="36"/>
      <c r="D923" s="36"/>
      <c r="E923" s="36"/>
      <c r="F923" s="36"/>
      <c r="G923" s="36"/>
      <c r="H923" s="36"/>
      <c r="I923" s="36"/>
      <c r="J923" s="36"/>
      <c r="K923" s="36"/>
      <c r="L923" s="36"/>
      <c r="M923" s="36"/>
      <c r="N923" s="36"/>
      <c r="O923" s="36"/>
      <c r="P923" s="36"/>
      <c r="Q923" s="36"/>
      <c r="R923" s="36"/>
      <c r="S923" s="36"/>
      <c r="T923" s="36"/>
      <c r="U923" s="36"/>
      <c r="V923" s="36"/>
      <c r="W923" s="36"/>
      <c r="X923" s="36"/>
      <c r="Y923" s="36"/>
      <c r="Z923" s="36"/>
    </row>
    <row r="924" spans="1:26">
      <c r="A924" s="36"/>
      <c r="B924" s="36"/>
      <c r="C924" s="36"/>
      <c r="D924" s="36"/>
      <c r="E924" s="36"/>
      <c r="F924" s="36"/>
      <c r="G924" s="36"/>
      <c r="H924" s="36"/>
      <c r="I924" s="36"/>
      <c r="J924" s="36"/>
      <c r="K924" s="36"/>
      <c r="L924" s="36"/>
      <c r="M924" s="36"/>
      <c r="N924" s="36"/>
      <c r="O924" s="36"/>
      <c r="P924" s="36"/>
      <c r="Q924" s="36"/>
      <c r="R924" s="36"/>
      <c r="S924" s="36"/>
      <c r="T924" s="36"/>
      <c r="U924" s="36"/>
      <c r="V924" s="36"/>
      <c r="W924" s="36"/>
      <c r="X924" s="36"/>
      <c r="Y924" s="36"/>
      <c r="Z924" s="36"/>
    </row>
    <row r="925" spans="1:26">
      <c r="A925" s="36"/>
      <c r="B925" s="36"/>
      <c r="C925" s="36"/>
      <c r="D925" s="36"/>
      <c r="E925" s="36"/>
      <c r="F925" s="36"/>
      <c r="G925" s="36"/>
      <c r="H925" s="36"/>
      <c r="I925" s="36"/>
      <c r="J925" s="36"/>
      <c r="K925" s="36"/>
      <c r="L925" s="36"/>
      <c r="M925" s="36"/>
      <c r="N925" s="36"/>
      <c r="O925" s="36"/>
      <c r="P925" s="36"/>
      <c r="Q925" s="36"/>
      <c r="R925" s="36"/>
      <c r="S925" s="36"/>
      <c r="T925" s="36"/>
      <c r="U925" s="36"/>
      <c r="V925" s="36"/>
      <c r="W925" s="36"/>
      <c r="X925" s="36"/>
      <c r="Y925" s="36"/>
      <c r="Z925" s="36"/>
    </row>
    <row r="926" spans="1:26">
      <c r="A926" s="36"/>
      <c r="B926" s="36"/>
      <c r="C926" s="36"/>
      <c r="D926" s="36"/>
      <c r="E926" s="36"/>
      <c r="F926" s="36"/>
      <c r="G926" s="36"/>
      <c r="H926" s="36"/>
      <c r="I926" s="36"/>
      <c r="J926" s="36"/>
      <c r="K926" s="36"/>
      <c r="L926" s="36"/>
      <c r="M926" s="36"/>
      <c r="N926" s="36"/>
      <c r="O926" s="36"/>
      <c r="P926" s="36"/>
      <c r="Q926" s="36"/>
      <c r="R926" s="36"/>
      <c r="S926" s="36"/>
      <c r="T926" s="36"/>
      <c r="U926" s="36"/>
      <c r="V926" s="36"/>
      <c r="W926" s="36"/>
      <c r="X926" s="36"/>
      <c r="Y926" s="36"/>
      <c r="Z926" s="36"/>
    </row>
    <row r="927" spans="1:26">
      <c r="A927" s="36"/>
      <c r="B927" s="36"/>
      <c r="C927" s="36"/>
      <c r="D927" s="36"/>
      <c r="E927" s="36"/>
      <c r="F927" s="36"/>
      <c r="G927" s="36"/>
      <c r="H927" s="36"/>
      <c r="I927" s="36"/>
      <c r="J927" s="36"/>
      <c r="K927" s="36"/>
      <c r="L927" s="36"/>
      <c r="M927" s="36"/>
      <c r="N927" s="36"/>
      <c r="O927" s="36"/>
      <c r="P927" s="36"/>
      <c r="Q927" s="36"/>
      <c r="R927" s="36"/>
      <c r="S927" s="36"/>
      <c r="T927" s="36"/>
      <c r="U927" s="36"/>
      <c r="V927" s="36"/>
      <c r="W927" s="36"/>
      <c r="X927" s="36"/>
      <c r="Y927" s="36"/>
      <c r="Z927" s="36"/>
    </row>
    <row r="928" spans="1:26">
      <c r="A928" s="36"/>
      <c r="B928" s="36"/>
      <c r="C928" s="36"/>
      <c r="D928" s="36"/>
      <c r="E928" s="36"/>
      <c r="F928" s="36"/>
      <c r="G928" s="36"/>
      <c r="H928" s="36"/>
      <c r="I928" s="36"/>
      <c r="J928" s="36"/>
      <c r="K928" s="36"/>
      <c r="L928" s="36"/>
      <c r="M928" s="36"/>
      <c r="N928" s="36"/>
      <c r="O928" s="36"/>
      <c r="P928" s="36"/>
      <c r="Q928" s="36"/>
      <c r="R928" s="36"/>
      <c r="S928" s="36"/>
      <c r="T928" s="36"/>
      <c r="U928" s="36"/>
      <c r="V928" s="36"/>
      <c r="W928" s="36"/>
      <c r="X928" s="36"/>
      <c r="Y928" s="36"/>
      <c r="Z928" s="36"/>
    </row>
    <row r="929" spans="1:26">
      <c r="A929" s="36"/>
      <c r="B929" s="36"/>
      <c r="C929" s="36"/>
      <c r="D929" s="36"/>
      <c r="E929" s="36"/>
      <c r="F929" s="36"/>
      <c r="G929" s="36"/>
      <c r="H929" s="36"/>
      <c r="I929" s="36"/>
      <c r="J929" s="36"/>
      <c r="K929" s="36"/>
      <c r="L929" s="36"/>
      <c r="M929" s="36"/>
      <c r="N929" s="36"/>
      <c r="O929" s="36"/>
      <c r="P929" s="36"/>
      <c r="Q929" s="36"/>
      <c r="R929" s="36"/>
      <c r="S929" s="36"/>
      <c r="T929" s="36"/>
      <c r="U929" s="36"/>
      <c r="V929" s="36"/>
      <c r="W929" s="36"/>
      <c r="X929" s="36"/>
      <c r="Y929" s="36"/>
      <c r="Z929" s="36"/>
    </row>
    <row r="930" spans="1:26">
      <c r="A930" s="36"/>
      <c r="B930" s="36"/>
      <c r="C930" s="36"/>
      <c r="D930" s="36"/>
      <c r="E930" s="36"/>
      <c r="F930" s="36"/>
      <c r="G930" s="36"/>
      <c r="H930" s="36"/>
      <c r="I930" s="36"/>
      <c r="J930" s="36"/>
      <c r="K930" s="36"/>
      <c r="L930" s="36"/>
      <c r="M930" s="36"/>
      <c r="N930" s="36"/>
      <c r="O930" s="36"/>
      <c r="P930" s="36"/>
      <c r="Q930" s="36"/>
      <c r="R930" s="36"/>
      <c r="S930" s="36"/>
      <c r="T930" s="36"/>
      <c r="U930" s="36"/>
      <c r="V930" s="36"/>
      <c r="W930" s="36"/>
      <c r="X930" s="36"/>
      <c r="Y930" s="36"/>
      <c r="Z930" s="36"/>
    </row>
    <row r="931" spans="1:26">
      <c r="A931" s="36"/>
      <c r="B931" s="36"/>
      <c r="C931" s="36"/>
      <c r="D931" s="36"/>
      <c r="E931" s="36"/>
      <c r="F931" s="36"/>
      <c r="G931" s="36"/>
      <c r="H931" s="36"/>
      <c r="I931" s="36"/>
      <c r="J931" s="36"/>
      <c r="K931" s="36"/>
      <c r="L931" s="36"/>
      <c r="M931" s="36"/>
      <c r="N931" s="36"/>
      <c r="O931" s="36"/>
      <c r="P931" s="36"/>
      <c r="Q931" s="36"/>
      <c r="R931" s="36"/>
      <c r="S931" s="36"/>
      <c r="T931" s="36"/>
      <c r="U931" s="36"/>
      <c r="V931" s="36"/>
      <c r="W931" s="36"/>
      <c r="X931" s="36"/>
      <c r="Y931" s="36"/>
      <c r="Z931" s="36"/>
    </row>
    <row r="932" spans="1:26">
      <c r="A932" s="36"/>
      <c r="B932" s="36"/>
      <c r="C932" s="36"/>
      <c r="D932" s="36"/>
      <c r="E932" s="36"/>
      <c r="F932" s="36"/>
      <c r="G932" s="36"/>
      <c r="H932" s="36"/>
      <c r="I932" s="36"/>
      <c r="J932" s="36"/>
      <c r="K932" s="36"/>
      <c r="L932" s="36"/>
      <c r="M932" s="36"/>
      <c r="N932" s="36"/>
      <c r="O932" s="36"/>
      <c r="P932" s="36"/>
      <c r="Q932" s="36"/>
      <c r="R932" s="36"/>
      <c r="S932" s="36"/>
      <c r="T932" s="36"/>
      <c r="U932" s="36"/>
      <c r="V932" s="36"/>
      <c r="W932" s="36"/>
      <c r="X932" s="36"/>
      <c r="Y932" s="36"/>
      <c r="Z932" s="36"/>
    </row>
    <row r="933" spans="1:26">
      <c r="A933" s="36"/>
      <c r="B933" s="36"/>
      <c r="C933" s="36"/>
      <c r="D933" s="36"/>
      <c r="E933" s="36"/>
      <c r="F933" s="36"/>
      <c r="G933" s="36"/>
      <c r="H933" s="36"/>
      <c r="I933" s="36"/>
      <c r="J933" s="36"/>
      <c r="K933" s="36"/>
      <c r="L933" s="36"/>
      <c r="M933" s="36"/>
      <c r="N933" s="36"/>
      <c r="O933" s="36"/>
      <c r="P933" s="36"/>
      <c r="Q933" s="36"/>
      <c r="R933" s="36"/>
      <c r="S933" s="36"/>
      <c r="T933" s="36"/>
      <c r="U933" s="36"/>
      <c r="V933" s="36"/>
      <c r="W933" s="36"/>
      <c r="X933" s="36"/>
      <c r="Y933" s="36"/>
      <c r="Z933" s="36"/>
    </row>
    <row r="934" spans="1:26">
      <c r="A934" s="36"/>
      <c r="B934" s="36"/>
      <c r="C934" s="36"/>
      <c r="D934" s="36"/>
      <c r="E934" s="36"/>
      <c r="F934" s="36"/>
      <c r="G934" s="36"/>
      <c r="H934" s="36"/>
      <c r="I934" s="36"/>
      <c r="J934" s="36"/>
      <c r="K934" s="36"/>
      <c r="L934" s="36"/>
      <c r="M934" s="36"/>
      <c r="N934" s="36"/>
      <c r="O934" s="36"/>
      <c r="P934" s="36"/>
      <c r="Q934" s="36"/>
      <c r="R934" s="36"/>
      <c r="S934" s="36"/>
      <c r="T934" s="36"/>
      <c r="U934" s="36"/>
      <c r="V934" s="36"/>
      <c r="W934" s="36"/>
      <c r="X934" s="36"/>
      <c r="Y934" s="36"/>
      <c r="Z934" s="36"/>
    </row>
    <row r="935" spans="1:26">
      <c r="A935" s="36"/>
      <c r="B935" s="36"/>
      <c r="C935" s="36"/>
      <c r="D935" s="36"/>
      <c r="E935" s="36"/>
      <c r="F935" s="36"/>
      <c r="G935" s="36"/>
      <c r="H935" s="36"/>
      <c r="I935" s="36"/>
      <c r="J935" s="36"/>
      <c r="K935" s="36"/>
      <c r="L935" s="36"/>
      <c r="M935" s="36"/>
      <c r="N935" s="36"/>
      <c r="O935" s="36"/>
      <c r="P935" s="36"/>
      <c r="Q935" s="36"/>
      <c r="R935" s="36"/>
      <c r="S935" s="36"/>
      <c r="T935" s="36"/>
      <c r="U935" s="36"/>
      <c r="V935" s="36"/>
      <c r="W935" s="36"/>
      <c r="X935" s="36"/>
      <c r="Y935" s="36"/>
      <c r="Z935" s="36"/>
    </row>
    <row r="936" spans="1:26">
      <c r="A936" s="36"/>
      <c r="B936" s="36"/>
      <c r="C936" s="36"/>
      <c r="D936" s="36"/>
      <c r="E936" s="36"/>
      <c r="F936" s="36"/>
      <c r="G936" s="36"/>
      <c r="H936" s="36"/>
      <c r="I936" s="36"/>
      <c r="J936" s="36"/>
      <c r="K936" s="36"/>
      <c r="L936" s="36"/>
      <c r="M936" s="36"/>
      <c r="N936" s="36"/>
      <c r="O936" s="36"/>
      <c r="P936" s="36"/>
      <c r="Q936" s="36"/>
      <c r="R936" s="36"/>
      <c r="S936" s="36"/>
      <c r="T936" s="36"/>
      <c r="U936" s="36"/>
      <c r="V936" s="36"/>
      <c r="W936" s="36"/>
      <c r="X936" s="36"/>
      <c r="Y936" s="36"/>
      <c r="Z936" s="36"/>
    </row>
    <row r="937" spans="1:26">
      <c r="A937" s="36"/>
      <c r="B937" s="36"/>
      <c r="C937" s="36"/>
      <c r="D937" s="36"/>
      <c r="E937" s="36"/>
      <c r="F937" s="36"/>
      <c r="G937" s="36"/>
      <c r="H937" s="36"/>
      <c r="I937" s="36"/>
      <c r="J937" s="36"/>
      <c r="K937" s="36"/>
      <c r="L937" s="36"/>
      <c r="M937" s="36"/>
      <c r="N937" s="36"/>
      <c r="O937" s="36"/>
      <c r="P937" s="36"/>
      <c r="Q937" s="36"/>
      <c r="R937" s="36"/>
      <c r="S937" s="36"/>
      <c r="T937" s="36"/>
      <c r="U937" s="36"/>
      <c r="V937" s="36"/>
      <c r="W937" s="36"/>
      <c r="X937" s="36"/>
      <c r="Y937" s="36"/>
      <c r="Z937" s="36"/>
    </row>
    <row r="938" spans="1:26">
      <c r="A938" s="36"/>
      <c r="B938" s="36"/>
      <c r="C938" s="36"/>
      <c r="D938" s="36"/>
      <c r="E938" s="36"/>
      <c r="F938" s="36"/>
      <c r="G938" s="36"/>
      <c r="H938" s="36"/>
      <c r="I938" s="36"/>
      <c r="J938" s="36"/>
      <c r="K938" s="36"/>
      <c r="L938" s="36"/>
      <c r="M938" s="36"/>
      <c r="N938" s="36"/>
      <c r="O938" s="36"/>
      <c r="P938" s="36"/>
      <c r="Q938" s="36"/>
      <c r="R938" s="36"/>
      <c r="S938" s="36"/>
      <c r="T938" s="36"/>
      <c r="U938" s="36"/>
      <c r="V938" s="36"/>
      <c r="W938" s="36"/>
      <c r="X938" s="36"/>
      <c r="Y938" s="36"/>
      <c r="Z938" s="36"/>
    </row>
    <row r="939" spans="1:26">
      <c r="A939" s="36"/>
      <c r="B939" s="36"/>
      <c r="C939" s="36"/>
      <c r="D939" s="36"/>
      <c r="E939" s="36"/>
      <c r="F939" s="36"/>
      <c r="G939" s="36"/>
      <c r="H939" s="36"/>
      <c r="I939" s="36"/>
      <c r="J939" s="36"/>
      <c r="K939" s="36"/>
      <c r="L939" s="36"/>
      <c r="M939" s="36"/>
      <c r="N939" s="36"/>
      <c r="O939" s="36"/>
      <c r="P939" s="36"/>
      <c r="Q939" s="36"/>
      <c r="R939" s="36"/>
      <c r="S939" s="36"/>
      <c r="T939" s="36"/>
      <c r="U939" s="36"/>
      <c r="V939" s="36"/>
      <c r="W939" s="36"/>
      <c r="X939" s="36"/>
      <c r="Y939" s="36"/>
      <c r="Z939" s="36"/>
    </row>
    <row r="940" spans="1:26">
      <c r="A940" s="36"/>
      <c r="B940" s="36"/>
      <c r="C940" s="36"/>
      <c r="D940" s="36"/>
      <c r="E940" s="36"/>
      <c r="F940" s="36"/>
      <c r="G940" s="36"/>
      <c r="H940" s="36"/>
      <c r="I940" s="36"/>
      <c r="J940" s="36"/>
      <c r="K940" s="36"/>
      <c r="L940" s="36"/>
      <c r="M940" s="36"/>
      <c r="N940" s="36"/>
      <c r="O940" s="36"/>
      <c r="P940" s="36"/>
      <c r="Q940" s="36"/>
      <c r="R940" s="36"/>
      <c r="S940" s="36"/>
      <c r="T940" s="36"/>
      <c r="U940" s="36"/>
      <c r="V940" s="36"/>
      <c r="W940" s="36"/>
      <c r="X940" s="36"/>
      <c r="Y940" s="36"/>
      <c r="Z940" s="36"/>
    </row>
    <row r="941" spans="1:26">
      <c r="A941" s="36"/>
      <c r="B941" s="36"/>
      <c r="C941" s="36"/>
      <c r="D941" s="36"/>
      <c r="E941" s="36"/>
      <c r="F941" s="36"/>
      <c r="G941" s="36"/>
      <c r="H941" s="36"/>
      <c r="I941" s="36"/>
      <c r="J941" s="36"/>
      <c r="K941" s="36"/>
      <c r="L941" s="36"/>
      <c r="M941" s="36"/>
      <c r="N941" s="36"/>
      <c r="O941" s="36"/>
      <c r="P941" s="36"/>
      <c r="Q941" s="36"/>
      <c r="R941" s="36"/>
      <c r="S941" s="36"/>
      <c r="T941" s="36"/>
      <c r="U941" s="36"/>
      <c r="V941" s="36"/>
      <c r="W941" s="36"/>
      <c r="X941" s="36"/>
      <c r="Y941" s="36"/>
      <c r="Z941" s="36"/>
    </row>
    <row r="942" spans="1:26">
      <c r="A942" s="36"/>
      <c r="B942" s="36"/>
      <c r="C942" s="36"/>
      <c r="D942" s="36"/>
      <c r="E942" s="36"/>
      <c r="F942" s="36"/>
      <c r="G942" s="36"/>
      <c r="H942" s="36"/>
      <c r="I942" s="36"/>
      <c r="J942" s="36"/>
      <c r="K942" s="36"/>
      <c r="L942" s="36"/>
      <c r="M942" s="36"/>
      <c r="N942" s="36"/>
      <c r="O942" s="36"/>
      <c r="P942" s="36"/>
      <c r="Q942" s="36"/>
      <c r="R942" s="36"/>
      <c r="S942" s="36"/>
      <c r="T942" s="36"/>
      <c r="U942" s="36"/>
      <c r="V942" s="36"/>
      <c r="W942" s="36"/>
      <c r="X942" s="36"/>
      <c r="Y942" s="36"/>
      <c r="Z942" s="36"/>
    </row>
    <row r="943" spans="1:26">
      <c r="A943" s="36"/>
      <c r="B943" s="36"/>
      <c r="C943" s="36"/>
      <c r="D943" s="36"/>
      <c r="E943" s="36"/>
      <c r="F943" s="36"/>
      <c r="G943" s="36"/>
      <c r="H943" s="36"/>
      <c r="I943" s="36"/>
      <c r="J943" s="36"/>
      <c r="K943" s="36"/>
      <c r="L943" s="36"/>
      <c r="M943" s="36"/>
      <c r="N943" s="36"/>
      <c r="O943" s="36"/>
      <c r="P943" s="36"/>
      <c r="Q943" s="36"/>
      <c r="R943" s="36"/>
      <c r="S943" s="36"/>
      <c r="T943" s="36"/>
      <c r="U943" s="36"/>
      <c r="V943" s="36"/>
      <c r="W943" s="36"/>
      <c r="X943" s="36"/>
      <c r="Y943" s="36"/>
      <c r="Z943" s="36"/>
    </row>
    <row r="944" spans="1:26">
      <c r="A944" s="36"/>
      <c r="B944" s="36"/>
      <c r="C944" s="36"/>
      <c r="D944" s="36"/>
      <c r="E944" s="36"/>
      <c r="F944" s="36"/>
      <c r="G944" s="36"/>
      <c r="H944" s="36"/>
      <c r="I944" s="36"/>
      <c r="J944" s="36"/>
      <c r="K944" s="36"/>
      <c r="L944" s="36"/>
      <c r="M944" s="36"/>
      <c r="N944" s="36"/>
      <c r="O944" s="36"/>
      <c r="P944" s="36"/>
      <c r="Q944" s="36"/>
      <c r="R944" s="36"/>
      <c r="S944" s="36"/>
      <c r="T944" s="36"/>
      <c r="U944" s="36"/>
      <c r="V944" s="36"/>
      <c r="W944" s="36"/>
      <c r="X944" s="36"/>
      <c r="Y944" s="36"/>
      <c r="Z944" s="36"/>
    </row>
    <row r="945" spans="1:26">
      <c r="A945" s="36"/>
      <c r="B945" s="36"/>
      <c r="C945" s="36"/>
      <c r="D945" s="36"/>
      <c r="E945" s="36"/>
      <c r="F945" s="36"/>
      <c r="G945" s="36"/>
      <c r="H945" s="36"/>
      <c r="I945" s="36"/>
      <c r="J945" s="36"/>
      <c r="K945" s="36"/>
      <c r="L945" s="36"/>
      <c r="M945" s="36"/>
      <c r="N945" s="36"/>
      <c r="O945" s="36"/>
      <c r="P945" s="36"/>
      <c r="Q945" s="36"/>
      <c r="R945" s="36"/>
      <c r="S945" s="36"/>
      <c r="T945" s="36"/>
      <c r="U945" s="36"/>
      <c r="V945" s="36"/>
      <c r="W945" s="36"/>
      <c r="X945" s="36"/>
      <c r="Y945" s="36"/>
      <c r="Z945" s="36"/>
    </row>
    <row r="946" spans="1:26">
      <c r="A946" s="36"/>
      <c r="B946" s="36"/>
      <c r="C946" s="36"/>
      <c r="D946" s="36"/>
      <c r="E946" s="36"/>
      <c r="F946" s="36"/>
      <c r="G946" s="36"/>
      <c r="H946" s="36"/>
      <c r="I946" s="36"/>
      <c r="J946" s="36"/>
      <c r="K946" s="36"/>
      <c r="L946" s="36"/>
      <c r="M946" s="36"/>
      <c r="N946" s="36"/>
      <c r="O946" s="36"/>
      <c r="P946" s="36"/>
      <c r="Q946" s="36"/>
      <c r="R946" s="36"/>
      <c r="S946" s="36"/>
      <c r="T946" s="36"/>
      <c r="U946" s="36"/>
      <c r="V946" s="36"/>
      <c r="W946" s="36"/>
      <c r="X946" s="36"/>
      <c r="Y946" s="36"/>
      <c r="Z946" s="36"/>
    </row>
    <row r="947" spans="1:26">
      <c r="A947" s="36"/>
      <c r="B947" s="36"/>
      <c r="C947" s="36"/>
      <c r="D947" s="36"/>
      <c r="E947" s="36"/>
      <c r="F947" s="36"/>
      <c r="G947" s="36"/>
      <c r="H947" s="36"/>
      <c r="I947" s="36"/>
      <c r="J947" s="36"/>
      <c r="K947" s="36"/>
      <c r="L947" s="36"/>
      <c r="M947" s="36"/>
      <c r="N947" s="36"/>
      <c r="O947" s="36"/>
      <c r="P947" s="36"/>
      <c r="Q947" s="36"/>
      <c r="R947" s="36"/>
      <c r="S947" s="36"/>
      <c r="T947" s="36"/>
      <c r="U947" s="36"/>
      <c r="V947" s="36"/>
      <c r="W947" s="36"/>
      <c r="X947" s="36"/>
      <c r="Y947" s="36"/>
      <c r="Z947" s="36"/>
    </row>
    <row r="948" spans="1:26">
      <c r="A948" s="36"/>
      <c r="B948" s="36"/>
      <c r="C948" s="36"/>
      <c r="D948" s="36"/>
      <c r="E948" s="36"/>
      <c r="F948" s="36"/>
      <c r="G948" s="36"/>
      <c r="H948" s="36"/>
      <c r="I948" s="36"/>
      <c r="J948" s="36"/>
      <c r="K948" s="36"/>
      <c r="L948" s="36"/>
      <c r="M948" s="36"/>
      <c r="N948" s="36"/>
      <c r="O948" s="36"/>
      <c r="P948" s="36"/>
      <c r="Q948" s="36"/>
      <c r="R948" s="36"/>
      <c r="S948" s="36"/>
      <c r="T948" s="36"/>
      <c r="U948" s="36"/>
      <c r="V948" s="36"/>
      <c r="W948" s="36"/>
      <c r="X948" s="36"/>
      <c r="Y948" s="36"/>
      <c r="Z948" s="36"/>
    </row>
    <row r="949" spans="1:26">
      <c r="A949" s="36"/>
      <c r="B949" s="36"/>
      <c r="C949" s="36"/>
      <c r="D949" s="36"/>
      <c r="E949" s="36"/>
      <c r="F949" s="36"/>
      <c r="G949" s="36"/>
      <c r="H949" s="36"/>
      <c r="I949" s="36"/>
      <c r="J949" s="36"/>
      <c r="K949" s="36"/>
      <c r="L949" s="36"/>
      <c r="M949" s="36"/>
      <c r="N949" s="36"/>
      <c r="O949" s="36"/>
      <c r="P949" s="36"/>
      <c r="Q949" s="36"/>
      <c r="R949" s="36"/>
      <c r="S949" s="36"/>
      <c r="T949" s="36"/>
      <c r="U949" s="36"/>
      <c r="V949" s="36"/>
      <c r="W949" s="36"/>
      <c r="X949" s="36"/>
      <c r="Y949" s="36"/>
      <c r="Z949" s="36"/>
    </row>
    <row r="950" spans="1:26">
      <c r="A950" s="36"/>
      <c r="B950" s="36"/>
      <c r="C950" s="36"/>
      <c r="D950" s="36"/>
      <c r="E950" s="36"/>
      <c r="F950" s="36"/>
      <c r="G950" s="36"/>
      <c r="H950" s="36"/>
      <c r="I950" s="36"/>
      <c r="J950" s="36"/>
      <c r="K950" s="36"/>
      <c r="L950" s="36"/>
      <c r="M950" s="36"/>
      <c r="N950" s="36"/>
      <c r="O950" s="36"/>
      <c r="P950" s="36"/>
      <c r="Q950" s="36"/>
      <c r="R950" s="36"/>
      <c r="S950" s="36"/>
      <c r="T950" s="36"/>
      <c r="U950" s="36"/>
      <c r="V950" s="36"/>
      <c r="W950" s="36"/>
      <c r="X950" s="36"/>
      <c r="Y950" s="36"/>
      <c r="Z950" s="36"/>
    </row>
    <row r="951" spans="1:26">
      <c r="A951" s="36"/>
      <c r="B951" s="36"/>
      <c r="C951" s="36"/>
      <c r="D951" s="36"/>
      <c r="E951" s="36"/>
      <c r="F951" s="36"/>
      <c r="G951" s="36"/>
      <c r="H951" s="36"/>
      <c r="I951" s="36"/>
      <c r="J951" s="36"/>
      <c r="K951" s="36"/>
      <c r="L951" s="36"/>
      <c r="M951" s="36"/>
      <c r="N951" s="36"/>
      <c r="O951" s="36"/>
      <c r="P951" s="36"/>
      <c r="Q951" s="36"/>
      <c r="R951" s="36"/>
      <c r="S951" s="36"/>
      <c r="T951" s="36"/>
      <c r="U951" s="36"/>
      <c r="V951" s="36"/>
      <c r="W951" s="36"/>
      <c r="X951" s="36"/>
      <c r="Y951" s="36"/>
      <c r="Z951" s="36"/>
    </row>
    <row r="952" spans="1:26">
      <c r="A952" s="36"/>
      <c r="B952" s="36"/>
      <c r="C952" s="36"/>
      <c r="D952" s="36"/>
      <c r="E952" s="36"/>
      <c r="F952" s="36"/>
      <c r="G952" s="36"/>
      <c r="H952" s="36"/>
      <c r="I952" s="36"/>
      <c r="J952" s="36"/>
      <c r="K952" s="36"/>
      <c r="L952" s="36"/>
      <c r="M952" s="36"/>
      <c r="N952" s="36"/>
      <c r="O952" s="36"/>
      <c r="P952" s="36"/>
      <c r="Q952" s="36"/>
      <c r="R952" s="36"/>
      <c r="S952" s="36"/>
      <c r="T952" s="36"/>
      <c r="U952" s="36"/>
      <c r="V952" s="36"/>
      <c r="W952" s="36"/>
      <c r="X952" s="36"/>
      <c r="Y952" s="36"/>
      <c r="Z952" s="36"/>
    </row>
    <row r="953" spans="1:26">
      <c r="A953" s="36"/>
      <c r="B953" s="36"/>
      <c r="C953" s="36"/>
      <c r="D953" s="36"/>
      <c r="E953" s="36"/>
      <c r="F953" s="36"/>
      <c r="G953" s="36"/>
      <c r="H953" s="36"/>
      <c r="I953" s="36"/>
      <c r="J953" s="36"/>
      <c r="K953" s="36"/>
      <c r="L953" s="36"/>
      <c r="M953" s="36"/>
      <c r="N953" s="36"/>
      <c r="O953" s="36"/>
      <c r="P953" s="36"/>
      <c r="Q953" s="36"/>
      <c r="R953" s="36"/>
      <c r="S953" s="36"/>
      <c r="T953" s="36"/>
      <c r="U953" s="36"/>
      <c r="V953" s="36"/>
      <c r="W953" s="36"/>
      <c r="X953" s="36"/>
      <c r="Y953" s="36"/>
      <c r="Z953" s="36"/>
    </row>
    <row r="954" spans="1:26">
      <c r="A954" s="36"/>
      <c r="B954" s="36"/>
      <c r="C954" s="36"/>
      <c r="D954" s="36"/>
      <c r="E954" s="36"/>
      <c r="F954" s="36"/>
      <c r="G954" s="36"/>
      <c r="H954" s="36"/>
      <c r="I954" s="36"/>
      <c r="J954" s="36"/>
      <c r="K954" s="36"/>
      <c r="L954" s="36"/>
      <c r="M954" s="36"/>
      <c r="N954" s="36"/>
      <c r="O954" s="36"/>
      <c r="P954" s="36"/>
      <c r="Q954" s="36"/>
      <c r="R954" s="36"/>
      <c r="S954" s="36"/>
      <c r="T954" s="36"/>
      <c r="U954" s="36"/>
      <c r="V954" s="36"/>
      <c r="W954" s="36"/>
      <c r="X954" s="36"/>
      <c r="Y954" s="36"/>
      <c r="Z954" s="36"/>
    </row>
    <row r="955" spans="1:26">
      <c r="A955" s="36"/>
      <c r="B955" s="36"/>
      <c r="C955" s="36"/>
      <c r="D955" s="36"/>
      <c r="E955" s="36"/>
      <c r="F955" s="36"/>
      <c r="G955" s="36"/>
      <c r="H955" s="36"/>
      <c r="I955" s="36"/>
      <c r="J955" s="36"/>
      <c r="K955" s="36"/>
      <c r="L955" s="36"/>
      <c r="M955" s="36"/>
      <c r="N955" s="36"/>
      <c r="O955" s="36"/>
      <c r="P955" s="36"/>
      <c r="Q955" s="36"/>
      <c r="R955" s="36"/>
      <c r="S955" s="36"/>
      <c r="T955" s="36"/>
      <c r="U955" s="36"/>
      <c r="V955" s="36"/>
      <c r="W955" s="36"/>
      <c r="X955" s="36"/>
      <c r="Y955" s="36"/>
      <c r="Z955" s="36"/>
    </row>
    <row r="956" spans="1:26">
      <c r="A956" s="36"/>
      <c r="B956" s="36"/>
      <c r="C956" s="36"/>
      <c r="D956" s="36"/>
      <c r="E956" s="36"/>
      <c r="F956" s="36"/>
      <c r="G956" s="36"/>
      <c r="H956" s="36"/>
      <c r="I956" s="36"/>
      <c r="J956" s="36"/>
      <c r="K956" s="36"/>
      <c r="L956" s="36"/>
      <c r="M956" s="36"/>
      <c r="N956" s="36"/>
      <c r="O956" s="36"/>
      <c r="P956" s="36"/>
      <c r="Q956" s="36"/>
      <c r="R956" s="36"/>
      <c r="S956" s="36"/>
      <c r="T956" s="36"/>
      <c r="U956" s="36"/>
      <c r="V956" s="36"/>
      <c r="W956" s="36"/>
      <c r="X956" s="36"/>
      <c r="Y956" s="36"/>
      <c r="Z956" s="36"/>
    </row>
    <row r="957" spans="1:26">
      <c r="A957" s="36"/>
      <c r="B957" s="36"/>
      <c r="C957" s="36"/>
      <c r="D957" s="36"/>
      <c r="E957" s="36"/>
      <c r="F957" s="36"/>
      <c r="G957" s="36"/>
      <c r="H957" s="36"/>
      <c r="I957" s="36"/>
      <c r="J957" s="36"/>
      <c r="K957" s="36"/>
      <c r="L957" s="36"/>
      <c r="M957" s="36"/>
      <c r="N957" s="36"/>
      <c r="O957" s="36"/>
      <c r="P957" s="36"/>
      <c r="Q957" s="36"/>
      <c r="R957" s="36"/>
      <c r="S957" s="36"/>
      <c r="T957" s="36"/>
      <c r="U957" s="36"/>
      <c r="V957" s="36"/>
      <c r="W957" s="36"/>
      <c r="X957" s="36"/>
      <c r="Y957" s="36"/>
      <c r="Z957" s="36"/>
    </row>
    <row r="958" spans="1:26">
      <c r="A958" s="36"/>
      <c r="B958" s="36"/>
      <c r="C958" s="36"/>
      <c r="D958" s="36"/>
      <c r="E958" s="36"/>
      <c r="F958" s="36"/>
      <c r="G958" s="36"/>
      <c r="H958" s="36"/>
      <c r="I958" s="36"/>
      <c r="J958" s="36"/>
      <c r="K958" s="36"/>
      <c r="L958" s="36"/>
      <c r="M958" s="36"/>
      <c r="N958" s="36"/>
      <c r="O958" s="36"/>
      <c r="P958" s="36"/>
      <c r="Q958" s="36"/>
      <c r="R958" s="36"/>
      <c r="S958" s="36"/>
      <c r="T958" s="36"/>
      <c r="U958" s="36"/>
      <c r="V958" s="36"/>
      <c r="W958" s="36"/>
      <c r="X958" s="36"/>
      <c r="Y958" s="36"/>
      <c r="Z958" s="36"/>
    </row>
    <row r="959" spans="1:26">
      <c r="A959" s="36"/>
      <c r="B959" s="36"/>
      <c r="C959" s="36"/>
      <c r="D959" s="36"/>
      <c r="E959" s="36"/>
      <c r="F959" s="36"/>
      <c r="G959" s="36"/>
      <c r="H959" s="36"/>
      <c r="I959" s="36"/>
      <c r="J959" s="36"/>
      <c r="K959" s="36"/>
      <c r="L959" s="36"/>
      <c r="M959" s="36"/>
      <c r="N959" s="36"/>
      <c r="O959" s="36"/>
      <c r="P959" s="36"/>
      <c r="Q959" s="36"/>
      <c r="R959" s="36"/>
      <c r="S959" s="36"/>
      <c r="T959" s="36"/>
      <c r="U959" s="36"/>
      <c r="V959" s="36"/>
      <c r="W959" s="36"/>
      <c r="X959" s="36"/>
      <c r="Y959" s="36"/>
      <c r="Z959" s="36"/>
    </row>
    <row r="960" spans="1:26">
      <c r="A960" s="36"/>
      <c r="B960" s="36"/>
      <c r="C960" s="36"/>
      <c r="D960" s="36"/>
      <c r="E960" s="36"/>
      <c r="F960" s="36"/>
      <c r="G960" s="36"/>
      <c r="H960" s="36"/>
      <c r="I960" s="36"/>
      <c r="J960" s="36"/>
      <c r="K960" s="36"/>
      <c r="L960" s="36"/>
      <c r="M960" s="36"/>
      <c r="N960" s="36"/>
      <c r="O960" s="36"/>
      <c r="P960" s="36"/>
      <c r="Q960" s="36"/>
      <c r="R960" s="36"/>
      <c r="S960" s="36"/>
      <c r="T960" s="36"/>
      <c r="U960" s="36"/>
      <c r="V960" s="36"/>
      <c r="W960" s="36"/>
      <c r="X960" s="36"/>
      <c r="Y960" s="36"/>
      <c r="Z960" s="36"/>
    </row>
    <row r="961" spans="1:26">
      <c r="A961" s="36"/>
      <c r="B961" s="36"/>
      <c r="C961" s="36"/>
      <c r="D961" s="36"/>
      <c r="E961" s="36"/>
      <c r="F961" s="36"/>
      <c r="G961" s="36"/>
      <c r="H961" s="36"/>
      <c r="I961" s="36"/>
      <c r="J961" s="36"/>
      <c r="K961" s="36"/>
      <c r="L961" s="36"/>
      <c r="M961" s="36"/>
      <c r="N961" s="36"/>
      <c r="O961" s="36"/>
      <c r="P961" s="36"/>
      <c r="Q961" s="36"/>
      <c r="R961" s="36"/>
      <c r="S961" s="36"/>
      <c r="T961" s="36"/>
      <c r="U961" s="36"/>
      <c r="V961" s="36"/>
      <c r="W961" s="36"/>
      <c r="X961" s="36"/>
      <c r="Y961" s="36"/>
      <c r="Z961" s="36"/>
    </row>
    <row r="962" spans="1:26">
      <c r="A962" s="36"/>
      <c r="B962" s="36"/>
      <c r="C962" s="36"/>
      <c r="D962" s="36"/>
      <c r="E962" s="36"/>
      <c r="F962" s="36"/>
      <c r="G962" s="36"/>
      <c r="H962" s="36"/>
      <c r="I962" s="36"/>
      <c r="J962" s="36"/>
      <c r="K962" s="36"/>
      <c r="L962" s="36"/>
      <c r="M962" s="36"/>
      <c r="N962" s="36"/>
      <c r="O962" s="36"/>
      <c r="P962" s="36"/>
      <c r="Q962" s="36"/>
      <c r="R962" s="36"/>
      <c r="S962" s="36"/>
      <c r="T962" s="36"/>
      <c r="U962" s="36"/>
      <c r="V962" s="36"/>
      <c r="W962" s="36"/>
      <c r="X962" s="36"/>
      <c r="Y962" s="36"/>
      <c r="Z962" s="36"/>
    </row>
    <row r="963" spans="1:26">
      <c r="A963" s="36"/>
      <c r="B963" s="36"/>
      <c r="C963" s="36"/>
      <c r="D963" s="36"/>
      <c r="E963" s="36"/>
      <c r="F963" s="36"/>
      <c r="G963" s="36"/>
      <c r="H963" s="36"/>
      <c r="I963" s="36"/>
      <c r="J963" s="36"/>
      <c r="K963" s="36"/>
      <c r="L963" s="36"/>
      <c r="M963" s="36"/>
      <c r="N963" s="36"/>
      <c r="O963" s="36"/>
      <c r="P963" s="36"/>
      <c r="Q963" s="36"/>
      <c r="R963" s="36"/>
      <c r="S963" s="36"/>
      <c r="T963" s="36"/>
      <c r="U963" s="36"/>
      <c r="V963" s="36"/>
      <c r="W963" s="36"/>
      <c r="X963" s="36"/>
      <c r="Y963" s="36"/>
      <c r="Z963" s="36"/>
    </row>
    <row r="964" spans="1:26">
      <c r="A964" s="36"/>
      <c r="B964" s="36"/>
      <c r="C964" s="36"/>
      <c r="D964" s="36"/>
      <c r="E964" s="36"/>
      <c r="F964" s="36"/>
      <c r="G964" s="36"/>
      <c r="H964" s="36"/>
      <c r="I964" s="36"/>
      <c r="J964" s="36"/>
      <c r="K964" s="36"/>
      <c r="L964" s="36"/>
      <c r="M964" s="36"/>
      <c r="N964" s="36"/>
      <c r="O964" s="36"/>
      <c r="P964" s="36"/>
      <c r="Q964" s="36"/>
      <c r="R964" s="36"/>
      <c r="S964" s="36"/>
      <c r="T964" s="36"/>
      <c r="U964" s="36"/>
      <c r="V964" s="36"/>
      <c r="W964" s="36"/>
      <c r="X964" s="36"/>
      <c r="Y964" s="36"/>
      <c r="Z964" s="36"/>
    </row>
    <row r="965" spans="1:26">
      <c r="A965" s="36"/>
      <c r="B965" s="36"/>
      <c r="C965" s="36"/>
      <c r="D965" s="36"/>
      <c r="E965" s="36"/>
      <c r="F965" s="36"/>
      <c r="G965" s="36"/>
      <c r="H965" s="36"/>
      <c r="I965" s="36"/>
      <c r="J965" s="36"/>
      <c r="K965" s="36"/>
      <c r="L965" s="36"/>
      <c r="M965" s="36"/>
      <c r="N965" s="36"/>
      <c r="O965" s="36"/>
      <c r="P965" s="36"/>
      <c r="Q965" s="36"/>
      <c r="R965" s="36"/>
      <c r="S965" s="36"/>
      <c r="T965" s="36"/>
      <c r="U965" s="36"/>
      <c r="V965" s="36"/>
      <c r="W965" s="36"/>
      <c r="X965" s="36"/>
      <c r="Y965" s="36"/>
      <c r="Z965" s="36"/>
    </row>
    <row r="966" spans="1:26">
      <c r="A966" s="36"/>
      <c r="B966" s="36"/>
      <c r="C966" s="36"/>
      <c r="D966" s="36"/>
      <c r="E966" s="36"/>
      <c r="F966" s="36"/>
      <c r="G966" s="36"/>
      <c r="H966" s="36"/>
      <c r="I966" s="36"/>
      <c r="J966" s="36"/>
      <c r="K966" s="36"/>
      <c r="L966" s="36"/>
      <c r="M966" s="36"/>
      <c r="N966" s="36"/>
      <c r="O966" s="36"/>
      <c r="P966" s="36"/>
      <c r="Q966" s="36"/>
      <c r="R966" s="36"/>
      <c r="S966" s="36"/>
      <c r="T966" s="36"/>
      <c r="U966" s="36"/>
      <c r="V966" s="36"/>
      <c r="W966" s="36"/>
      <c r="X966" s="36"/>
      <c r="Y966" s="36"/>
      <c r="Z966" s="36"/>
    </row>
    <row r="967" spans="1:26">
      <c r="A967" s="36"/>
      <c r="B967" s="36"/>
      <c r="C967" s="36"/>
      <c r="D967" s="36"/>
      <c r="E967" s="36"/>
      <c r="F967" s="36"/>
      <c r="G967" s="36"/>
      <c r="H967" s="36"/>
      <c r="I967" s="36"/>
      <c r="J967" s="36"/>
      <c r="K967" s="36"/>
      <c r="L967" s="36"/>
      <c r="M967" s="36"/>
      <c r="N967" s="36"/>
      <c r="O967" s="36"/>
      <c r="P967" s="36"/>
      <c r="Q967" s="36"/>
      <c r="R967" s="36"/>
      <c r="S967" s="36"/>
      <c r="T967" s="36"/>
      <c r="U967" s="36"/>
      <c r="V967" s="36"/>
      <c r="W967" s="36"/>
      <c r="X967" s="36"/>
      <c r="Y967" s="36"/>
      <c r="Z967" s="36"/>
    </row>
    <row r="968" spans="1:26">
      <c r="A968" s="36"/>
      <c r="B968" s="36"/>
      <c r="C968" s="36"/>
      <c r="D968" s="36"/>
      <c r="E968" s="36"/>
      <c r="F968" s="36"/>
      <c r="G968" s="36"/>
      <c r="H968" s="36"/>
      <c r="I968" s="36"/>
      <c r="J968" s="36"/>
      <c r="K968" s="36"/>
      <c r="L968" s="36"/>
      <c r="M968" s="36"/>
      <c r="N968" s="36"/>
      <c r="O968" s="36"/>
      <c r="P968" s="36"/>
      <c r="Q968" s="36"/>
      <c r="R968" s="36"/>
      <c r="S968" s="36"/>
      <c r="T968" s="36"/>
      <c r="U968" s="36"/>
      <c r="V968" s="36"/>
      <c r="W968" s="36"/>
      <c r="X968" s="36"/>
      <c r="Y968" s="36"/>
      <c r="Z968" s="36"/>
    </row>
    <row r="969" spans="1:26">
      <c r="A969" s="36"/>
      <c r="B969" s="36"/>
      <c r="C969" s="36"/>
      <c r="D969" s="36"/>
      <c r="E969" s="36"/>
      <c r="F969" s="36"/>
      <c r="G969" s="36"/>
      <c r="H969" s="36"/>
      <c r="I969" s="36"/>
      <c r="J969" s="36"/>
      <c r="K969" s="36"/>
      <c r="L969" s="36"/>
      <c r="M969" s="36"/>
      <c r="N969" s="36"/>
      <c r="O969" s="36"/>
      <c r="P969" s="36"/>
      <c r="Q969" s="36"/>
      <c r="R969" s="36"/>
      <c r="S969" s="36"/>
      <c r="T969" s="36"/>
      <c r="U969" s="36"/>
      <c r="V969" s="36"/>
      <c r="W969" s="36"/>
      <c r="X969" s="36"/>
      <c r="Y969" s="36"/>
      <c r="Z969" s="36"/>
    </row>
    <row r="970" spans="1:26">
      <c r="A970" s="36"/>
      <c r="B970" s="36"/>
      <c r="C970" s="36"/>
      <c r="D970" s="36"/>
      <c r="E970" s="36"/>
      <c r="F970" s="36"/>
      <c r="G970" s="36"/>
      <c r="H970" s="36"/>
      <c r="I970" s="36"/>
      <c r="J970" s="36"/>
      <c r="K970" s="36"/>
      <c r="L970" s="36"/>
      <c r="M970" s="36"/>
      <c r="N970" s="36"/>
      <c r="O970" s="36"/>
      <c r="P970" s="36"/>
      <c r="Q970" s="36"/>
      <c r="R970" s="36"/>
      <c r="S970" s="36"/>
      <c r="T970" s="36"/>
      <c r="U970" s="36"/>
      <c r="V970" s="36"/>
      <c r="W970" s="36"/>
      <c r="X970" s="36"/>
      <c r="Y970" s="36"/>
      <c r="Z970" s="36"/>
    </row>
    <row r="971" spans="1:26">
      <c r="A971" s="36"/>
      <c r="B971" s="36"/>
      <c r="C971" s="36"/>
      <c r="D971" s="36"/>
      <c r="E971" s="36"/>
      <c r="F971" s="36"/>
      <c r="G971" s="36"/>
      <c r="H971" s="36"/>
      <c r="I971" s="36"/>
      <c r="J971" s="36"/>
      <c r="K971" s="36"/>
      <c r="L971" s="36"/>
      <c r="M971" s="36"/>
      <c r="N971" s="36"/>
      <c r="O971" s="36"/>
      <c r="P971" s="36"/>
      <c r="Q971" s="36"/>
      <c r="R971" s="36"/>
      <c r="S971" s="36"/>
      <c r="T971" s="36"/>
      <c r="U971" s="36"/>
      <c r="V971" s="36"/>
      <c r="W971" s="36"/>
      <c r="X971" s="36"/>
      <c r="Y971" s="36"/>
      <c r="Z971" s="36"/>
    </row>
    <row r="972" spans="1:26">
      <c r="A972" s="36"/>
      <c r="B972" s="36"/>
      <c r="C972" s="36"/>
      <c r="D972" s="36"/>
      <c r="E972" s="36"/>
      <c r="F972" s="36"/>
      <c r="G972" s="36"/>
      <c r="H972" s="36"/>
      <c r="I972" s="36"/>
      <c r="J972" s="36"/>
      <c r="K972" s="36"/>
      <c r="L972" s="36"/>
      <c r="M972" s="36"/>
      <c r="N972" s="36"/>
      <c r="O972" s="36"/>
      <c r="P972" s="36"/>
      <c r="Q972" s="36"/>
      <c r="R972" s="36"/>
      <c r="S972" s="36"/>
      <c r="T972" s="36"/>
      <c r="U972" s="36"/>
      <c r="V972" s="36"/>
      <c r="W972" s="36"/>
      <c r="X972" s="36"/>
      <c r="Y972" s="36"/>
      <c r="Z972" s="36"/>
    </row>
    <row r="973" spans="1:26">
      <c r="A973" s="36"/>
      <c r="B973" s="36"/>
      <c r="C973" s="36"/>
      <c r="D973" s="36"/>
      <c r="E973" s="36"/>
      <c r="F973" s="36"/>
      <c r="G973" s="36"/>
      <c r="H973" s="36"/>
      <c r="I973" s="36"/>
      <c r="J973" s="36"/>
      <c r="K973" s="36"/>
      <c r="L973" s="36"/>
      <c r="M973" s="36"/>
      <c r="N973" s="36"/>
      <c r="O973" s="36"/>
      <c r="P973" s="36"/>
      <c r="Q973" s="36"/>
      <c r="R973" s="36"/>
      <c r="S973" s="36"/>
      <c r="T973" s="36"/>
      <c r="U973" s="36"/>
      <c r="V973" s="36"/>
      <c r="W973" s="36"/>
      <c r="X973" s="36"/>
      <c r="Y973" s="36"/>
      <c r="Z973" s="36"/>
    </row>
    <row r="974" spans="1:26">
      <c r="A974" s="36"/>
      <c r="B974" s="36"/>
      <c r="C974" s="36"/>
      <c r="D974" s="36"/>
      <c r="E974" s="36"/>
      <c r="F974" s="36"/>
      <c r="G974" s="36"/>
      <c r="H974" s="36"/>
      <c r="I974" s="36"/>
      <c r="J974" s="36"/>
      <c r="K974" s="36"/>
      <c r="L974" s="36"/>
      <c r="M974" s="36"/>
      <c r="N974" s="36"/>
      <c r="O974" s="36"/>
      <c r="P974" s="36"/>
      <c r="Q974" s="36"/>
      <c r="R974" s="36"/>
      <c r="S974" s="36"/>
      <c r="T974" s="36"/>
      <c r="U974" s="36"/>
      <c r="V974" s="36"/>
      <c r="W974" s="36"/>
      <c r="X974" s="36"/>
      <c r="Y974" s="36"/>
      <c r="Z974" s="36"/>
    </row>
    <row r="975" spans="1:26">
      <c r="A975" s="36"/>
      <c r="B975" s="36"/>
      <c r="C975" s="36"/>
      <c r="D975" s="36"/>
      <c r="E975" s="36"/>
      <c r="F975" s="36"/>
      <c r="G975" s="36"/>
      <c r="H975" s="36"/>
      <c r="I975" s="36"/>
      <c r="J975" s="36"/>
      <c r="K975" s="36"/>
      <c r="L975" s="36"/>
      <c r="M975" s="36"/>
      <c r="N975" s="36"/>
      <c r="O975" s="36"/>
      <c r="P975" s="36"/>
      <c r="Q975" s="36"/>
      <c r="R975" s="36"/>
      <c r="S975" s="36"/>
      <c r="T975" s="36"/>
      <c r="U975" s="36"/>
      <c r="V975" s="36"/>
      <c r="W975" s="36"/>
      <c r="X975" s="36"/>
      <c r="Y975" s="36"/>
      <c r="Z975" s="36"/>
    </row>
    <row r="976" spans="1:26">
      <c r="A976" s="36"/>
      <c r="B976" s="36"/>
      <c r="C976" s="36"/>
      <c r="D976" s="36"/>
      <c r="E976" s="36"/>
      <c r="F976" s="36"/>
      <c r="G976" s="36"/>
      <c r="H976" s="36"/>
      <c r="I976" s="36"/>
      <c r="J976" s="36"/>
      <c r="K976" s="36"/>
      <c r="L976" s="36"/>
      <c r="M976" s="36"/>
      <c r="N976" s="36"/>
      <c r="O976" s="36"/>
      <c r="P976" s="36"/>
      <c r="Q976" s="36"/>
      <c r="R976" s="36"/>
      <c r="S976" s="36"/>
      <c r="T976" s="36"/>
      <c r="U976" s="36"/>
      <c r="V976" s="36"/>
      <c r="W976" s="36"/>
      <c r="X976" s="36"/>
      <c r="Y976" s="36"/>
      <c r="Z976" s="36"/>
    </row>
    <row r="977" spans="1:26">
      <c r="A977" s="36"/>
      <c r="B977" s="36"/>
      <c r="C977" s="36"/>
      <c r="D977" s="36"/>
      <c r="E977" s="36"/>
      <c r="F977" s="36"/>
      <c r="G977" s="36"/>
      <c r="H977" s="36"/>
      <c r="I977" s="36"/>
      <c r="J977" s="36"/>
      <c r="K977" s="36"/>
      <c r="L977" s="36"/>
      <c r="M977" s="36"/>
      <c r="N977" s="36"/>
      <c r="O977" s="36"/>
      <c r="P977" s="36"/>
      <c r="Q977" s="36"/>
      <c r="R977" s="36"/>
      <c r="S977" s="36"/>
      <c r="T977" s="36"/>
      <c r="U977" s="36"/>
      <c r="V977" s="36"/>
      <c r="W977" s="36"/>
      <c r="X977" s="36"/>
      <c r="Y977" s="36"/>
      <c r="Z977" s="36"/>
    </row>
    <row r="978" spans="1:26">
      <c r="A978" s="36"/>
      <c r="B978" s="36"/>
      <c r="C978" s="36"/>
      <c r="D978" s="36"/>
      <c r="E978" s="36"/>
      <c r="F978" s="36"/>
      <c r="G978" s="36"/>
      <c r="H978" s="36"/>
      <c r="I978" s="36"/>
      <c r="J978" s="36"/>
      <c r="K978" s="36"/>
      <c r="L978" s="36"/>
      <c r="M978" s="36"/>
      <c r="N978" s="36"/>
      <c r="O978" s="36"/>
      <c r="P978" s="36"/>
      <c r="Q978" s="36"/>
      <c r="R978" s="36"/>
      <c r="S978" s="36"/>
      <c r="T978" s="36"/>
      <c r="U978" s="36"/>
      <c r="V978" s="36"/>
      <c r="W978" s="36"/>
      <c r="X978" s="36"/>
      <c r="Y978" s="36"/>
      <c r="Z978" s="36"/>
    </row>
    <row r="979" spans="1:26">
      <c r="A979" s="36"/>
      <c r="B979" s="36"/>
      <c r="C979" s="36"/>
      <c r="D979" s="36"/>
      <c r="E979" s="36"/>
      <c r="F979" s="36"/>
      <c r="G979" s="36"/>
      <c r="H979" s="36"/>
      <c r="I979" s="36"/>
      <c r="J979" s="36"/>
      <c r="K979" s="36"/>
      <c r="L979" s="36"/>
      <c r="M979" s="36"/>
      <c r="N979" s="36"/>
      <c r="O979" s="36"/>
      <c r="P979" s="36"/>
      <c r="Q979" s="36"/>
      <c r="R979" s="36"/>
      <c r="S979" s="36"/>
      <c r="T979" s="36"/>
      <c r="U979" s="36"/>
      <c r="V979" s="36"/>
      <c r="W979" s="36"/>
      <c r="X979" s="36"/>
      <c r="Y979" s="36"/>
      <c r="Z979" s="36"/>
    </row>
    <row r="980" spans="1:26">
      <c r="A980" s="36"/>
      <c r="B980" s="36"/>
      <c r="C980" s="36"/>
      <c r="D980" s="36"/>
      <c r="E980" s="36"/>
      <c r="F980" s="36"/>
      <c r="G980" s="36"/>
      <c r="H980" s="36"/>
      <c r="I980" s="36"/>
      <c r="J980" s="36"/>
      <c r="K980" s="36"/>
      <c r="L980" s="36"/>
      <c r="M980" s="36"/>
      <c r="N980" s="36"/>
      <c r="O980" s="36"/>
      <c r="P980" s="36"/>
      <c r="Q980" s="36"/>
      <c r="R980" s="36"/>
      <c r="S980" s="36"/>
      <c r="T980" s="36"/>
      <c r="U980" s="36"/>
      <c r="V980" s="36"/>
      <c r="W980" s="36"/>
      <c r="X980" s="36"/>
      <c r="Y980" s="36"/>
      <c r="Z980" s="36"/>
    </row>
    <row r="981" spans="1:26">
      <c r="A981" s="36"/>
      <c r="B981" s="36"/>
      <c r="C981" s="36"/>
      <c r="D981" s="36"/>
      <c r="E981" s="36"/>
      <c r="F981" s="36"/>
      <c r="G981" s="36"/>
      <c r="H981" s="36"/>
      <c r="I981" s="36"/>
      <c r="J981" s="36"/>
      <c r="K981" s="36"/>
      <c r="L981" s="36"/>
      <c r="M981" s="36"/>
      <c r="N981" s="36"/>
      <c r="O981" s="36"/>
      <c r="P981" s="36"/>
      <c r="Q981" s="36"/>
      <c r="R981" s="36"/>
      <c r="S981" s="36"/>
      <c r="T981" s="36"/>
      <c r="U981" s="36"/>
      <c r="V981" s="36"/>
      <c r="W981" s="36"/>
      <c r="X981" s="36"/>
      <c r="Y981" s="36"/>
      <c r="Z981" s="36"/>
    </row>
    <row r="982" spans="1:26">
      <c r="A982" s="36"/>
      <c r="B982" s="36"/>
      <c r="C982" s="36"/>
      <c r="D982" s="36"/>
      <c r="E982" s="36"/>
      <c r="F982" s="36"/>
      <c r="G982" s="36"/>
      <c r="H982" s="36"/>
      <c r="I982" s="36"/>
      <c r="J982" s="36"/>
      <c r="K982" s="36"/>
      <c r="L982" s="36"/>
      <c r="M982" s="36"/>
      <c r="N982" s="36"/>
      <c r="O982" s="36"/>
      <c r="P982" s="36"/>
      <c r="Q982" s="36"/>
      <c r="R982" s="36"/>
      <c r="S982" s="36"/>
      <c r="T982" s="36"/>
      <c r="U982" s="36"/>
      <c r="V982" s="36"/>
      <c r="W982" s="36"/>
      <c r="X982" s="36"/>
      <c r="Y982" s="36"/>
      <c r="Z982" s="36"/>
    </row>
    <row r="983" spans="1:26">
      <c r="A983" s="36"/>
      <c r="B983" s="36"/>
      <c r="C983" s="36"/>
      <c r="D983" s="36"/>
      <c r="E983" s="36"/>
      <c r="F983" s="36"/>
      <c r="G983" s="36"/>
      <c r="H983" s="36"/>
      <c r="I983" s="36"/>
      <c r="J983" s="36"/>
      <c r="K983" s="36"/>
      <c r="L983" s="36"/>
      <c r="M983" s="36"/>
      <c r="N983" s="36"/>
      <c r="O983" s="36"/>
      <c r="P983" s="36"/>
      <c r="Q983" s="36"/>
      <c r="R983" s="36"/>
      <c r="S983" s="36"/>
      <c r="T983" s="36"/>
      <c r="U983" s="36"/>
      <c r="V983" s="36"/>
      <c r="W983" s="36"/>
      <c r="X983" s="36"/>
      <c r="Y983" s="36"/>
      <c r="Z983" s="36"/>
    </row>
    <row r="984" spans="1:26">
      <c r="A984" s="36"/>
      <c r="B984" s="36"/>
      <c r="C984" s="36"/>
      <c r="D984" s="36"/>
      <c r="E984" s="36"/>
      <c r="F984" s="36"/>
      <c r="G984" s="36"/>
      <c r="H984" s="36"/>
      <c r="I984" s="36"/>
      <c r="J984" s="36"/>
      <c r="K984" s="36"/>
      <c r="L984" s="36"/>
      <c r="M984" s="36"/>
      <c r="N984" s="36"/>
      <c r="O984" s="36"/>
      <c r="P984" s="36"/>
      <c r="Q984" s="36"/>
      <c r="R984" s="36"/>
      <c r="S984" s="36"/>
      <c r="T984" s="36"/>
      <c r="U984" s="36"/>
      <c r="V984" s="36"/>
      <c r="W984" s="36"/>
      <c r="X984" s="36"/>
      <c r="Y984" s="36"/>
      <c r="Z984" s="36"/>
    </row>
    <row r="985" spans="1:26">
      <c r="A985" s="36"/>
      <c r="B985" s="36"/>
      <c r="C985" s="36"/>
      <c r="D985" s="36"/>
      <c r="E985" s="36"/>
      <c r="F985" s="36"/>
      <c r="G985" s="36"/>
      <c r="H985" s="36"/>
      <c r="I985" s="36"/>
      <c r="J985" s="36"/>
      <c r="K985" s="36"/>
      <c r="L985" s="36"/>
      <c r="M985" s="36"/>
      <c r="N985" s="36"/>
      <c r="O985" s="36"/>
      <c r="P985" s="36"/>
      <c r="Q985" s="36"/>
      <c r="R985" s="36"/>
      <c r="S985" s="36"/>
      <c r="T985" s="36"/>
      <c r="U985" s="36"/>
      <c r="V985" s="36"/>
      <c r="W985" s="36"/>
      <c r="X985" s="36"/>
      <c r="Y985" s="36"/>
      <c r="Z985" s="36"/>
    </row>
    <row r="986" spans="1:26">
      <c r="A986" s="36"/>
      <c r="B986" s="36"/>
      <c r="C986" s="36"/>
      <c r="D986" s="36"/>
      <c r="E986" s="36"/>
      <c r="F986" s="36"/>
      <c r="G986" s="36"/>
      <c r="H986" s="36"/>
      <c r="I986" s="36"/>
      <c r="J986" s="36"/>
      <c r="K986" s="36"/>
      <c r="L986" s="36"/>
      <c r="M986" s="36"/>
      <c r="N986" s="36"/>
      <c r="O986" s="36"/>
      <c r="P986" s="36"/>
      <c r="Q986" s="36"/>
      <c r="R986" s="36"/>
      <c r="S986" s="36"/>
      <c r="T986" s="36"/>
      <c r="U986" s="36"/>
      <c r="V986" s="36"/>
      <c r="W986" s="36"/>
      <c r="X986" s="36"/>
      <c r="Y986" s="36"/>
      <c r="Z986" s="36"/>
    </row>
    <row r="987" spans="1:26">
      <c r="A987" s="36"/>
      <c r="B987" s="36"/>
      <c r="C987" s="36"/>
      <c r="D987" s="36"/>
      <c r="E987" s="36"/>
      <c r="F987" s="36"/>
      <c r="G987" s="36"/>
      <c r="H987" s="36"/>
      <c r="I987" s="36"/>
      <c r="J987" s="36"/>
      <c r="K987" s="36"/>
      <c r="L987" s="36"/>
      <c r="M987" s="36"/>
      <c r="N987" s="36"/>
      <c r="O987" s="36"/>
      <c r="P987" s="36"/>
      <c r="Q987" s="36"/>
      <c r="R987" s="36"/>
      <c r="S987" s="36"/>
      <c r="T987" s="36"/>
      <c r="U987" s="36"/>
      <c r="V987" s="36"/>
      <c r="W987" s="36"/>
      <c r="X987" s="36"/>
      <c r="Y987" s="36"/>
      <c r="Z987" s="36"/>
    </row>
    <row r="988" spans="1:26">
      <c r="A988" s="36"/>
      <c r="B988" s="36"/>
      <c r="C988" s="36"/>
      <c r="D988" s="36"/>
      <c r="E988" s="36"/>
      <c r="F988" s="36"/>
      <c r="G988" s="36"/>
      <c r="H988" s="36"/>
      <c r="I988" s="36"/>
      <c r="J988" s="36"/>
      <c r="K988" s="36"/>
      <c r="L988" s="36"/>
      <c r="M988" s="36"/>
      <c r="N988" s="36"/>
      <c r="O988" s="36"/>
      <c r="P988" s="36"/>
      <c r="Q988" s="36"/>
      <c r="R988" s="36"/>
      <c r="S988" s="36"/>
      <c r="T988" s="36"/>
      <c r="U988" s="36"/>
      <c r="V988" s="36"/>
      <c r="W988" s="36"/>
      <c r="X988" s="36"/>
      <c r="Y988" s="36"/>
      <c r="Z988" s="36"/>
    </row>
    <row r="989" spans="1:26">
      <c r="A989" s="36"/>
      <c r="B989" s="36"/>
      <c r="C989" s="36"/>
      <c r="D989" s="36"/>
      <c r="E989" s="36"/>
      <c r="F989" s="36"/>
      <c r="G989" s="36"/>
      <c r="H989" s="36"/>
      <c r="I989" s="36"/>
      <c r="J989" s="36"/>
      <c r="K989" s="36"/>
      <c r="L989" s="36"/>
      <c r="M989" s="36"/>
      <c r="N989" s="36"/>
      <c r="O989" s="36"/>
      <c r="P989" s="36"/>
      <c r="Q989" s="36"/>
      <c r="R989" s="36"/>
      <c r="S989" s="36"/>
      <c r="T989" s="36"/>
      <c r="U989" s="36"/>
      <c r="V989" s="36"/>
      <c r="W989" s="36"/>
      <c r="X989" s="36"/>
      <c r="Y989" s="36"/>
      <c r="Z989" s="36"/>
    </row>
    <row r="990" spans="1:26">
      <c r="A990" s="36"/>
      <c r="B990" s="36"/>
      <c r="C990" s="36"/>
      <c r="D990" s="36"/>
      <c r="E990" s="36"/>
      <c r="F990" s="36"/>
      <c r="G990" s="36"/>
      <c r="H990" s="36"/>
      <c r="I990" s="36"/>
      <c r="J990" s="36"/>
      <c r="K990" s="36"/>
      <c r="L990" s="36"/>
      <c r="M990" s="36"/>
      <c r="N990" s="36"/>
      <c r="O990" s="36"/>
      <c r="P990" s="36"/>
      <c r="Q990" s="36"/>
      <c r="R990" s="36"/>
      <c r="S990" s="36"/>
      <c r="T990" s="36"/>
      <c r="U990" s="36"/>
      <c r="V990" s="36"/>
      <c r="W990" s="36"/>
      <c r="X990" s="36"/>
      <c r="Y990" s="36"/>
      <c r="Z990" s="36"/>
    </row>
    <row r="991" spans="1:26">
      <c r="A991" s="36"/>
      <c r="B991" s="36"/>
      <c r="C991" s="36"/>
      <c r="D991" s="36"/>
      <c r="E991" s="36"/>
      <c r="F991" s="36"/>
      <c r="G991" s="36"/>
      <c r="H991" s="36"/>
      <c r="I991" s="36"/>
      <c r="J991" s="36"/>
      <c r="K991" s="36"/>
      <c r="L991" s="36"/>
      <c r="M991" s="36"/>
      <c r="N991" s="36"/>
      <c r="O991" s="36"/>
      <c r="P991" s="36"/>
      <c r="Q991" s="36"/>
      <c r="R991" s="36"/>
      <c r="S991" s="36"/>
      <c r="T991" s="36"/>
      <c r="U991" s="36"/>
      <c r="V991" s="36"/>
      <c r="W991" s="36"/>
      <c r="X991" s="36"/>
      <c r="Y991" s="36"/>
      <c r="Z991" s="36"/>
    </row>
    <row r="992" spans="1:26">
      <c r="A992" s="36"/>
      <c r="B992" s="36"/>
      <c r="C992" s="36"/>
      <c r="D992" s="36"/>
      <c r="E992" s="36"/>
      <c r="F992" s="36"/>
      <c r="G992" s="36"/>
      <c r="H992" s="36"/>
      <c r="I992" s="36"/>
      <c r="J992" s="36"/>
      <c r="K992" s="36"/>
      <c r="L992" s="36"/>
      <c r="M992" s="36"/>
      <c r="N992" s="36"/>
      <c r="O992" s="36"/>
      <c r="P992" s="36"/>
      <c r="Q992" s="36"/>
      <c r="R992" s="36"/>
      <c r="S992" s="36"/>
      <c r="T992" s="36"/>
      <c r="U992" s="36"/>
      <c r="V992" s="36"/>
      <c r="W992" s="36"/>
      <c r="X992" s="36"/>
      <c r="Y992" s="36"/>
      <c r="Z992" s="36"/>
    </row>
    <row r="993" spans="1:26">
      <c r="A993" s="36"/>
      <c r="B993" s="36"/>
      <c r="C993" s="36"/>
      <c r="D993" s="36"/>
      <c r="E993" s="36"/>
      <c r="F993" s="36"/>
      <c r="G993" s="36"/>
      <c r="H993" s="36"/>
      <c r="I993" s="36"/>
      <c r="J993" s="36"/>
      <c r="K993" s="36"/>
      <c r="L993" s="36"/>
      <c r="M993" s="36"/>
      <c r="N993" s="36"/>
      <c r="O993" s="36"/>
      <c r="P993" s="36"/>
      <c r="Q993" s="36"/>
      <c r="R993" s="36"/>
      <c r="S993" s="36"/>
      <c r="T993" s="36"/>
      <c r="U993" s="36"/>
      <c r="V993" s="36"/>
      <c r="W993" s="36"/>
      <c r="X993" s="36"/>
      <c r="Y993" s="36"/>
      <c r="Z993" s="36"/>
    </row>
    <row r="994" spans="1:26">
      <c r="A994" s="36"/>
      <c r="B994" s="36"/>
      <c r="C994" s="36"/>
      <c r="D994" s="36"/>
      <c r="E994" s="36"/>
      <c r="F994" s="36"/>
      <c r="G994" s="36"/>
      <c r="H994" s="36"/>
      <c r="I994" s="36"/>
      <c r="J994" s="36"/>
      <c r="K994" s="36"/>
      <c r="L994" s="36"/>
      <c r="M994" s="36"/>
      <c r="N994" s="36"/>
      <c r="O994" s="36"/>
      <c r="P994" s="36"/>
      <c r="Q994" s="36"/>
      <c r="R994" s="36"/>
      <c r="S994" s="36"/>
      <c r="T994" s="36"/>
      <c r="U994" s="36"/>
      <c r="V994" s="36"/>
      <c r="W994" s="36"/>
      <c r="X994" s="36"/>
      <c r="Y994" s="36"/>
      <c r="Z994" s="36"/>
    </row>
    <row r="995" spans="1:26">
      <c r="A995" s="36"/>
      <c r="B995" s="36"/>
      <c r="C995" s="36"/>
      <c r="D995" s="36"/>
      <c r="E995" s="36"/>
      <c r="F995" s="36"/>
      <c r="G995" s="36"/>
      <c r="H995" s="36"/>
      <c r="I995" s="36"/>
      <c r="J995" s="36"/>
      <c r="K995" s="36"/>
      <c r="L995" s="36"/>
      <c r="M995" s="36"/>
      <c r="N995" s="36"/>
      <c r="O995" s="36"/>
      <c r="P995" s="36"/>
      <c r="Q995" s="36"/>
      <c r="R995" s="36"/>
      <c r="S995" s="36"/>
      <c r="T995" s="36"/>
      <c r="U995" s="36"/>
      <c r="V995" s="36"/>
      <c r="W995" s="36"/>
      <c r="X995" s="36"/>
      <c r="Y995" s="36"/>
      <c r="Z995" s="36"/>
    </row>
    <row r="996" spans="1:26">
      <c r="A996" s="36"/>
      <c r="B996" s="36"/>
      <c r="C996" s="36"/>
      <c r="D996" s="36"/>
      <c r="E996" s="36"/>
      <c r="F996" s="36"/>
      <c r="G996" s="36"/>
      <c r="H996" s="36"/>
      <c r="I996" s="36"/>
      <c r="J996" s="36"/>
      <c r="K996" s="36"/>
      <c r="L996" s="36"/>
      <c r="M996" s="36"/>
      <c r="N996" s="36"/>
      <c r="O996" s="36"/>
      <c r="P996" s="36"/>
      <c r="Q996" s="36"/>
      <c r="R996" s="36"/>
      <c r="S996" s="36"/>
      <c r="T996" s="36"/>
      <c r="U996" s="36"/>
      <c r="V996" s="36"/>
      <c r="W996" s="36"/>
      <c r="X996" s="36"/>
      <c r="Y996" s="36"/>
      <c r="Z996" s="36"/>
    </row>
    <row r="997" spans="1:26">
      <c r="A997" s="36"/>
      <c r="B997" s="36"/>
      <c r="C997" s="36"/>
      <c r="D997" s="36"/>
      <c r="E997" s="36"/>
      <c r="F997" s="36"/>
      <c r="G997" s="36"/>
      <c r="H997" s="36"/>
      <c r="I997" s="36"/>
      <c r="J997" s="36"/>
      <c r="K997" s="36"/>
      <c r="L997" s="36"/>
      <c r="M997" s="36"/>
      <c r="N997" s="36"/>
      <c r="O997" s="36"/>
      <c r="P997" s="36"/>
      <c r="Q997" s="36"/>
      <c r="R997" s="36"/>
      <c r="S997" s="36"/>
      <c r="T997" s="36"/>
      <c r="U997" s="36"/>
      <c r="V997" s="36"/>
      <c r="W997" s="36"/>
      <c r="X997" s="36"/>
      <c r="Y997" s="36"/>
      <c r="Z997" s="36"/>
    </row>
    <row r="998" spans="1:26">
      <c r="A998" s="36"/>
      <c r="B998" s="36"/>
      <c r="C998" s="36"/>
      <c r="D998" s="36"/>
      <c r="E998" s="36"/>
      <c r="F998" s="36"/>
      <c r="G998" s="36"/>
      <c r="H998" s="36"/>
      <c r="I998" s="36"/>
      <c r="J998" s="36"/>
      <c r="K998" s="36"/>
      <c r="L998" s="36"/>
      <c r="M998" s="36"/>
      <c r="N998" s="36"/>
      <c r="O998" s="36"/>
      <c r="P998" s="36"/>
      <c r="Q998" s="36"/>
      <c r="R998" s="36"/>
      <c r="S998" s="36"/>
      <c r="T998" s="36"/>
      <c r="U998" s="36"/>
      <c r="V998" s="36"/>
      <c r="W998" s="36"/>
      <c r="X998" s="36"/>
      <c r="Y998" s="36"/>
      <c r="Z998" s="36"/>
    </row>
    <row r="999" spans="1:26">
      <c r="A999" s="36"/>
      <c r="B999" s="36"/>
      <c r="C999" s="36"/>
      <c r="D999" s="36"/>
      <c r="E999" s="36"/>
      <c r="F999" s="36"/>
      <c r="G999" s="36"/>
      <c r="H999" s="36"/>
      <c r="I999" s="36"/>
      <c r="J999" s="36"/>
      <c r="K999" s="36"/>
      <c r="L999" s="36"/>
      <c r="M999" s="36"/>
      <c r="N999" s="36"/>
      <c r="O999" s="36"/>
      <c r="P999" s="36"/>
      <c r="Q999" s="36"/>
      <c r="R999" s="36"/>
      <c r="S999" s="36"/>
      <c r="T999" s="36"/>
      <c r="U999" s="36"/>
      <c r="V999" s="36"/>
      <c r="W999" s="36"/>
      <c r="X999" s="36"/>
      <c r="Y999" s="36"/>
      <c r="Z999" s="36"/>
    </row>
    <row r="1000" spans="1:26">
      <c r="A1000" s="36"/>
      <c r="B1000" s="36"/>
      <c r="C1000" s="36"/>
      <c r="D1000" s="36"/>
      <c r="E1000" s="36"/>
      <c r="F1000" s="36"/>
      <c r="G1000" s="36"/>
      <c r="H1000" s="36"/>
      <c r="I1000" s="36"/>
      <c r="J1000" s="36"/>
      <c r="K1000" s="36"/>
      <c r="L1000" s="36"/>
      <c r="M1000" s="36"/>
      <c r="N1000" s="36"/>
      <c r="O1000" s="36"/>
      <c r="P1000" s="36"/>
      <c r="Q1000" s="36"/>
      <c r="R1000" s="36"/>
      <c r="S1000" s="36"/>
      <c r="T1000" s="36"/>
      <c r="U1000" s="36"/>
      <c r="V1000" s="36"/>
      <c r="W1000" s="36"/>
      <c r="X1000" s="36"/>
      <c r="Y1000" s="36"/>
      <c r="Z1000" s="36"/>
    </row>
  </sheetData>
  <sheetProtection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H1142"/>
  <sheetViews>
    <sheetView workbookViewId="0">
      <selection activeCell="A4" sqref="A4"/>
    </sheetView>
  </sheetViews>
  <sheetFormatPr defaultColWidth="14.42578125" defaultRowHeight="15.75" customHeight="1"/>
  <cols>
    <col min="1" max="1" width="38.42578125" customWidth="1"/>
    <col min="2" max="2" width="33" customWidth="1"/>
    <col min="3" max="3" width="10.7109375" customWidth="1"/>
    <col min="4" max="4" width="9.7109375" customWidth="1"/>
    <col min="5" max="5" width="9.28515625" customWidth="1"/>
    <col min="6" max="6" width="9.140625" customWidth="1"/>
    <col min="7" max="7" width="10.7109375" customWidth="1"/>
  </cols>
  <sheetData>
    <row r="1" spans="1:8" ht="15.75" customHeight="1">
      <c r="A1" s="11" t="s">
        <v>16</v>
      </c>
      <c r="B1" s="14"/>
      <c r="D1" s="5"/>
      <c r="E1" s="5"/>
      <c r="F1" s="5"/>
      <c r="G1" s="5"/>
      <c r="H1" s="6"/>
    </row>
    <row r="2" spans="1:8" ht="15.75" customHeight="1">
      <c r="A2" s="13" t="s">
        <v>6</v>
      </c>
      <c r="B2" s="14"/>
      <c r="D2" s="15"/>
      <c r="E2" s="5"/>
      <c r="F2" s="5"/>
      <c r="G2" s="5"/>
      <c r="H2" s="6"/>
    </row>
    <row r="3" spans="1:8" ht="15.75" customHeight="1">
      <c r="A3" s="16" t="s">
        <v>7</v>
      </c>
      <c r="B3" s="14"/>
      <c r="D3" s="14"/>
      <c r="E3" s="5"/>
      <c r="F3" s="5"/>
      <c r="G3" s="5"/>
      <c r="H3" s="6"/>
    </row>
    <row r="4" spans="1:8" ht="45.75" customHeight="1">
      <c r="A4" s="17" t="s">
        <v>8</v>
      </c>
      <c r="B4" s="14"/>
      <c r="D4" s="18"/>
      <c r="E4" s="19" t="s">
        <v>9</v>
      </c>
      <c r="F4" s="5"/>
      <c r="G4" s="5"/>
      <c r="H4" s="6"/>
    </row>
    <row r="5" spans="1:8">
      <c r="A5" s="20" t="str">
        <f ca="1">'Fruit Trees'!A1</f>
        <v>Common Name</v>
      </c>
      <c r="B5" s="20" t="str">
        <f ca="1">'Fruit Trees'!C1</f>
        <v>Pot Size</v>
      </c>
      <c r="C5" s="20" t="str">
        <f ca="1">'Fruit Trees'!D1</f>
        <v>Caliper</v>
      </c>
      <c r="D5" s="20" t="str">
        <f ca="1">'Fruit Trees'!E1</f>
        <v>Height</v>
      </c>
      <c r="E5" s="20" t="str">
        <f ca="1">'Fruit Trees'!F1</f>
        <v xml:space="preserve">Quantity </v>
      </c>
      <c r="F5" s="20" t="str">
        <f ca="1">'Fruit Trees'!G1</f>
        <v>Projected</v>
      </c>
      <c r="G5" s="20" t="str">
        <f ca="1">'Fruit Trees'!H1</f>
        <v xml:space="preserve">Price </v>
      </c>
      <c r="H5" s="20"/>
    </row>
    <row r="6" spans="1:8">
      <c r="A6" s="23" t="str">
        <f ca="1">'Fruit Trees'!A2</f>
        <v>Apple - Ambrosia</v>
      </c>
      <c r="B6" s="23" t="str">
        <f ca="1">'Fruit Trees'!C2</f>
        <v>#5</v>
      </c>
      <c r="C6" s="24" t="str">
        <f ca="1">'Fruit Trees'!D2</f>
        <v>0.5-0.75"</v>
      </c>
      <c r="D6" s="23" t="str">
        <f ca="1">'Fruit Trees'!E2</f>
        <v>5-6'</v>
      </c>
      <c r="E6" s="25">
        <f ca="1">'Fruit Trees'!F2</f>
        <v>5</v>
      </c>
      <c r="F6" s="23">
        <f ca="1">'Fruit Trees'!G2</f>
        <v>20</v>
      </c>
      <c r="G6" s="26">
        <f ca="1">'Fruit Trees'!H2</f>
        <v>40</v>
      </c>
    </row>
    <row r="7" spans="1:8">
      <c r="A7" s="23" t="str">
        <f ca="1">'Fruit Trees'!A3</f>
        <v>Apple - Arkansas Black</v>
      </c>
      <c r="B7" s="23" t="str">
        <f ca="1">'Fruit Trees'!C3</f>
        <v>#5</v>
      </c>
      <c r="C7" s="24" t="str">
        <f ca="1">'Fruit Trees'!D3</f>
        <v>0.75-1"</v>
      </c>
      <c r="D7" s="23" t="str">
        <f ca="1">'Fruit Trees'!E3</f>
        <v>4-5'</v>
      </c>
      <c r="E7" s="25">
        <f ca="1">'Fruit Trees'!F3</f>
        <v>80</v>
      </c>
      <c r="F7" s="23">
        <f ca="1">'Fruit Trees'!G3</f>
        <v>100</v>
      </c>
      <c r="G7" s="26">
        <f ca="1">'Fruit Trees'!H3</f>
        <v>40</v>
      </c>
    </row>
    <row r="8" spans="1:8">
      <c r="A8" s="23" t="str">
        <f ca="1">'Fruit Trees'!A4</f>
        <v>Apple - Aztec Fuji</v>
      </c>
      <c r="B8" s="23" t="str">
        <f ca="1">'Fruit Trees'!C4</f>
        <v>#5</v>
      </c>
      <c r="C8" s="24" t="str">
        <f ca="1">'Fruit Trees'!D4</f>
        <v>0.5-0.5"</v>
      </c>
      <c r="D8" s="23" t="str">
        <f ca="1">'Fruit Trees'!E4</f>
        <v>3-4'</v>
      </c>
      <c r="E8" s="25">
        <f ca="1">'Fruit Trees'!F4</f>
        <v>0</v>
      </c>
      <c r="F8" s="23">
        <f ca="1">'Fruit Trees'!G4</f>
        <v>10</v>
      </c>
      <c r="G8" s="26">
        <f ca="1">'Fruit Trees'!H4</f>
        <v>40</v>
      </c>
    </row>
    <row r="9" spans="1:8">
      <c r="A9" s="23" t="str">
        <f ca="1">'Fruit Trees'!A5</f>
        <v>Apple - Baldwin</v>
      </c>
      <c r="B9" s="23" t="str">
        <f ca="1">'Fruit Trees'!C5</f>
        <v>#5</v>
      </c>
      <c r="C9" s="24" t="str">
        <f ca="1">'Fruit Trees'!D5</f>
        <v>0.75-1"</v>
      </c>
      <c r="D9" s="23" t="str">
        <f ca="1">'Fruit Trees'!E5</f>
        <v>7-8'</v>
      </c>
      <c r="E9" s="25">
        <f ca="1">'Fruit Trees'!F5</f>
        <v>13</v>
      </c>
      <c r="F9" s="23">
        <f ca="1">'Fruit Trees'!G5</f>
        <v>30</v>
      </c>
      <c r="G9" s="26">
        <f ca="1">'Fruit Trees'!H5</f>
        <v>40</v>
      </c>
    </row>
    <row r="10" spans="1:8">
      <c r="A10" s="23" t="str">
        <f ca="1">'Fruit Trees'!A6</f>
        <v>Apple - Crimson Crisp</v>
      </c>
      <c r="B10" s="23" t="str">
        <f ca="1">'Fruit Trees'!C6</f>
        <v>#5</v>
      </c>
      <c r="C10" s="24" t="str">
        <f ca="1">'Fruit Trees'!D6</f>
        <v>0.75-1"</v>
      </c>
      <c r="D10" s="23" t="str">
        <f ca="1">'Fruit Trees'!E6</f>
        <v>6-9'</v>
      </c>
      <c r="E10" s="25">
        <f ca="1">'Fruit Trees'!F6</f>
        <v>36</v>
      </c>
      <c r="F10" s="23">
        <f ca="1">'Fruit Trees'!G6</f>
        <v>50</v>
      </c>
      <c r="G10" s="26">
        <f ca="1">'Fruit Trees'!H6</f>
        <v>40</v>
      </c>
    </row>
    <row r="11" spans="1:8">
      <c r="A11" s="23" t="str">
        <f ca="1">'Fruit Trees'!A7</f>
        <v>Apple - Crown Empire</v>
      </c>
      <c r="B11" s="23" t="str">
        <f ca="1">'Fruit Trees'!C7</f>
        <v>#5</v>
      </c>
      <c r="C11" s="24" t="str">
        <f ca="1">'Fruit Trees'!D7</f>
        <v>0.25-0.5"</v>
      </c>
      <c r="D11" s="23" t="str">
        <f ca="1">'Fruit Trees'!E7</f>
        <v>3-4'</v>
      </c>
      <c r="E11" s="25">
        <f ca="1">'Fruit Trees'!F7</f>
        <v>0</v>
      </c>
      <c r="F11" s="23">
        <f ca="1">'Fruit Trees'!G7</f>
        <v>5</v>
      </c>
      <c r="G11" s="26">
        <f ca="1">'Fruit Trees'!H7</f>
        <v>40</v>
      </c>
    </row>
    <row r="12" spans="1:8">
      <c r="A12" s="23" t="str">
        <f ca="1">'Fruit Trees'!A8</f>
        <v>Apple - Daybreak Fuji</v>
      </c>
      <c r="B12" s="23" t="str">
        <f ca="1">'Fruit Trees'!C8</f>
        <v>#5</v>
      </c>
      <c r="C12" s="24" t="str">
        <f ca="1">'Fruit Trees'!D8</f>
        <v>0.75-1"</v>
      </c>
      <c r="D12" s="23" t="str">
        <f ca="1">'Fruit Trees'!E8</f>
        <v>6-7'</v>
      </c>
      <c r="E12" s="25">
        <f ca="1">'Fruit Trees'!F8</f>
        <v>4</v>
      </c>
      <c r="F12" s="23">
        <f ca="1">'Fruit Trees'!G8</f>
        <v>0</v>
      </c>
      <c r="G12" s="26">
        <f ca="1">'Fruit Trees'!H8</f>
        <v>40</v>
      </c>
    </row>
    <row r="13" spans="1:8">
      <c r="A13" s="23" t="str">
        <f ca="1">'Fruit Trees'!A9</f>
        <v>Apple - Enterprise</v>
      </c>
      <c r="B13" s="23" t="str">
        <f ca="1">'Fruit Trees'!C9</f>
        <v>#5</v>
      </c>
      <c r="C13" s="24" t="str">
        <f ca="1">'Fruit Trees'!D9</f>
        <v>0.5-1.25"</v>
      </c>
      <c r="D13" s="23" t="str">
        <f ca="1">'Fruit Trees'!E9</f>
        <v>6-8'</v>
      </c>
      <c r="E13" s="25">
        <f ca="1">'Fruit Trees'!F9</f>
        <v>39</v>
      </c>
      <c r="F13" s="23">
        <f ca="1">'Fruit Trees'!G9</f>
        <v>84</v>
      </c>
      <c r="G13" s="26">
        <f ca="1">'Fruit Trees'!H9</f>
        <v>40</v>
      </c>
    </row>
    <row r="14" spans="1:8">
      <c r="A14" s="23" t="str">
        <f ca="1">'Fruit Trees'!A10</f>
        <v>Apple - Enterprise</v>
      </c>
      <c r="B14" s="23" t="str">
        <f ca="1">'Fruit Trees'!C10</f>
        <v>#10</v>
      </c>
      <c r="C14" s="24" t="str">
        <f ca="1">'Fruit Trees'!D10</f>
        <v>0.5-1.5"</v>
      </c>
      <c r="D14" s="23" t="str">
        <f ca="1">'Fruit Trees'!E10</f>
        <v>6-7'</v>
      </c>
      <c r="E14" s="25">
        <f ca="1">'Fruit Trees'!F10</f>
        <v>4</v>
      </c>
      <c r="F14" s="23">
        <f ca="1">'Fruit Trees'!G10</f>
        <v>0</v>
      </c>
      <c r="G14" s="26">
        <f ca="1">'Fruit Trees'!H10</f>
        <v>65</v>
      </c>
    </row>
    <row r="15" spans="1:8">
      <c r="A15" s="23" t="str">
        <f ca="1">'Fruit Trees'!A11</f>
        <v>Apple - Enterprise (Dwarf)</v>
      </c>
      <c r="B15" s="23" t="str">
        <f ca="1">'Fruit Trees'!C11</f>
        <v>#5</v>
      </c>
      <c r="C15" s="24" t="str">
        <f ca="1">'Fruit Trees'!D11</f>
        <v>0.75-1"</v>
      </c>
      <c r="D15" s="23" t="str">
        <f ca="1">'Fruit Trees'!E11</f>
        <v>7-8'</v>
      </c>
      <c r="E15" s="25">
        <f ca="1">'Fruit Trees'!F11</f>
        <v>11</v>
      </c>
      <c r="F15" s="23">
        <f ca="1">'Fruit Trees'!G11</f>
        <v>0</v>
      </c>
      <c r="G15" s="26">
        <f ca="1">'Fruit Trees'!H11</f>
        <v>40</v>
      </c>
    </row>
    <row r="16" spans="1:8">
      <c r="A16" s="23" t="str">
        <f ca="1">'Fruit Trees'!A12</f>
        <v>Apple - Freedom</v>
      </c>
      <c r="B16" s="23" t="str">
        <f ca="1">'Fruit Trees'!C12</f>
        <v>#5</v>
      </c>
      <c r="C16" s="24" t="str">
        <f ca="1">'Fruit Trees'!D12</f>
        <v>0.75-0.75"</v>
      </c>
      <c r="D16" s="23" t="str">
        <f ca="1">'Fruit Trees'!E12</f>
        <v>5-5'</v>
      </c>
      <c r="E16" s="25">
        <f ca="1">'Fruit Trees'!F12</f>
        <v>1</v>
      </c>
      <c r="F16" s="23">
        <f ca="1">'Fruit Trees'!G12</f>
        <v>50</v>
      </c>
      <c r="G16" s="26">
        <f ca="1">'Fruit Trees'!H12</f>
        <v>40</v>
      </c>
    </row>
    <row r="17" spans="1:7">
      <c r="A17" s="23" t="str">
        <f ca="1">'Fruit Trees'!A13</f>
        <v>Apple - Fuji</v>
      </c>
      <c r="B17" s="23" t="str">
        <f ca="1">'Fruit Trees'!C13</f>
        <v>#5</v>
      </c>
      <c r="C17" s="24" t="str">
        <f ca="1">'Fruit Trees'!D13</f>
        <v>1-1.25"</v>
      </c>
      <c r="D17" s="23" t="str">
        <f ca="1">'Fruit Trees'!E13</f>
        <v>6-8'</v>
      </c>
      <c r="E17" s="25">
        <f ca="1">'Fruit Trees'!F13</f>
        <v>53</v>
      </c>
      <c r="F17" s="23">
        <f ca="1">'Fruit Trees'!G13</f>
        <v>100</v>
      </c>
      <c r="G17" s="26">
        <f ca="1">'Fruit Trees'!H13</f>
        <v>40</v>
      </c>
    </row>
    <row r="18" spans="1:7">
      <c r="A18" s="23" t="str">
        <f ca="1">'Fruit Trees'!A14</f>
        <v>Apple - Fuji</v>
      </c>
      <c r="B18" s="23" t="str">
        <f ca="1">'Fruit Trees'!C14</f>
        <v>#10</v>
      </c>
      <c r="C18" s="24" t="str">
        <f ca="1">'Fruit Trees'!D14</f>
        <v>1-1.25"</v>
      </c>
      <c r="D18" s="23" t="str">
        <f ca="1">'Fruit Trees'!E14</f>
        <v>7-8'</v>
      </c>
      <c r="E18" s="25">
        <f ca="1">'Fruit Trees'!F14</f>
        <v>9</v>
      </c>
      <c r="F18" s="23">
        <f ca="1">'Fruit Trees'!G14</f>
        <v>0</v>
      </c>
      <c r="G18" s="26">
        <f ca="1">'Fruit Trees'!H14</f>
        <v>65</v>
      </c>
    </row>
    <row r="19" spans="1:7">
      <c r="A19" s="23" t="str">
        <f ca="1">'Fruit Trees'!A15</f>
        <v>Apple - Fuji Espalier 3-Tier</v>
      </c>
      <c r="B19" s="23" t="str">
        <f ca="1">'Fruit Trees'!C15</f>
        <v>#15</v>
      </c>
      <c r="C19" s="24" t="str">
        <f ca="1">'Fruit Trees'!D15</f>
        <v>0.75-1"</v>
      </c>
      <c r="D19" s="23" t="str">
        <f ca="1">'Fruit Trees'!E15</f>
        <v>6-7'</v>
      </c>
      <c r="E19" s="25">
        <f ca="1">'Fruit Trees'!F15</f>
        <v>0</v>
      </c>
      <c r="F19" s="23">
        <f ca="1">'Fruit Trees'!G15</f>
        <v>5</v>
      </c>
      <c r="G19" s="26">
        <f ca="1">'Fruit Trees'!H15</f>
        <v>175</v>
      </c>
    </row>
    <row r="20" spans="1:7">
      <c r="A20" s="23" t="str">
        <f ca="1">'Fruit Trees'!A16</f>
        <v>Apple - Gala</v>
      </c>
      <c r="B20" s="23" t="str">
        <f ca="1">'Fruit Trees'!C16</f>
        <v>#5</v>
      </c>
      <c r="C20" s="24" t="str">
        <f ca="1">'Fruit Trees'!D16</f>
        <v>0.5-1"</v>
      </c>
      <c r="D20" s="23" t="str">
        <f ca="1">'Fruit Trees'!E16</f>
        <v>5-7'</v>
      </c>
      <c r="E20" s="25">
        <f ca="1">'Fruit Trees'!F16</f>
        <v>16</v>
      </c>
      <c r="F20" s="23">
        <f ca="1">'Fruit Trees'!G16</f>
        <v>100</v>
      </c>
      <c r="G20" s="26">
        <f ca="1">'Fruit Trees'!H16</f>
        <v>40</v>
      </c>
    </row>
    <row r="21" spans="1:7">
      <c r="A21" s="23" t="str">
        <f ca="1">'Fruit Trees'!A17</f>
        <v>Apple - Gala</v>
      </c>
      <c r="B21" s="23" t="str">
        <f ca="1">'Fruit Trees'!C17</f>
        <v>#10</v>
      </c>
      <c r="C21" s="24" t="str">
        <f ca="1">'Fruit Trees'!D17</f>
        <v>1-1"</v>
      </c>
      <c r="D21" s="23" t="str">
        <f ca="1">'Fruit Trees'!E17</f>
        <v>7-7'</v>
      </c>
      <c r="E21" s="25">
        <f ca="1">'Fruit Trees'!F17</f>
        <v>1</v>
      </c>
      <c r="F21" s="23">
        <f ca="1">'Fruit Trees'!G17</f>
        <v>0</v>
      </c>
      <c r="G21" s="26">
        <f ca="1">'Fruit Trees'!H17</f>
        <v>65</v>
      </c>
    </row>
    <row r="22" spans="1:7">
      <c r="A22" s="23" t="str">
        <f ca="1">'Fruit Trees'!A18</f>
        <v>Apple - Gala Espalier 3 tier</v>
      </c>
      <c r="B22" s="23" t="str">
        <f ca="1">'Fruit Trees'!C18</f>
        <v>#15</v>
      </c>
      <c r="C22" s="24" t="str">
        <f ca="1">'Fruit Trees'!D18</f>
        <v>0.75-1"</v>
      </c>
      <c r="D22" s="23" t="str">
        <f ca="1">'Fruit Trees'!E18</f>
        <v>6-7'</v>
      </c>
      <c r="E22" s="25">
        <f ca="1">'Fruit Trees'!F18</f>
        <v>0</v>
      </c>
      <c r="F22" s="23">
        <f ca="1">'Fruit Trees'!G18</f>
        <v>5</v>
      </c>
      <c r="G22" s="26">
        <f ca="1">'Fruit Trees'!H18</f>
        <v>175</v>
      </c>
    </row>
    <row r="23" spans="1:7">
      <c r="A23" s="23" t="str">
        <f ca="1">'Fruit Trees'!A19</f>
        <v>Apple - Galarina</v>
      </c>
      <c r="B23" s="23" t="str">
        <f ca="1">'Fruit Trees'!C19</f>
        <v>#5</v>
      </c>
      <c r="C23" s="24" t="str">
        <f ca="1">'Fruit Trees'!D19</f>
        <v>0-1"</v>
      </c>
      <c r="D23" s="23" t="str">
        <f ca="1">'Fruit Trees'!E19</f>
        <v>0-6'</v>
      </c>
      <c r="E23" s="25">
        <f ca="1">'Fruit Trees'!F19</f>
        <v>0</v>
      </c>
      <c r="F23" s="23">
        <f ca="1">'Fruit Trees'!G19</f>
        <v>85</v>
      </c>
      <c r="G23" s="26">
        <f ca="1">'Fruit Trees'!H19</f>
        <v>40</v>
      </c>
    </row>
    <row r="24" spans="1:7" ht="12.75">
      <c r="A24" s="23" t="str">
        <f ca="1">'Fruit Trees'!A20</f>
        <v>Apple - Gold Rush</v>
      </c>
      <c r="B24" s="23" t="str">
        <f ca="1">'Fruit Trees'!C20</f>
        <v>#5</v>
      </c>
      <c r="C24" s="24" t="str">
        <f ca="1">'Fruit Trees'!D20</f>
        <v>0.5-0.75"</v>
      </c>
      <c r="D24" s="23" t="str">
        <f ca="1">'Fruit Trees'!E20</f>
        <v>4-5'</v>
      </c>
      <c r="E24" s="25">
        <f ca="1">'Fruit Trees'!F20</f>
        <v>0</v>
      </c>
      <c r="F24" s="23">
        <f ca="1">'Fruit Trees'!G20</f>
        <v>20</v>
      </c>
      <c r="G24" s="26">
        <f ca="1">'Fruit Trees'!H20</f>
        <v>40</v>
      </c>
    </row>
    <row r="25" spans="1:7" ht="12.75">
      <c r="A25" s="23" t="str">
        <f ca="1">'Fruit Trees'!A21</f>
        <v>Apple - Gold Rush</v>
      </c>
      <c r="B25" s="23" t="str">
        <f ca="1">'Fruit Trees'!C21</f>
        <v>#5</v>
      </c>
      <c r="C25" s="24" t="str">
        <f ca="1">'Fruit Trees'!D21</f>
        <v>0.75-1"</v>
      </c>
      <c r="D25" s="23" t="str">
        <f ca="1">'Fruit Trees'!E21</f>
        <v>5-7'</v>
      </c>
      <c r="E25" s="25">
        <f ca="1">'Fruit Trees'!F21</f>
        <v>4</v>
      </c>
      <c r="F25" s="23">
        <f ca="1">'Fruit Trees'!G21</f>
        <v>20</v>
      </c>
      <c r="G25" s="26">
        <f ca="1">'Fruit Trees'!H21</f>
        <v>40</v>
      </c>
    </row>
    <row r="26" spans="1:7" ht="12.75">
      <c r="A26" s="23" t="str">
        <f ca="1">'Fruit Trees'!A22</f>
        <v>Apple - Golden Delicious</v>
      </c>
      <c r="B26" s="23" t="str">
        <f ca="1">'Fruit Trees'!C22</f>
        <v>#5</v>
      </c>
      <c r="C26" s="24" t="str">
        <f ca="1">'Fruit Trees'!D22</f>
        <v>0.75-0.75"</v>
      </c>
      <c r="D26" s="23" t="str">
        <f ca="1">'Fruit Trees'!E22</f>
        <v>5-5'</v>
      </c>
      <c r="E26" s="25">
        <f ca="1">'Fruit Trees'!F22</f>
        <v>1</v>
      </c>
      <c r="F26" s="23">
        <f ca="1">'Fruit Trees'!G22</f>
        <v>0</v>
      </c>
      <c r="G26" s="26">
        <f ca="1">'Fruit Trees'!H22</f>
        <v>40</v>
      </c>
    </row>
    <row r="27" spans="1:7" ht="12.75">
      <c r="A27" s="23" t="str">
        <f ca="1">'Fruit Trees'!A23</f>
        <v>Apple - Golden Delicious</v>
      </c>
      <c r="B27" s="23" t="str">
        <f ca="1">'Fruit Trees'!C23</f>
        <v>#10</v>
      </c>
      <c r="C27" s="24" t="str">
        <f ca="1">'Fruit Trees'!D23</f>
        <v>1-1"</v>
      </c>
      <c r="D27" s="23" t="str">
        <f ca="1">'Fruit Trees'!E23</f>
        <v>7-8'</v>
      </c>
      <c r="E27" s="25">
        <f ca="1">'Fruit Trees'!F23</f>
        <v>2</v>
      </c>
      <c r="F27" s="23">
        <f ca="1">'Fruit Trees'!G23</f>
        <v>0</v>
      </c>
      <c r="G27" s="26">
        <f ca="1">'Fruit Trees'!H23</f>
        <v>65</v>
      </c>
    </row>
    <row r="28" spans="1:7" ht="12.75">
      <c r="A28" s="23" t="str">
        <f ca="1">'Fruit Trees'!A24</f>
        <v>Apple - Granny Smith</v>
      </c>
      <c r="B28" s="23" t="str">
        <f ca="1">'Fruit Trees'!C24</f>
        <v>#5</v>
      </c>
      <c r="C28" s="24" t="str">
        <f ca="1">'Fruit Trees'!D24</f>
        <v>0.75-1"</v>
      </c>
      <c r="D28" s="23" t="str">
        <f ca="1">'Fruit Trees'!E24</f>
        <v>5-8'</v>
      </c>
      <c r="E28" s="25">
        <f ca="1">'Fruit Trees'!F24</f>
        <v>65</v>
      </c>
      <c r="F28" s="23">
        <f ca="1">'Fruit Trees'!G24</f>
        <v>100</v>
      </c>
      <c r="G28" s="26">
        <f ca="1">'Fruit Trees'!H24</f>
        <v>40</v>
      </c>
    </row>
    <row r="29" spans="1:7" ht="12.75">
      <c r="A29" s="23" t="str">
        <f ca="1">'Fruit Trees'!A25</f>
        <v>Apple - Honeycrisp</v>
      </c>
      <c r="B29" s="23" t="str">
        <f ca="1">'Fruit Trees'!C25</f>
        <v>#5</v>
      </c>
      <c r="C29" s="24" t="str">
        <f ca="1">'Fruit Trees'!D25</f>
        <v>0-1"</v>
      </c>
      <c r="D29" s="23" t="str">
        <f ca="1">'Fruit Trees'!E25</f>
        <v>0-7'</v>
      </c>
      <c r="E29" s="25">
        <f ca="1">'Fruit Trees'!F25</f>
        <v>-3</v>
      </c>
      <c r="F29" s="23">
        <f ca="1">'Fruit Trees'!G25</f>
        <v>45</v>
      </c>
      <c r="G29" s="26">
        <f ca="1">'Fruit Trees'!H25</f>
        <v>40</v>
      </c>
    </row>
    <row r="30" spans="1:7" ht="12.75">
      <c r="A30" s="23" t="str">
        <f ca="1">'Fruit Trees'!A26</f>
        <v>Apple - Initial</v>
      </c>
      <c r="B30" s="23" t="str">
        <f ca="1">'Fruit Trees'!C26</f>
        <v>#5</v>
      </c>
      <c r="C30" s="24" t="str">
        <f ca="1">'Fruit Trees'!D26</f>
        <v>0.5-0.5"</v>
      </c>
      <c r="D30" s="23" t="str">
        <f ca="1">'Fruit Trees'!E26</f>
        <v>3-4'</v>
      </c>
      <c r="E30" s="25">
        <f ca="1">'Fruit Trees'!F26</f>
        <v>0</v>
      </c>
      <c r="F30" s="23">
        <f ca="1">'Fruit Trees'!G26</f>
        <v>20</v>
      </c>
      <c r="G30" s="26">
        <f ca="1">'Fruit Trees'!H26</f>
        <v>40</v>
      </c>
    </row>
    <row r="31" spans="1:7" ht="12.75">
      <c r="A31" s="23" t="str">
        <f ca="1">'Fruit Trees'!A27</f>
        <v>Apple - Liberty</v>
      </c>
      <c r="B31" s="23" t="str">
        <f ca="1">'Fruit Trees'!C27</f>
        <v>#5</v>
      </c>
      <c r="C31" s="24" t="str">
        <f ca="1">'Fruit Trees'!D27</f>
        <v>0.75-1"</v>
      </c>
      <c r="D31" s="23" t="str">
        <f ca="1">'Fruit Trees'!E27</f>
        <v>5-7'</v>
      </c>
      <c r="E31" s="25">
        <f ca="1">'Fruit Trees'!F27</f>
        <v>-6</v>
      </c>
      <c r="F31" s="23">
        <f ca="1">'Fruit Trees'!G27</f>
        <v>100</v>
      </c>
      <c r="G31" s="26">
        <f ca="1">'Fruit Trees'!H27</f>
        <v>40</v>
      </c>
    </row>
    <row r="32" spans="1:7" ht="12.75">
      <c r="A32" s="23" t="str">
        <f ca="1">'Fruit Trees'!A28</f>
        <v>Apple - Macoun</v>
      </c>
      <c r="B32" s="23" t="str">
        <f ca="1">'Fruit Trees'!C28</f>
        <v>#5</v>
      </c>
      <c r="C32" s="24" t="str">
        <f ca="1">'Fruit Trees'!D28</f>
        <v>0.5-0.5"</v>
      </c>
      <c r="D32" s="23" t="str">
        <f ca="1">'Fruit Trees'!E28</f>
        <v>3-4'</v>
      </c>
      <c r="E32" s="25">
        <f ca="1">'Fruit Trees'!F28</f>
        <v>0</v>
      </c>
      <c r="F32" s="23">
        <f ca="1">'Fruit Trees'!G28</f>
        <v>20</v>
      </c>
      <c r="G32" s="26">
        <f ca="1">'Fruit Trees'!H28</f>
        <v>40</v>
      </c>
    </row>
    <row r="33" spans="1:7" ht="12.75">
      <c r="A33" s="23" t="str">
        <f ca="1">'Fruit Trees'!A29</f>
        <v>Apple - McIntosh</v>
      </c>
      <c r="B33" s="23" t="str">
        <f ca="1">'Fruit Trees'!C29</f>
        <v>#5</v>
      </c>
      <c r="C33" s="24" t="str">
        <f ca="1">'Fruit Trees'!D29</f>
        <v>0.75-1"</v>
      </c>
      <c r="D33" s="23" t="str">
        <f ca="1">'Fruit Trees'!E29</f>
        <v>7-8'</v>
      </c>
      <c r="E33" s="25">
        <f ca="1">'Fruit Trees'!F29</f>
        <v>20</v>
      </c>
      <c r="F33" s="23">
        <f ca="1">'Fruit Trees'!G29</f>
        <v>100</v>
      </c>
      <c r="G33" s="26">
        <f ca="1">'Fruit Trees'!H29</f>
        <v>40</v>
      </c>
    </row>
    <row r="34" spans="1:7" ht="12.75">
      <c r="A34" s="23" t="str">
        <f ca="1">'Fruit Trees'!A30</f>
        <v>Apple - McIntosh</v>
      </c>
      <c r="B34" s="23" t="str">
        <f ca="1">'Fruit Trees'!C30</f>
        <v>#10</v>
      </c>
      <c r="C34" s="24" t="str">
        <f ca="1">'Fruit Trees'!D30</f>
        <v>1-1"</v>
      </c>
      <c r="D34" s="23" t="str">
        <f ca="1">'Fruit Trees'!E30</f>
        <v>7-8'</v>
      </c>
      <c r="E34" s="25">
        <f ca="1">'Fruit Trees'!F30</f>
        <v>9</v>
      </c>
      <c r="F34" s="23">
        <f ca="1">'Fruit Trees'!G30</f>
        <v>0</v>
      </c>
      <c r="G34" s="26">
        <f ca="1">'Fruit Trees'!H30</f>
        <v>65</v>
      </c>
    </row>
    <row r="35" spans="1:7" ht="12.75">
      <c r="A35" s="23" t="str">
        <f ca="1">'Fruit Trees'!A31</f>
        <v>Apple - Northern Spy</v>
      </c>
      <c r="B35" s="23" t="str">
        <f ca="1">'Fruit Trees'!C31</f>
        <v>#5</v>
      </c>
      <c r="C35" s="24" t="str">
        <f ca="1">'Fruit Trees'!D31</f>
        <v>0.38-0.75"</v>
      </c>
      <c r="D35" s="23" t="str">
        <f ca="1">'Fruit Trees'!E31</f>
        <v>3-5'</v>
      </c>
      <c r="E35" s="25">
        <f ca="1">'Fruit Trees'!F31</f>
        <v>0</v>
      </c>
      <c r="F35" s="23">
        <f ca="1">'Fruit Trees'!G31</f>
        <v>50</v>
      </c>
      <c r="G35" s="26">
        <f ca="1">'Fruit Trees'!H31</f>
        <v>40</v>
      </c>
    </row>
    <row r="36" spans="1:7" ht="12.75">
      <c r="A36" s="23" t="str">
        <f ca="1">'Fruit Trees'!A32</f>
        <v>Apple - Nova Spy</v>
      </c>
      <c r="B36" s="23" t="str">
        <f ca="1">'Fruit Trees'!C32</f>
        <v>#5</v>
      </c>
      <c r="C36" s="24" t="str">
        <f ca="1">'Fruit Trees'!D32</f>
        <v>0.75-1"</v>
      </c>
      <c r="D36" s="23" t="str">
        <f ca="1">'Fruit Trees'!E32</f>
        <v>7-9'</v>
      </c>
      <c r="E36" s="25">
        <f ca="1">'Fruit Trees'!F32</f>
        <v>20</v>
      </c>
      <c r="F36" s="23">
        <f ca="1">'Fruit Trees'!G32</f>
        <v>50</v>
      </c>
      <c r="G36" s="26">
        <f ca="1">'Fruit Trees'!H32</f>
        <v>40</v>
      </c>
    </row>
    <row r="37" spans="1:7" ht="12.75">
      <c r="A37" s="23" t="str">
        <f ca="1">'Fruit Trees'!A33</f>
        <v>Apple - Pink Lady</v>
      </c>
      <c r="B37" s="23" t="str">
        <f ca="1">'Fruit Trees'!C33</f>
        <v>#7</v>
      </c>
      <c r="C37" s="24" t="str">
        <f ca="1">'Fruit Trees'!D33</f>
        <v>0.75-1"</v>
      </c>
      <c r="D37" s="23" t="str">
        <f ca="1">'Fruit Trees'!E33</f>
        <v>5-7'</v>
      </c>
      <c r="E37" s="25">
        <f ca="1">'Fruit Trees'!F33</f>
        <v>3</v>
      </c>
      <c r="F37" s="23">
        <f ca="1">'Fruit Trees'!G33</f>
        <v>0</v>
      </c>
      <c r="G37" s="26">
        <f ca="1">'Fruit Trees'!H33</f>
        <v>55</v>
      </c>
    </row>
    <row r="38" spans="1:7" ht="12.75">
      <c r="A38" s="23" t="str">
        <f ca="1">'Fruit Trees'!A34</f>
        <v>Apple - Querina</v>
      </c>
      <c r="B38" s="23" t="str">
        <f ca="1">'Fruit Trees'!C34</f>
        <v>#5</v>
      </c>
      <c r="C38" s="24" t="str">
        <f ca="1">'Fruit Trees'!D34</f>
        <v>0.75-1.25"</v>
      </c>
      <c r="D38" s="23" t="str">
        <f ca="1">'Fruit Trees'!E34</f>
        <v>7-8'</v>
      </c>
      <c r="E38" s="25">
        <f ca="1">'Fruit Trees'!F34</f>
        <v>59</v>
      </c>
      <c r="F38" s="23">
        <f ca="1">'Fruit Trees'!G34</f>
        <v>100</v>
      </c>
      <c r="G38" s="26">
        <f ca="1">'Fruit Trees'!H34</f>
        <v>40</v>
      </c>
    </row>
    <row r="39" spans="1:7" ht="12.75">
      <c r="A39" s="23" t="str">
        <f ca="1">'Fruit Trees'!A35</f>
        <v>Apple - Querina (standard)</v>
      </c>
      <c r="B39" s="23" t="str">
        <f ca="1">'Fruit Trees'!C35</f>
        <v>#5</v>
      </c>
      <c r="C39" s="24" t="str">
        <f ca="1">'Fruit Trees'!D35</f>
        <v>1-1"</v>
      </c>
      <c r="D39" s="23" t="str">
        <f ca="1">'Fruit Trees'!E35</f>
        <v>7-8'</v>
      </c>
      <c r="E39" s="25">
        <f ca="1">'Fruit Trees'!F35</f>
        <v>24</v>
      </c>
      <c r="F39" s="23">
        <f ca="1">'Fruit Trees'!G35</f>
        <v>0</v>
      </c>
      <c r="G39" s="26">
        <f ca="1">'Fruit Trees'!H35</f>
        <v>40</v>
      </c>
    </row>
    <row r="40" spans="1:7" ht="12.75">
      <c r="A40" s="23" t="str">
        <f ca="1">'Fruit Trees'!A36</f>
        <v>Apple - Querina (standard)</v>
      </c>
      <c r="B40" s="23" t="str">
        <f ca="1">'Fruit Trees'!C36</f>
        <v>#10</v>
      </c>
      <c r="C40" s="24" t="str">
        <f ca="1">'Fruit Trees'!D36</f>
        <v>1-1"</v>
      </c>
      <c r="D40" s="23" t="str">
        <f ca="1">'Fruit Trees'!E36</f>
        <v>7-8'</v>
      </c>
      <c r="E40" s="25">
        <f ca="1">'Fruit Trees'!F36</f>
        <v>7</v>
      </c>
      <c r="F40" s="23">
        <f ca="1">'Fruit Trees'!G36</f>
        <v>0</v>
      </c>
      <c r="G40" s="26">
        <f ca="1">'Fruit Trees'!H36</f>
        <v>65</v>
      </c>
    </row>
    <row r="41" spans="1:7" ht="12.75">
      <c r="A41" s="23" t="str">
        <f ca="1">'Fruit Trees'!A37</f>
        <v>Apple - Red Delicious</v>
      </c>
      <c r="B41" s="23" t="str">
        <f ca="1">'Fruit Trees'!C37</f>
        <v>#5</v>
      </c>
      <c r="C41" s="24" t="str">
        <f ca="1">'Fruit Trees'!D37</f>
        <v>0.75-1"</v>
      </c>
      <c r="D41" s="23" t="str">
        <f ca="1">'Fruit Trees'!E37</f>
        <v>7-8'</v>
      </c>
      <c r="E41" s="25">
        <f ca="1">'Fruit Trees'!F37</f>
        <v>10</v>
      </c>
      <c r="F41" s="23">
        <f ca="1">'Fruit Trees'!G37</f>
        <v>100</v>
      </c>
      <c r="G41" s="26">
        <f ca="1">'Fruit Trees'!H37</f>
        <v>40</v>
      </c>
    </row>
    <row r="42" spans="1:7" ht="12.75">
      <c r="A42" s="23" t="str">
        <f ca="1">'Fruit Trees'!A38</f>
        <v>Apple - Spur Winter Banana</v>
      </c>
      <c r="B42" s="23" t="str">
        <f ca="1">'Fruit Trees'!C38</f>
        <v>#5</v>
      </c>
      <c r="C42" s="24" t="str">
        <f ca="1">'Fruit Trees'!D38</f>
        <v>0.75-1"</v>
      </c>
      <c r="D42" s="23" t="str">
        <f ca="1">'Fruit Trees'!E38</f>
        <v>5-5'</v>
      </c>
      <c r="E42" s="25">
        <f ca="1">'Fruit Trees'!F38</f>
        <v>5</v>
      </c>
      <c r="F42" s="23">
        <f ca="1">'Fruit Trees'!G38</f>
        <v>20</v>
      </c>
      <c r="G42" s="26">
        <f ca="1">'Fruit Trees'!H38</f>
        <v>40</v>
      </c>
    </row>
    <row r="43" spans="1:7" ht="12.75">
      <c r="A43" s="23" t="str">
        <f ca="1">'Fruit Trees'!A39</f>
        <v>Apple - Winesap</v>
      </c>
      <c r="B43" s="23" t="str">
        <f ca="1">'Fruit Trees'!C39</f>
        <v>#5</v>
      </c>
      <c r="C43" s="24" t="str">
        <f ca="1">'Fruit Trees'!D39</f>
        <v>0.5-0.75"</v>
      </c>
      <c r="D43" s="23" t="str">
        <f ca="1">'Fruit Trees'!E39</f>
        <v>5-7'</v>
      </c>
      <c r="E43" s="25">
        <f ca="1">'Fruit Trees'!F39</f>
        <v>24</v>
      </c>
      <c r="F43" s="23">
        <f ca="1">'Fruit Trees'!G39</f>
        <v>100</v>
      </c>
      <c r="G43" s="26">
        <f ca="1">'Fruit Trees'!H39</f>
        <v>40</v>
      </c>
    </row>
    <row r="44" spans="1:7" ht="12.75">
      <c r="A44" s="23" t="str">
        <f ca="1">'Fruit Trees'!A40</f>
        <v>Apple - Winesap</v>
      </c>
      <c r="B44" s="23" t="str">
        <f ca="1">'Fruit Trees'!C40</f>
        <v>#10</v>
      </c>
      <c r="C44" s="24" t="str">
        <f ca="1">'Fruit Trees'!D40</f>
        <v>0.75-0.75"</v>
      </c>
      <c r="D44" s="23" t="str">
        <f ca="1">'Fruit Trees'!E40</f>
        <v>7-7'</v>
      </c>
      <c r="E44" s="25">
        <f ca="1">'Fruit Trees'!F40</f>
        <v>1</v>
      </c>
      <c r="F44" s="23">
        <f ca="1">'Fruit Trees'!G40</f>
        <v>0</v>
      </c>
      <c r="G44" s="26">
        <f ca="1">'Fruit Trees'!H40</f>
        <v>65</v>
      </c>
    </row>
    <row r="45" spans="1:7" ht="12.75">
      <c r="A45" s="23" t="str">
        <f ca="1">'Fruit Trees'!A41</f>
        <v>Apple - Yellow Delicious</v>
      </c>
      <c r="B45" s="23" t="str">
        <f ca="1">'Fruit Trees'!C41</f>
        <v>#5</v>
      </c>
      <c r="C45" s="24" t="str">
        <f ca="1">'Fruit Trees'!D41</f>
        <v>0.5-0.5"</v>
      </c>
      <c r="D45" s="23" t="str">
        <f ca="1">'Fruit Trees'!E41</f>
        <v>4-5'</v>
      </c>
      <c r="E45" s="25">
        <f ca="1">'Fruit Trees'!F41</f>
        <v>0</v>
      </c>
      <c r="F45" s="23">
        <f ca="1">'Fruit Trees'!G41</f>
        <v>50</v>
      </c>
      <c r="G45" s="26">
        <f ca="1">'Fruit Trees'!H41</f>
        <v>40</v>
      </c>
    </row>
    <row r="46" spans="1:7" ht="12.75">
      <c r="A46" s="23" t="str">
        <f ca="1">'Fruit Trees'!A42</f>
        <v>Apricot - Flavor Giant</v>
      </c>
      <c r="B46" s="23" t="str">
        <f ca="1">'Fruit Trees'!C42</f>
        <v>#5</v>
      </c>
      <c r="C46" s="24" t="str">
        <f ca="1">'Fruit Trees'!D42</f>
        <v>0.75-0.75"</v>
      </c>
      <c r="D46" s="23" t="str">
        <f ca="1">'Fruit Trees'!E42</f>
        <v>7-7'</v>
      </c>
      <c r="E46" s="25">
        <f ca="1">'Fruit Trees'!F42</f>
        <v>1</v>
      </c>
      <c r="F46" s="23">
        <f ca="1">'Fruit Trees'!G42</f>
        <v>0</v>
      </c>
      <c r="G46" s="26">
        <f ca="1">'Fruit Trees'!H42</f>
        <v>40</v>
      </c>
    </row>
    <row r="47" spans="1:7" ht="12.75">
      <c r="A47" s="23" t="str">
        <f ca="1">'Fruit Trees'!A43</f>
        <v>Apricot - Flavor Giant</v>
      </c>
      <c r="B47" s="23" t="str">
        <f ca="1">'Fruit Trees'!C43</f>
        <v>#7</v>
      </c>
      <c r="C47" s="24" t="str">
        <f ca="1">'Fruit Trees'!D43</f>
        <v>0.5-1"</v>
      </c>
      <c r="D47" s="23" t="str">
        <f ca="1">'Fruit Trees'!E43</f>
        <v>6-10'</v>
      </c>
      <c r="E47" s="25">
        <f ca="1">'Fruit Trees'!F43</f>
        <v>32</v>
      </c>
      <c r="F47" s="23">
        <f ca="1">'Fruit Trees'!G43</f>
        <v>0</v>
      </c>
      <c r="G47" s="26">
        <f ca="1">'Fruit Trees'!H43</f>
        <v>60</v>
      </c>
    </row>
    <row r="48" spans="1:7" ht="12.75">
      <c r="A48" s="23" t="str">
        <f ca="1">'Fruit Trees'!A44</f>
        <v>Apricot - Golden Amber</v>
      </c>
      <c r="B48" s="23" t="str">
        <f ca="1">'Fruit Trees'!C44</f>
        <v>#5</v>
      </c>
      <c r="C48" s="24" t="str">
        <f ca="1">'Fruit Trees'!D44</f>
        <v>1-1"</v>
      </c>
      <c r="D48" s="23" t="str">
        <f ca="1">'Fruit Trees'!E44</f>
        <v>7-9'</v>
      </c>
      <c r="E48" s="25">
        <f ca="1">'Fruit Trees'!F44</f>
        <v>6</v>
      </c>
      <c r="F48" s="23">
        <f ca="1">'Fruit Trees'!G44</f>
        <v>0</v>
      </c>
      <c r="G48" s="26">
        <f ca="1">'Fruit Trees'!H44</f>
        <v>40</v>
      </c>
    </row>
    <row r="49" spans="1:7" ht="12.75">
      <c r="A49" s="23" t="str">
        <f ca="1">'Fruit Trees'!A45</f>
        <v>Apricot - Harlayne</v>
      </c>
      <c r="B49" s="23" t="str">
        <f ca="1">'Fruit Trees'!C45</f>
        <v>#5</v>
      </c>
      <c r="C49" s="24" t="str">
        <f ca="1">'Fruit Trees'!D45</f>
        <v>0.75-0.75"</v>
      </c>
      <c r="D49" s="23" t="str">
        <f ca="1">'Fruit Trees'!E45</f>
        <v>5-7'</v>
      </c>
      <c r="E49" s="25">
        <f ca="1">'Fruit Trees'!F45</f>
        <v>6</v>
      </c>
      <c r="F49" s="23">
        <f ca="1">'Fruit Trees'!G45</f>
        <v>50</v>
      </c>
      <c r="G49" s="26">
        <f ca="1">'Fruit Trees'!H45</f>
        <v>40</v>
      </c>
    </row>
    <row r="50" spans="1:7" ht="12.75">
      <c r="A50" s="23" t="str">
        <f ca="1">'Fruit Trees'!A46</f>
        <v>Apricot - Moorpark</v>
      </c>
      <c r="B50" s="23" t="str">
        <f ca="1">'Fruit Trees'!C46</f>
        <v>#5</v>
      </c>
      <c r="C50" s="24" t="str">
        <f ca="1">'Fruit Trees'!D46</f>
        <v>0.5-0.75"</v>
      </c>
      <c r="D50" s="23" t="str">
        <f ca="1">'Fruit Trees'!E46</f>
        <v>6-7'</v>
      </c>
      <c r="E50" s="25">
        <f ca="1">'Fruit Trees'!F46</f>
        <v>2</v>
      </c>
      <c r="F50" s="23">
        <f ca="1">'Fruit Trees'!G46</f>
        <v>0</v>
      </c>
      <c r="G50" s="26">
        <f ca="1">'Fruit Trees'!H46</f>
        <v>40</v>
      </c>
    </row>
    <row r="51" spans="1:7" ht="12.75">
      <c r="A51" s="23" t="str">
        <f ca="1">'Fruit Trees'!A47</f>
        <v>Apricot - Moorpark</v>
      </c>
      <c r="B51" s="23" t="str">
        <f ca="1">'Fruit Trees'!C47</f>
        <v>#7</v>
      </c>
      <c r="C51" s="24" t="str">
        <f ca="1">'Fruit Trees'!D47</f>
        <v>0.75-1"</v>
      </c>
      <c r="D51" s="23" t="str">
        <f ca="1">'Fruit Trees'!E47</f>
        <v>6-7'</v>
      </c>
      <c r="E51" s="25">
        <f ca="1">'Fruit Trees'!F47</f>
        <v>4</v>
      </c>
      <c r="F51" s="23">
        <f ca="1">'Fruit Trees'!G47</f>
        <v>0</v>
      </c>
      <c r="G51" s="26">
        <f ca="1">'Fruit Trees'!H47</f>
        <v>60</v>
      </c>
    </row>
    <row r="52" spans="1:7" ht="12.75">
      <c r="A52" s="23" t="str">
        <f ca="1">'Fruit Trees'!A48</f>
        <v>Apricot - OrangeRed</v>
      </c>
      <c r="B52" s="23" t="str">
        <f ca="1">'Fruit Trees'!C48</f>
        <v>#5</v>
      </c>
      <c r="C52" s="24" t="str">
        <f ca="1">'Fruit Trees'!D48</f>
        <v>0.75-1"</v>
      </c>
      <c r="D52" s="23" t="str">
        <f ca="1">'Fruit Trees'!E48</f>
        <v>5-10'</v>
      </c>
      <c r="E52" s="25">
        <f ca="1">'Fruit Trees'!F48</f>
        <v>11</v>
      </c>
      <c r="F52" s="23">
        <f ca="1">'Fruit Trees'!G48</f>
        <v>50</v>
      </c>
      <c r="G52" s="26">
        <f ca="1">'Fruit Trees'!H48</f>
        <v>40</v>
      </c>
    </row>
    <row r="53" spans="1:7" ht="12.75">
      <c r="A53" s="23" t="str">
        <f ca="1">'Fruit Trees'!A49</f>
        <v>Apricot - OrangeRed</v>
      </c>
      <c r="B53" s="23" t="str">
        <f ca="1">'Fruit Trees'!C49</f>
        <v>#7</v>
      </c>
      <c r="C53" s="24" t="str">
        <f ca="1">'Fruit Trees'!D49</f>
        <v>0.75-1"</v>
      </c>
      <c r="D53" s="23" t="str">
        <f ca="1">'Fruit Trees'!E49</f>
        <v>5-10'</v>
      </c>
      <c r="E53" s="25">
        <f ca="1">'Fruit Trees'!F49</f>
        <v>3</v>
      </c>
      <c r="F53" s="23">
        <f ca="1">'Fruit Trees'!G49</f>
        <v>0</v>
      </c>
      <c r="G53" s="26">
        <f ca="1">'Fruit Trees'!H49</f>
        <v>60</v>
      </c>
    </row>
    <row r="54" spans="1:7" ht="12.75">
      <c r="A54" s="23" t="str">
        <f ca="1">'Fruit Trees'!A50</f>
        <v>Apricot - Royal</v>
      </c>
      <c r="B54" s="23" t="str">
        <f ca="1">'Fruit Trees'!C50</f>
        <v>#5</v>
      </c>
      <c r="C54" s="24" t="str">
        <f ca="1">'Fruit Trees'!D50</f>
        <v>0.5-0.75"</v>
      </c>
      <c r="D54" s="23" t="str">
        <f ca="1">'Fruit Trees'!E50</f>
        <v>2-6'</v>
      </c>
      <c r="E54" s="25">
        <f ca="1">'Fruit Trees'!F50</f>
        <v>3</v>
      </c>
      <c r="F54" s="23">
        <f ca="1">'Fruit Trees'!G50</f>
        <v>0</v>
      </c>
      <c r="G54" s="26">
        <f ca="1">'Fruit Trees'!H50</f>
        <v>40</v>
      </c>
    </row>
    <row r="55" spans="1:7" ht="12.75">
      <c r="A55" s="23" t="str">
        <f ca="1">'Fruit Trees'!A51</f>
        <v>Asian Pear - Hosui</v>
      </c>
      <c r="B55" s="23" t="str">
        <f ca="1">'Fruit Trees'!C51</f>
        <v>#5</v>
      </c>
      <c r="C55" s="24" t="str">
        <f ca="1">'Fruit Trees'!D51</f>
        <v>0.5-0.75"</v>
      </c>
      <c r="D55" s="23" t="str">
        <f ca="1">'Fruit Trees'!E51</f>
        <v>3-5'</v>
      </c>
      <c r="E55" s="25">
        <f ca="1">'Fruit Trees'!F51</f>
        <v>0</v>
      </c>
      <c r="F55" s="23">
        <f ca="1">'Fruit Trees'!G51</f>
        <v>100</v>
      </c>
      <c r="G55" s="26">
        <f ca="1">'Fruit Trees'!H51</f>
        <v>40</v>
      </c>
    </row>
    <row r="56" spans="1:7" ht="12.75">
      <c r="A56" s="23" t="str">
        <f ca="1">'Fruit Trees'!A52</f>
        <v>Asian Pear - Kosui</v>
      </c>
      <c r="B56" s="23" t="str">
        <f ca="1">'Fruit Trees'!C52</f>
        <v>#5</v>
      </c>
      <c r="C56" s="24" t="str">
        <f ca="1">'Fruit Trees'!D52</f>
        <v>0.5-0.75"</v>
      </c>
      <c r="D56" s="23" t="str">
        <f ca="1">'Fruit Trees'!E52</f>
        <v>3-5'</v>
      </c>
      <c r="E56" s="25">
        <f ca="1">'Fruit Trees'!F52</f>
        <v>0</v>
      </c>
      <c r="F56" s="23">
        <f ca="1">'Fruit Trees'!G52</f>
        <v>100</v>
      </c>
      <c r="G56" s="26">
        <f ca="1">'Fruit Trees'!H52</f>
        <v>40</v>
      </c>
    </row>
    <row r="57" spans="1:7" ht="12.75">
      <c r="A57" s="23" t="str">
        <f ca="1">'Fruit Trees'!A53</f>
        <v>Asian Pear - Kosui</v>
      </c>
      <c r="B57" s="23" t="str">
        <f ca="1">'Fruit Trees'!C53</f>
        <v>#7</v>
      </c>
      <c r="C57" s="24" t="str">
        <f ca="1">'Fruit Trees'!D53</f>
        <v>0.75-1"</v>
      </c>
      <c r="D57" s="23" t="str">
        <f ca="1">'Fruit Trees'!E53</f>
        <v>7-8'</v>
      </c>
      <c r="E57" s="25">
        <f ca="1">'Fruit Trees'!F53</f>
        <v>12</v>
      </c>
      <c r="F57" s="23">
        <f ca="1">'Fruit Trees'!G53</f>
        <v>0</v>
      </c>
      <c r="G57" s="26">
        <f ca="1">'Fruit Trees'!H53</f>
        <v>60</v>
      </c>
    </row>
    <row r="58" spans="1:7" ht="12.75">
      <c r="A58" s="23" t="str">
        <f ca="1">'Fruit Trees'!A54</f>
        <v>Asian Pear - Olympic</v>
      </c>
      <c r="B58" s="23" t="str">
        <f ca="1">'Fruit Trees'!C54</f>
        <v>#5</v>
      </c>
      <c r="C58" s="24" t="str">
        <f ca="1">'Fruit Trees'!D54</f>
        <v>0.75-1"</v>
      </c>
      <c r="D58" s="23" t="str">
        <f ca="1">'Fruit Trees'!E54</f>
        <v>5-6'</v>
      </c>
      <c r="E58" s="25">
        <f ca="1">'Fruit Trees'!F54</f>
        <v>7</v>
      </c>
      <c r="F58" s="23">
        <f ca="1">'Fruit Trees'!G54</f>
        <v>100</v>
      </c>
      <c r="G58" s="26">
        <f ca="1">'Fruit Trees'!H54</f>
        <v>40</v>
      </c>
    </row>
    <row r="59" spans="1:7" ht="12.75">
      <c r="A59" s="23" t="str">
        <f ca="1">'Fruit Trees'!A55</f>
        <v>Asian Pear - Shinko</v>
      </c>
      <c r="B59" s="23" t="str">
        <f ca="1">'Fruit Trees'!C55</f>
        <v>#5</v>
      </c>
      <c r="C59" s="24" t="str">
        <f ca="1">'Fruit Trees'!D55</f>
        <v>0-0.5"</v>
      </c>
      <c r="D59" s="23" t="str">
        <f ca="1">'Fruit Trees'!E55</f>
        <v>0-5'</v>
      </c>
      <c r="E59" s="25">
        <f ca="1">'Fruit Trees'!F55</f>
        <v>-3</v>
      </c>
      <c r="F59" s="23">
        <f ca="1">'Fruit Trees'!G55</f>
        <v>100</v>
      </c>
      <c r="G59" s="26">
        <f ca="1">'Fruit Trees'!H55</f>
        <v>40</v>
      </c>
    </row>
    <row r="60" spans="1:7" ht="12.75">
      <c r="A60" s="23" t="str">
        <f ca="1">'Fruit Trees'!A56</f>
        <v>Asian Pear - Shinko</v>
      </c>
      <c r="B60" s="23" t="str">
        <f ca="1">'Fruit Trees'!C56</f>
        <v>#7</v>
      </c>
      <c r="C60" s="24" t="str">
        <f ca="1">'Fruit Trees'!D56</f>
        <v>0.5-1"</v>
      </c>
      <c r="D60" s="23" t="str">
        <f ca="1">'Fruit Trees'!E56</f>
        <v>5-7'</v>
      </c>
      <c r="E60" s="25">
        <f ca="1">'Fruit Trees'!F56</f>
        <v>8</v>
      </c>
      <c r="F60" s="23">
        <f ca="1">'Fruit Trees'!G56</f>
        <v>0</v>
      </c>
      <c r="G60" s="26">
        <f ca="1">'Fruit Trees'!H56</f>
        <v>60</v>
      </c>
    </row>
    <row r="61" spans="1:7" ht="12.75">
      <c r="A61" s="23" t="str">
        <f ca="1">'Fruit Trees'!A57</f>
        <v>Asian Pear - Shinseiki</v>
      </c>
      <c r="B61" s="23" t="str">
        <f ca="1">'Fruit Trees'!C57</f>
        <v>#5</v>
      </c>
      <c r="C61" s="24" t="str">
        <f ca="1">'Fruit Trees'!D57</f>
        <v>0.5-1"</v>
      </c>
      <c r="D61" s="23" t="str">
        <f ca="1">'Fruit Trees'!E57</f>
        <v>3-6'</v>
      </c>
      <c r="E61" s="25">
        <f ca="1">'Fruit Trees'!F57</f>
        <v>1</v>
      </c>
      <c r="F61" s="23">
        <f ca="1">'Fruit Trees'!G57</f>
        <v>110</v>
      </c>
      <c r="G61" s="26">
        <f ca="1">'Fruit Trees'!H57</f>
        <v>40</v>
      </c>
    </row>
    <row r="62" spans="1:7" ht="12.75">
      <c r="A62" s="23" t="str">
        <f ca="1">'Fruit Trees'!A58</f>
        <v>Blackberry - Arapaho</v>
      </c>
      <c r="B62" s="23" t="str">
        <f ca="1">'Fruit Trees'!C58</f>
        <v>#5</v>
      </c>
      <c r="C62" s="24" t="str">
        <f ca="1">'Fruit Trees'!D58</f>
        <v>Multi</v>
      </c>
      <c r="D62" s="23" t="str">
        <f ca="1">'Fruit Trees'!E58</f>
        <v>1-2'</v>
      </c>
      <c r="E62" s="25">
        <f ca="1">'Fruit Trees'!F58</f>
        <v>0</v>
      </c>
      <c r="F62" s="23">
        <f ca="1">'Fruit Trees'!G58</f>
        <v>72</v>
      </c>
      <c r="G62" s="26">
        <f ca="1">'Fruit Trees'!H58</f>
        <v>30</v>
      </c>
    </row>
    <row r="63" spans="1:7" ht="12.75">
      <c r="A63" s="23" t="str">
        <f ca="1">'Fruit Trees'!A59</f>
        <v>Blackberry - Navajo</v>
      </c>
      <c r="B63" s="23" t="str">
        <f ca="1">'Fruit Trees'!C59</f>
        <v>#5</v>
      </c>
      <c r="C63" s="27" t="str">
        <f ca="1">'Fruit Trees'!D59</f>
        <v>Multi</v>
      </c>
      <c r="D63" s="23" t="str">
        <f ca="1">'Fruit Trees'!E59</f>
        <v>2-3'</v>
      </c>
      <c r="E63" s="25">
        <f ca="1">'Fruit Trees'!F59</f>
        <v>69</v>
      </c>
      <c r="F63" s="23">
        <f ca="1">'Fruit Trees'!G59</f>
        <v>72</v>
      </c>
      <c r="G63" s="26">
        <f ca="1">'Fruit Trees'!H59</f>
        <v>30</v>
      </c>
    </row>
    <row r="64" spans="1:7" ht="12.75">
      <c r="A64" s="23" t="str">
        <f ca="1">'Fruit Trees'!A60</f>
        <v>Blackberry - Ouchita</v>
      </c>
      <c r="B64" s="23" t="str">
        <f ca="1">'Fruit Trees'!C60</f>
        <v>#5</v>
      </c>
      <c r="C64" s="24" t="str">
        <f ca="1">'Fruit Trees'!D60</f>
        <v>Multi</v>
      </c>
      <c r="D64" s="23" t="str">
        <f ca="1">'Fruit Trees'!E60</f>
        <v>1-3'</v>
      </c>
      <c r="E64" s="25">
        <f ca="1">'Fruit Trees'!F60</f>
        <v>62</v>
      </c>
      <c r="F64" s="23">
        <f ca="1">'Fruit Trees'!G60</f>
        <v>72</v>
      </c>
      <c r="G64" s="26">
        <f ca="1">'Fruit Trees'!H60</f>
        <v>30</v>
      </c>
    </row>
    <row r="65" spans="1:7" ht="12.75">
      <c r="A65" s="23" t="str">
        <f ca="1">'Fruit Trees'!A61</f>
        <v>Blackberry - Prime-ark 'Freedom'</v>
      </c>
      <c r="B65" s="23" t="str">
        <f ca="1">'Fruit Trees'!C61</f>
        <v>#5</v>
      </c>
      <c r="C65" s="24" t="str">
        <f ca="1">'Fruit Trees'!D61</f>
        <v>Multi</v>
      </c>
      <c r="D65" s="23" t="str">
        <f ca="1">'Fruit Trees'!E61</f>
        <v>1-2'</v>
      </c>
      <c r="E65" s="25">
        <f ca="1">'Fruit Trees'!F61</f>
        <v>55</v>
      </c>
      <c r="F65" s="23">
        <f ca="1">'Fruit Trees'!G61</f>
        <v>72</v>
      </c>
      <c r="G65" s="26">
        <f ca="1">'Fruit Trees'!H61</f>
        <v>30</v>
      </c>
    </row>
    <row r="66" spans="1:7" ht="12.75">
      <c r="A66" s="23" t="str">
        <f ca="1">'Fruit Trees'!A62</f>
        <v>Blueberry - Blue Crop</v>
      </c>
      <c r="B66" s="23" t="str">
        <f ca="1">'Fruit Trees'!C62</f>
        <v>#5</v>
      </c>
      <c r="C66" s="24" t="str">
        <f ca="1">'Fruit Trees'!D62</f>
        <v>Multi</v>
      </c>
      <c r="D66" s="23" t="str">
        <f ca="1">'Fruit Trees'!E62</f>
        <v>0.5-3'</v>
      </c>
      <c r="E66" s="25">
        <f ca="1">'Fruit Trees'!F62</f>
        <v>6</v>
      </c>
      <c r="F66" s="23">
        <f ca="1">'Fruit Trees'!G62</f>
        <v>0</v>
      </c>
      <c r="G66" s="26">
        <f ca="1">'Fruit Trees'!H62</f>
        <v>25</v>
      </c>
    </row>
    <row r="67" spans="1:7" ht="12.75">
      <c r="A67" s="23" t="str">
        <f ca="1">'Fruit Trees'!A63</f>
        <v>Blueberry - Duke</v>
      </c>
      <c r="B67" s="23" t="str">
        <f ca="1">'Fruit Trees'!C63</f>
        <v>#5</v>
      </c>
      <c r="C67" s="27" t="str">
        <f ca="1">'Fruit Trees'!D63</f>
        <v>Multi</v>
      </c>
      <c r="D67" s="23" t="str">
        <f ca="1">'Fruit Trees'!E63</f>
        <v>0-3'</v>
      </c>
      <c r="E67" s="25">
        <f ca="1">'Fruit Trees'!F63</f>
        <v>-6</v>
      </c>
      <c r="F67" s="23">
        <f ca="1">'Fruit Trees'!G63</f>
        <v>72</v>
      </c>
      <c r="G67" s="26">
        <f ca="1">'Fruit Trees'!H63</f>
        <v>25</v>
      </c>
    </row>
    <row r="68" spans="1:7" ht="12.75">
      <c r="A68" s="23" t="str">
        <f ca="1">'Fruit Trees'!A64</f>
        <v>Cherry (Sour) - Montmorency</v>
      </c>
      <c r="B68" s="23" t="str">
        <f ca="1">'Fruit Trees'!C64</f>
        <v>#5</v>
      </c>
      <c r="C68" s="24" t="str">
        <f ca="1">'Fruit Trees'!D64</f>
        <v>0.5-0.75"</v>
      </c>
      <c r="D68" s="23" t="str">
        <f ca="1">'Fruit Trees'!E64</f>
        <v>4-6'</v>
      </c>
      <c r="E68" s="25">
        <f ca="1">'Fruit Trees'!F64</f>
        <v>5</v>
      </c>
      <c r="F68" s="23">
        <f ca="1">'Fruit Trees'!G64</f>
        <v>150</v>
      </c>
      <c r="G68" s="26">
        <f ca="1">'Fruit Trees'!H64</f>
        <v>40</v>
      </c>
    </row>
    <row r="69" spans="1:7" ht="12.75">
      <c r="A69" s="23" t="str">
        <f ca="1">'Fruit Trees'!A65</f>
        <v>Chestnut - Chinese</v>
      </c>
      <c r="B69" s="23" t="str">
        <f ca="1">'Fruit Trees'!C65</f>
        <v>#5</v>
      </c>
      <c r="C69" s="24" t="str">
        <f ca="1">'Fruit Trees'!D65</f>
        <v>0.125-0.75"</v>
      </c>
      <c r="D69" s="23" t="str">
        <f ca="1">'Fruit Trees'!E65</f>
        <v>3-4.5'</v>
      </c>
      <c r="E69" s="25">
        <f ca="1">'Fruit Trees'!F65</f>
        <v>115</v>
      </c>
      <c r="F69" s="23">
        <f ca="1">'Fruit Trees'!G65</f>
        <v>0</v>
      </c>
      <c r="G69" s="26">
        <f ca="1">'Fruit Trees'!H65</f>
        <v>35</v>
      </c>
    </row>
    <row r="70" spans="1:7" ht="12.75">
      <c r="A70" s="23" t="str">
        <f ca="1">'Fruit Trees'!A66</f>
        <v>Elderberry</v>
      </c>
      <c r="B70" s="23" t="str">
        <f ca="1">'Fruit Trees'!C66</f>
        <v>#5</v>
      </c>
      <c r="C70" s="24" t="str">
        <f ca="1">'Fruit Trees'!D66</f>
        <v>Multi</v>
      </c>
      <c r="D70" s="23" t="str">
        <f ca="1">'Fruit Trees'!E66</f>
        <v>2-3'</v>
      </c>
      <c r="E70" s="25">
        <f ca="1">'Fruit Trees'!F66</f>
        <v>3</v>
      </c>
      <c r="F70" s="23">
        <f ca="1">'Fruit Trees'!G66</f>
        <v>300</v>
      </c>
      <c r="G70" s="26">
        <f ca="1">'Fruit Trees'!H66</f>
        <v>30</v>
      </c>
    </row>
    <row r="71" spans="1:7" ht="12.75">
      <c r="A71" s="23" t="str">
        <f ca="1">'Fruit Trees'!A67</f>
        <v>Fig - Black Mission</v>
      </c>
      <c r="B71" s="23" t="str">
        <f ca="1">'Fruit Trees'!C67</f>
        <v>#5</v>
      </c>
      <c r="C71" s="27" t="str">
        <f ca="1">'Fruit Trees'!D67</f>
        <v>Multi</v>
      </c>
      <c r="D71" s="23" t="str">
        <f ca="1">'Fruit Trees'!E67</f>
        <v>1-2'</v>
      </c>
      <c r="E71" s="25">
        <f ca="1">'Fruit Trees'!F67</f>
        <v>43</v>
      </c>
      <c r="F71" s="23">
        <f ca="1">'Fruit Trees'!G67</f>
        <v>0</v>
      </c>
      <c r="G71" s="26">
        <f ca="1">'Fruit Trees'!H67</f>
        <v>30</v>
      </c>
    </row>
    <row r="72" spans="1:7" ht="12.75">
      <c r="A72" s="23" t="str">
        <f ca="1">'Fruit Trees'!A68</f>
        <v>Fig - Brown Turkey</v>
      </c>
      <c r="B72" s="23" t="str">
        <f ca="1">'Fruit Trees'!C68</f>
        <v>#5</v>
      </c>
      <c r="C72" s="27" t="str">
        <f ca="1">'Fruit Trees'!D68</f>
        <v>Multi</v>
      </c>
      <c r="D72" s="23" t="str">
        <f ca="1">'Fruit Trees'!E68</f>
        <v>0.5-1'</v>
      </c>
      <c r="E72" s="25">
        <f ca="1">'Fruit Trees'!F68</f>
        <v>5</v>
      </c>
      <c r="F72" s="23">
        <f ca="1">'Fruit Trees'!G68</f>
        <v>72</v>
      </c>
      <c r="G72" s="26">
        <f ca="1">'Fruit Trees'!H68</f>
        <v>30</v>
      </c>
    </row>
    <row r="73" spans="1:7" ht="12.75">
      <c r="A73" s="23" t="str">
        <f ca="1">'Fruit Trees'!A69</f>
        <v>Fig - Celeste</v>
      </c>
      <c r="B73" s="23" t="str">
        <f ca="1">'Fruit Trees'!C69</f>
        <v>#5</v>
      </c>
      <c r="C73" s="27" t="str">
        <f ca="1">'Fruit Trees'!D69</f>
        <v>Multi</v>
      </c>
      <c r="D73" s="23" t="str">
        <f ca="1">'Fruit Trees'!E69</f>
        <v>1-2'</v>
      </c>
      <c r="E73" s="25">
        <f ca="1">'Fruit Trees'!F69</f>
        <v>10</v>
      </c>
      <c r="F73" s="23">
        <f ca="1">'Fruit Trees'!G69</f>
        <v>72</v>
      </c>
      <c r="G73" s="26">
        <f ca="1">'Fruit Trees'!H69</f>
        <v>30</v>
      </c>
    </row>
    <row r="74" spans="1:7" ht="12.75">
      <c r="A74" s="23" t="str">
        <f ca="1">'Fruit Trees'!A70</f>
        <v>Fig - Chicago Hardy</v>
      </c>
      <c r="B74" s="23" t="str">
        <f ca="1">'Fruit Trees'!C70</f>
        <v>#5</v>
      </c>
      <c r="C74" s="27" t="str">
        <f ca="1">'Fruit Trees'!D70</f>
        <v>Multi</v>
      </c>
      <c r="D74" s="23" t="str">
        <f ca="1">'Fruit Trees'!E70</f>
        <v>0.5-1'</v>
      </c>
      <c r="E74" s="25">
        <f ca="1">'Fruit Trees'!F70</f>
        <v>5</v>
      </c>
      <c r="F74" s="23">
        <f ca="1">'Fruit Trees'!G70</f>
        <v>144</v>
      </c>
      <c r="G74" s="26">
        <f ca="1">'Fruit Trees'!H70</f>
        <v>30</v>
      </c>
    </row>
    <row r="75" spans="1:7" ht="12.75">
      <c r="A75" s="23" t="str">
        <f ca="1">'Fruit Trees'!A71</f>
        <v>Fig - Italian Honey</v>
      </c>
      <c r="B75" s="23" t="str">
        <f ca="1">'Fruit Trees'!C71</f>
        <v>#5</v>
      </c>
      <c r="C75" s="27" t="str">
        <f ca="1">'Fruit Trees'!D71</f>
        <v>Multi</v>
      </c>
      <c r="D75" s="23" t="str">
        <f ca="1">'Fruit Trees'!E71</f>
        <v>1-2'</v>
      </c>
      <c r="E75" s="25">
        <f ca="1">'Fruit Trees'!F71</f>
        <v>6</v>
      </c>
      <c r="F75" s="23">
        <f ca="1">'Fruit Trees'!G71</f>
        <v>0</v>
      </c>
      <c r="G75" s="26">
        <f ca="1">'Fruit Trees'!H71</f>
        <v>30</v>
      </c>
    </row>
    <row r="76" spans="1:7" ht="12.75">
      <c r="A76" s="23" t="str">
        <f ca="1">'Fruit Trees'!A72</f>
        <v>Fig - LSU Purple</v>
      </c>
      <c r="B76" s="23" t="str">
        <f ca="1">'Fruit Trees'!C72</f>
        <v>#5</v>
      </c>
      <c r="C76" s="24" t="str">
        <f ca="1">'Fruit Trees'!D72</f>
        <v>Multi</v>
      </c>
      <c r="D76" s="23" t="str">
        <f ca="1">'Fruit Trees'!E72</f>
        <v>0.5-1'</v>
      </c>
      <c r="E76" s="25">
        <f ca="1">'Fruit Trees'!F72</f>
        <v>0</v>
      </c>
      <c r="F76" s="23">
        <f ca="1">'Fruit Trees'!G72</f>
        <v>72</v>
      </c>
      <c r="G76" s="26">
        <f ca="1">'Fruit Trees'!H72</f>
        <v>30</v>
      </c>
    </row>
    <row r="77" spans="1:7" ht="12.75">
      <c r="A77" s="23" t="str">
        <f ca="1">'Fruit Trees'!A73</f>
        <v>Fig - Olympian</v>
      </c>
      <c r="B77" s="23" t="str">
        <f ca="1">'Fruit Trees'!C73</f>
        <v>#5</v>
      </c>
      <c r="C77" s="27" t="str">
        <f ca="1">'Fruit Trees'!D73</f>
        <v>Multi</v>
      </c>
      <c r="D77" s="23" t="str">
        <f ca="1">'Fruit Trees'!E73</f>
        <v>1-2'</v>
      </c>
      <c r="E77" s="25">
        <f ca="1">'Fruit Trees'!F73</f>
        <v>2</v>
      </c>
      <c r="F77" s="23">
        <f ca="1">'Fruit Trees'!G73</f>
        <v>72</v>
      </c>
      <c r="G77" s="26">
        <f ca="1">'Fruit Trees'!H73</f>
        <v>30</v>
      </c>
    </row>
    <row r="78" spans="1:7" ht="12.75">
      <c r="A78" s="23" t="str">
        <f ca="1">'Fruit Trees'!A74</f>
        <v>Goji Berry</v>
      </c>
      <c r="B78" s="23" t="str">
        <f ca="1">'Fruit Trees'!C74</f>
        <v>#5</v>
      </c>
      <c r="C78" s="27" t="str">
        <f ca="1">'Fruit Trees'!D74</f>
        <v>Multi</v>
      </c>
      <c r="D78" s="23" t="str">
        <f ca="1">'Fruit Trees'!E74</f>
        <v>2-3'</v>
      </c>
      <c r="E78" s="25">
        <f ca="1">'Fruit Trees'!F74</f>
        <v>12</v>
      </c>
      <c r="F78" s="23">
        <f ca="1">'Fruit Trees'!G74</f>
        <v>0</v>
      </c>
      <c r="G78" s="26">
        <f ca="1">'Fruit Trees'!H74</f>
        <v>30</v>
      </c>
    </row>
    <row r="79" spans="1:7" ht="12.75">
      <c r="A79" s="23" t="str">
        <f ca="1">'Fruit Trees'!A75</f>
        <v>Grape - Reliance Red</v>
      </c>
      <c r="B79" s="23" t="str">
        <f ca="1">'Fruit Trees'!C75</f>
        <v>#5</v>
      </c>
      <c r="C79" s="27" t="str">
        <f ca="1">'Fruit Trees'!D75</f>
        <v>Multi</v>
      </c>
      <c r="D79" s="23" t="str">
        <f ca="1">'Fruit Trees'!E75</f>
        <v>3-5'</v>
      </c>
      <c r="E79" s="25">
        <f ca="1">'Fruit Trees'!F75</f>
        <v>23</v>
      </c>
      <c r="F79" s="23">
        <f ca="1">'Fruit Trees'!G75</f>
        <v>0</v>
      </c>
      <c r="G79" s="26">
        <f ca="1">'Fruit Trees'!H75</f>
        <v>30</v>
      </c>
    </row>
    <row r="80" spans="1:7" ht="12.75">
      <c r="A80" s="23" t="str">
        <f ca="1">'Fruit Trees'!A76</f>
        <v>Grape- Himrod</v>
      </c>
      <c r="B80" s="23" t="str">
        <f ca="1">'Fruit Trees'!C76</f>
        <v>#5</v>
      </c>
      <c r="C80" s="27" t="str">
        <f ca="1">'Fruit Trees'!D76</f>
        <v>Multi</v>
      </c>
      <c r="D80" s="23" t="str">
        <f ca="1">'Fruit Trees'!E76</f>
        <v>2-4'</v>
      </c>
      <c r="E80" s="25">
        <f ca="1">'Fruit Trees'!F76</f>
        <v>6</v>
      </c>
      <c r="F80" s="23">
        <f ca="1">'Fruit Trees'!G76</f>
        <v>0</v>
      </c>
      <c r="G80" s="26">
        <f ca="1">'Fruit Trees'!H76</f>
        <v>30</v>
      </c>
    </row>
    <row r="81" spans="1:7" ht="12.75">
      <c r="A81" s="23" t="str">
        <f ca="1">'Fruit Trees'!A77</f>
        <v>Hardy Kiwi - Prolific</v>
      </c>
      <c r="B81" s="23" t="str">
        <f ca="1">'Fruit Trees'!C77</f>
        <v>#5</v>
      </c>
      <c r="C81" s="24" t="str">
        <f ca="1">'Fruit Trees'!D77</f>
        <v>0.5-0.5"</v>
      </c>
      <c r="D81" s="23" t="str">
        <f ca="1">'Fruit Trees'!E77</f>
        <v>3-4'</v>
      </c>
      <c r="E81" s="25">
        <f ca="1">'Fruit Trees'!F77</f>
        <v>0</v>
      </c>
      <c r="F81" s="23">
        <f ca="1">'Fruit Trees'!G77</f>
        <v>72</v>
      </c>
      <c r="G81" s="26">
        <f ca="1">'Fruit Trees'!H77</f>
        <v>35</v>
      </c>
    </row>
    <row r="82" spans="1:7" ht="12.75">
      <c r="A82" s="23" t="str">
        <f ca="1">'Fruit Trees'!A78</f>
        <v>Hazelnut - Jefferson</v>
      </c>
      <c r="B82" s="23" t="str">
        <f ca="1">'Fruit Trees'!C78</f>
        <v>#10</v>
      </c>
      <c r="C82" s="24" t="str">
        <f ca="1">'Fruit Trees'!D78</f>
        <v>0.75-0.75"</v>
      </c>
      <c r="D82" s="23" t="str">
        <f ca="1">'Fruit Trees'!E78</f>
        <v>5-6'</v>
      </c>
      <c r="E82" s="25">
        <f ca="1">'Fruit Trees'!F78</f>
        <v>10</v>
      </c>
      <c r="F82" s="23">
        <f ca="1">'Fruit Trees'!G78</f>
        <v>0</v>
      </c>
      <c r="G82" s="26">
        <f ca="1">'Fruit Trees'!H78</f>
        <v>75</v>
      </c>
    </row>
    <row r="83" spans="1:7" ht="12.75">
      <c r="A83" s="23" t="str">
        <f ca="1">'Fruit Trees'!A79</f>
        <v>Jujube - Li</v>
      </c>
      <c r="B83" s="23" t="str">
        <f ca="1">'Fruit Trees'!C79</f>
        <v>#7</v>
      </c>
      <c r="C83" s="24" t="str">
        <f ca="1">'Fruit Trees'!D79</f>
        <v>0.38-0.38"</v>
      </c>
      <c r="D83" s="23" t="str">
        <f ca="1">'Fruit Trees'!E79</f>
        <v>1-2'</v>
      </c>
      <c r="E83" s="25">
        <f ca="1">'Fruit Trees'!F79</f>
        <v>0</v>
      </c>
      <c r="F83" s="23">
        <f ca="1">'Fruit Trees'!G79</f>
        <v>50</v>
      </c>
      <c r="G83" s="26">
        <f ca="1">'Fruit Trees'!H79</f>
        <v>75</v>
      </c>
    </row>
    <row r="84" spans="1:7" ht="12.75">
      <c r="A84" s="23" t="str">
        <f ca="1">'Fruit Trees'!A80</f>
        <v xml:space="preserve">Mulberry - Everbearing </v>
      </c>
      <c r="B84" s="23" t="str">
        <f ca="1">'Fruit Trees'!C80</f>
        <v>#5</v>
      </c>
      <c r="C84" s="24" t="str">
        <f ca="1">'Fruit Trees'!D80</f>
        <v>0.25-0.25"</v>
      </c>
      <c r="D84" s="23" t="str">
        <f ca="1">'Fruit Trees'!E80</f>
        <v>2-3'</v>
      </c>
      <c r="E84" s="25">
        <f ca="1">'Fruit Trees'!F80</f>
        <v>53</v>
      </c>
      <c r="F84" s="23">
        <f ca="1">'Fruit Trees'!G80</f>
        <v>72</v>
      </c>
      <c r="G84" s="26">
        <f ca="1">'Fruit Trees'!H80</f>
        <v>30</v>
      </c>
    </row>
    <row r="85" spans="1:7" ht="12.75">
      <c r="A85" s="23" t="str">
        <f ca="1">'Fruit Trees'!A81</f>
        <v>Mulberry - Red</v>
      </c>
      <c r="B85" s="23" t="str">
        <f ca="1">'Fruit Trees'!C81</f>
        <v>#5</v>
      </c>
      <c r="C85" s="24" t="str">
        <f ca="1">'Fruit Trees'!D81</f>
        <v>0.25-0.5"</v>
      </c>
      <c r="D85" s="23" t="str">
        <f ca="1">'Fruit Trees'!E81</f>
        <v>3-5'</v>
      </c>
      <c r="E85" s="25">
        <f ca="1">'Fruit Trees'!F81</f>
        <v>25</v>
      </c>
      <c r="F85" s="23">
        <f ca="1">'Fruit Trees'!G81</f>
        <v>50</v>
      </c>
      <c r="G85" s="26">
        <f ca="1">'Fruit Trees'!H81</f>
        <v>35</v>
      </c>
    </row>
    <row r="86" spans="1:7" ht="12.75">
      <c r="A86" s="23" t="str">
        <f ca="1">'Fruit Trees'!A82</f>
        <v>Mulberry - White</v>
      </c>
      <c r="B86" s="23" t="str">
        <f ca="1">'Fruit Trees'!C82</f>
        <v>#5</v>
      </c>
      <c r="C86" s="24" t="str">
        <f ca="1">'Fruit Trees'!D82</f>
        <v>0.25-0.75"</v>
      </c>
      <c r="D86" s="23" t="str">
        <f ca="1">'Fruit Trees'!E82</f>
        <v>3-4.5'</v>
      </c>
      <c r="E86" s="25">
        <f ca="1">'Fruit Trees'!F82</f>
        <v>33</v>
      </c>
      <c r="F86" s="23">
        <f ca="1">'Fruit Trees'!G82</f>
        <v>50</v>
      </c>
      <c r="G86" s="26">
        <f ca="1">'Fruit Trees'!H82</f>
        <v>35</v>
      </c>
    </row>
    <row r="87" spans="1:7" ht="12.75">
      <c r="A87" s="23" t="str">
        <f ca="1">'Fruit Trees'!A83</f>
        <v>Nectarine - Fantasia</v>
      </c>
      <c r="B87" s="23" t="str">
        <f ca="1">'Fruit Trees'!C83</f>
        <v>#5</v>
      </c>
      <c r="C87" s="24" t="str">
        <f ca="1">'Fruit Trees'!D83</f>
        <v>0.75-1"</v>
      </c>
      <c r="D87" s="23" t="str">
        <f ca="1">'Fruit Trees'!E83</f>
        <v>6-7'</v>
      </c>
      <c r="E87" s="25">
        <f ca="1">'Fruit Trees'!F83</f>
        <v>131</v>
      </c>
      <c r="F87" s="23">
        <f ca="1">'Fruit Trees'!G83</f>
        <v>50</v>
      </c>
      <c r="G87" s="26">
        <f ca="1">'Fruit Trees'!H83</f>
        <v>40</v>
      </c>
    </row>
    <row r="88" spans="1:7" ht="12.75">
      <c r="A88" s="23" t="str">
        <f ca="1">'Fruit Trees'!A84</f>
        <v>Nectarine - Fantasia</v>
      </c>
      <c r="B88" s="23" t="str">
        <f ca="1">'Fruit Trees'!C84</f>
        <v>#7</v>
      </c>
      <c r="C88" s="24" t="str">
        <f ca="1">'Fruit Trees'!D84</f>
        <v>1.25-1.25"</v>
      </c>
      <c r="D88" s="23" t="str">
        <f ca="1">'Fruit Trees'!E84</f>
        <v>6-7'</v>
      </c>
      <c r="E88" s="25">
        <f ca="1">'Fruit Trees'!F84</f>
        <v>12</v>
      </c>
      <c r="F88" s="23">
        <f ca="1">'Fruit Trees'!G84</f>
        <v>0</v>
      </c>
      <c r="G88" s="26">
        <f ca="1">'Fruit Trees'!H84</f>
        <v>65</v>
      </c>
    </row>
    <row r="89" spans="1:7" ht="12.75">
      <c r="A89" s="23" t="str">
        <f ca="1">'Fruit Trees'!A85</f>
        <v>Nectarine - Flavortop</v>
      </c>
      <c r="B89" s="23" t="str">
        <f ca="1">'Fruit Trees'!C85</f>
        <v>#5</v>
      </c>
      <c r="C89" s="24" t="str">
        <f ca="1">'Fruit Trees'!D85</f>
        <v>0.75-1"</v>
      </c>
      <c r="D89" s="23" t="str">
        <f ca="1">'Fruit Trees'!E85</f>
        <v>5-8'</v>
      </c>
      <c r="E89" s="25">
        <f ca="1">'Fruit Trees'!F85</f>
        <v>10</v>
      </c>
      <c r="F89" s="23">
        <f ca="1">'Fruit Trees'!G85</f>
        <v>50</v>
      </c>
      <c r="G89" s="26">
        <f ca="1">'Fruit Trees'!H85</f>
        <v>40</v>
      </c>
    </row>
    <row r="90" spans="1:7" ht="12.75">
      <c r="A90" s="23" t="str">
        <f ca="1">'Fruit Trees'!A86</f>
        <v>Nectarine - Redgold</v>
      </c>
      <c r="B90" s="23" t="str">
        <f ca="1">'Fruit Trees'!C86</f>
        <v>#5</v>
      </c>
      <c r="C90" s="24" t="str">
        <f ca="1">'Fruit Trees'!D86</f>
        <v>0.75-1"</v>
      </c>
      <c r="D90" s="23" t="str">
        <f ca="1">'Fruit Trees'!E86</f>
        <v>4-5'</v>
      </c>
      <c r="E90" s="25">
        <f ca="1">'Fruit Trees'!F86</f>
        <v>13</v>
      </c>
      <c r="F90" s="23">
        <f ca="1">'Fruit Trees'!G86</f>
        <v>0</v>
      </c>
      <c r="G90" s="26">
        <f ca="1">'Fruit Trees'!H86</f>
        <v>40</v>
      </c>
    </row>
    <row r="91" spans="1:7" ht="12.75">
      <c r="A91" s="23" t="str">
        <f ca="1">'Fruit Trees'!A87</f>
        <v>Nectarine - Sunglo</v>
      </c>
      <c r="B91" s="23" t="str">
        <f ca="1">'Fruit Trees'!C87</f>
        <v>#5</v>
      </c>
      <c r="C91" s="24" t="str">
        <f ca="1">'Fruit Trees'!D87</f>
        <v>0.75-1"</v>
      </c>
      <c r="D91" s="23" t="str">
        <f ca="1">'Fruit Trees'!E87</f>
        <v>7-8'</v>
      </c>
      <c r="E91" s="25">
        <f ca="1">'Fruit Trees'!F87</f>
        <v>13</v>
      </c>
      <c r="F91" s="23">
        <f ca="1">'Fruit Trees'!G87</f>
        <v>20</v>
      </c>
      <c r="G91" s="26">
        <f ca="1">'Fruit Trees'!H87</f>
        <v>40</v>
      </c>
    </row>
    <row r="92" spans="1:7" ht="12.75">
      <c r="A92" s="23" t="str">
        <f ca="1">'Fruit Trees'!A88</f>
        <v>Nectarine (white) - Arctic Glo</v>
      </c>
      <c r="B92" s="23" t="str">
        <f ca="1">'Fruit Trees'!C88</f>
        <v>#5</v>
      </c>
      <c r="C92" s="24" t="str">
        <f ca="1">'Fruit Trees'!D88</f>
        <v>0.75-1"</v>
      </c>
      <c r="D92" s="23" t="str">
        <f ca="1">'Fruit Trees'!E88</f>
        <v>6-7'</v>
      </c>
      <c r="E92" s="25">
        <f ca="1">'Fruit Trees'!F88</f>
        <v>11</v>
      </c>
      <c r="F92" s="23">
        <f ca="1">'Fruit Trees'!G88</f>
        <v>0</v>
      </c>
      <c r="G92" s="26">
        <f ca="1">'Fruit Trees'!H88</f>
        <v>40</v>
      </c>
    </row>
    <row r="93" spans="1:7" ht="12.75">
      <c r="A93" s="23" t="str">
        <f ca="1">'Fruit Trees'!A89</f>
        <v>Nectarine (White) - Arctic Sweet</v>
      </c>
      <c r="B93" s="23" t="str">
        <f ca="1">'Fruit Trees'!C89</f>
        <v>#5</v>
      </c>
      <c r="C93" s="24" t="str">
        <f ca="1">'Fruit Trees'!D89</f>
        <v>0.5-0.75"</v>
      </c>
      <c r="D93" s="23" t="str">
        <f ca="1">'Fruit Trees'!E89</f>
        <v>4-5'</v>
      </c>
      <c r="E93" s="25">
        <f ca="1">'Fruit Trees'!F89</f>
        <v>0</v>
      </c>
      <c r="F93" s="23">
        <f ca="1">'Fruit Trees'!G89</f>
        <v>50</v>
      </c>
      <c r="G93" s="26">
        <f ca="1">'Fruit Trees'!H89</f>
        <v>40</v>
      </c>
    </row>
    <row r="94" spans="1:7" ht="12.75">
      <c r="A94" s="23" t="str">
        <f ca="1">'Fruit Trees'!A90</f>
        <v>Nectarine (White) - Arctic Sweet</v>
      </c>
      <c r="B94" s="23" t="str">
        <f ca="1">'Fruit Trees'!C90</f>
        <v>#7</v>
      </c>
      <c r="C94" s="24" t="str">
        <f ca="1">'Fruit Trees'!D90</f>
        <v>1-1.25"</v>
      </c>
      <c r="D94" s="23" t="str">
        <f ca="1">'Fruit Trees'!E90</f>
        <v>8-8'</v>
      </c>
      <c r="E94" s="25">
        <f ca="1">'Fruit Trees'!F90</f>
        <v>20</v>
      </c>
      <c r="F94" s="23">
        <f ca="1">'Fruit Trees'!G90</f>
        <v>0</v>
      </c>
      <c r="G94" s="26">
        <f ca="1">'Fruit Trees'!H90</f>
        <v>60</v>
      </c>
    </row>
    <row r="95" spans="1:7" ht="12.75">
      <c r="A95" s="23" t="str">
        <f ca="1">'Fruit Trees'!A91</f>
        <v>Pawpaw</v>
      </c>
      <c r="B95" s="23" t="str">
        <f ca="1">'Fruit Trees'!C91</f>
        <v>#5</v>
      </c>
      <c r="C95" s="24" t="str">
        <f ca="1">'Fruit Trees'!D91</f>
        <v>0.375-0.5"</v>
      </c>
      <c r="D95" s="23" t="str">
        <f ca="1">'Fruit Trees'!E91</f>
        <v>0.5-1'</v>
      </c>
      <c r="E95" s="25">
        <f ca="1">'Fruit Trees'!F91</f>
        <v>1</v>
      </c>
      <c r="F95" s="23">
        <f ca="1">'Fruit Trees'!G91</f>
        <v>200</v>
      </c>
      <c r="G95" s="26">
        <f ca="1">'Fruit Trees'!H91</f>
        <v>35</v>
      </c>
    </row>
    <row r="96" spans="1:7" ht="12.75">
      <c r="A96" s="23" t="str">
        <f ca="1">'Fruit Trees'!A92</f>
        <v>Pawpaw - Allegheny</v>
      </c>
      <c r="B96" s="23" t="str">
        <f ca="1">'Fruit Trees'!C92</f>
        <v>#5</v>
      </c>
      <c r="C96" s="24" t="str">
        <f ca="1">'Fruit Trees'!D92</f>
        <v>0.375-0.375"</v>
      </c>
      <c r="D96" s="23" t="str">
        <f ca="1">'Fruit Trees'!E92</f>
        <v>1-2'</v>
      </c>
      <c r="E96" s="25">
        <f ca="1">'Fruit Trees'!F92</f>
        <v>4</v>
      </c>
      <c r="F96" s="23">
        <f ca="1">'Fruit Trees'!G92</f>
        <v>12</v>
      </c>
      <c r="G96" s="26">
        <f ca="1">'Fruit Trees'!H92</f>
        <v>75</v>
      </c>
    </row>
    <row r="97" spans="1:7" ht="12.75">
      <c r="A97" s="23" t="str">
        <f ca="1">'Fruit Trees'!A93</f>
        <v>Pawpaw - Mango</v>
      </c>
      <c r="B97" s="23" t="str">
        <f ca="1">'Fruit Trees'!C93</f>
        <v>#5</v>
      </c>
      <c r="C97" s="24" t="str">
        <f ca="1">'Fruit Trees'!D93</f>
        <v>0.375-0.375"</v>
      </c>
      <c r="D97" s="23" t="str">
        <f ca="1">'Fruit Trees'!E93</f>
        <v>2-2'</v>
      </c>
      <c r="E97" s="25">
        <f ca="1">'Fruit Trees'!F93</f>
        <v>1</v>
      </c>
      <c r="F97" s="23">
        <f ca="1">'Fruit Trees'!G93</f>
        <v>30</v>
      </c>
      <c r="G97" s="26">
        <f ca="1">'Fruit Trees'!H93</f>
        <v>75</v>
      </c>
    </row>
    <row r="98" spans="1:7" ht="12.75">
      <c r="A98" s="23" t="str">
        <f ca="1">'Fruit Trees'!A94</f>
        <v>Pawpaw - Pennsylvania Gold</v>
      </c>
      <c r="B98" s="23" t="str">
        <f ca="1">'Fruit Trees'!C94</f>
        <v>#5</v>
      </c>
      <c r="C98" s="24" t="str">
        <f ca="1">'Fruit Trees'!D94</f>
        <v>0.25-0.25"</v>
      </c>
      <c r="D98" s="23" t="str">
        <f ca="1">'Fruit Trees'!E94</f>
        <v>1-2'</v>
      </c>
      <c r="E98" s="25">
        <f ca="1">'Fruit Trees'!F94</f>
        <v>0</v>
      </c>
      <c r="F98" s="23">
        <f ca="1">'Fruit Trees'!G94</f>
        <v>30</v>
      </c>
      <c r="G98" s="26">
        <f ca="1">'Fruit Trees'!H94</f>
        <v>75</v>
      </c>
    </row>
    <row r="99" spans="1:7" ht="12.75">
      <c r="A99" s="23" t="str">
        <f ca="1">'Fruit Trees'!A95</f>
        <v>Pawpaw - Potomac</v>
      </c>
      <c r="B99" s="23" t="str">
        <f ca="1">'Fruit Trees'!C95</f>
        <v>#5</v>
      </c>
      <c r="C99" s="24" t="str">
        <f ca="1">'Fruit Trees'!D95</f>
        <v>0.375-0.5"</v>
      </c>
      <c r="D99" s="23" t="str">
        <f ca="1">'Fruit Trees'!E95</f>
        <v>1-3.5'</v>
      </c>
      <c r="E99" s="25">
        <f ca="1">'Fruit Trees'!F95</f>
        <v>9</v>
      </c>
      <c r="F99" s="23">
        <f ca="1">'Fruit Trees'!G95</f>
        <v>50</v>
      </c>
      <c r="G99" s="26">
        <f ca="1">'Fruit Trees'!H95</f>
        <v>75</v>
      </c>
    </row>
    <row r="100" spans="1:7" ht="12.75">
      <c r="A100" s="23" t="str">
        <f ca="1">'Fruit Trees'!A96</f>
        <v>Pawpaw - Rappahannock</v>
      </c>
      <c r="B100" s="23" t="str">
        <f ca="1">'Fruit Trees'!C96</f>
        <v>#5</v>
      </c>
      <c r="C100" s="24" t="str">
        <f ca="1">'Fruit Trees'!D96</f>
        <v>0.375-0.5"</v>
      </c>
      <c r="D100" s="23" t="str">
        <f ca="1">'Fruit Trees'!E96</f>
        <v>0.5-2'</v>
      </c>
      <c r="E100" s="25">
        <f ca="1">'Fruit Trees'!F96</f>
        <v>1</v>
      </c>
      <c r="F100" s="23">
        <f ca="1">'Fruit Trees'!G96</f>
        <v>31</v>
      </c>
      <c r="G100" s="26">
        <f ca="1">'Fruit Trees'!H96</f>
        <v>75</v>
      </c>
    </row>
    <row r="101" spans="1:7" ht="12.75">
      <c r="A101" s="23" t="str">
        <f ca="1">'Fruit Trees'!A97</f>
        <v>Pawpaw - Shenandoah</v>
      </c>
      <c r="B101" s="23" t="str">
        <f ca="1">'Fruit Trees'!C97</f>
        <v>#5</v>
      </c>
      <c r="C101" s="24" t="str">
        <f ca="1">'Fruit Trees'!D97</f>
        <v>0.375-0.5"</v>
      </c>
      <c r="D101" s="23" t="str">
        <f ca="1">'Fruit Trees'!E97</f>
        <v>1.5-2'</v>
      </c>
      <c r="E101" s="25">
        <f ca="1">'Fruit Trees'!F97</f>
        <v>3</v>
      </c>
      <c r="F101" s="23">
        <f ca="1">'Fruit Trees'!G97</f>
        <v>8</v>
      </c>
      <c r="G101" s="26">
        <f ca="1">'Fruit Trees'!H97</f>
        <v>75</v>
      </c>
    </row>
    <row r="102" spans="1:7" ht="12.75">
      <c r="A102" s="23" t="str">
        <f ca="1">'Fruit Trees'!A98</f>
        <v>Pawpaw - Shenandoah</v>
      </c>
      <c r="B102" s="23" t="str">
        <f ca="1">'Fruit Trees'!C98</f>
        <v>#7</v>
      </c>
      <c r="C102" s="24" t="str">
        <f ca="1">'Fruit Trees'!D98</f>
        <v>0.5-0.75"</v>
      </c>
      <c r="D102" s="23" t="str">
        <f ca="1">'Fruit Trees'!E98</f>
        <v>5-6'</v>
      </c>
      <c r="E102" s="25">
        <f ca="1">'Fruit Trees'!F98</f>
        <v>35</v>
      </c>
      <c r="F102" s="23">
        <f ca="1">'Fruit Trees'!G98</f>
        <v>0</v>
      </c>
      <c r="G102" s="26">
        <f ca="1">'Fruit Trees'!H98</f>
        <v>115</v>
      </c>
    </row>
    <row r="103" spans="1:7" ht="12.75">
      <c r="A103" s="23" t="str">
        <f ca="1">'Fruit Trees'!A99</f>
        <v>Pawpaw - Wabash</v>
      </c>
      <c r="B103" s="23" t="str">
        <f ca="1">'Fruit Trees'!C99</f>
        <v>#5</v>
      </c>
      <c r="C103" s="24" t="str">
        <f ca="1">'Fruit Trees'!D99</f>
        <v>0.375-0.5"</v>
      </c>
      <c r="D103" s="23" t="str">
        <f ca="1">'Fruit Trees'!E99</f>
        <v>1-3.5'</v>
      </c>
      <c r="E103" s="25">
        <f ca="1">'Fruit Trees'!F99</f>
        <v>12</v>
      </c>
      <c r="F103" s="23">
        <f ca="1">'Fruit Trees'!G99</f>
        <v>50</v>
      </c>
      <c r="G103" s="26">
        <f ca="1">'Fruit Trees'!H99</f>
        <v>75</v>
      </c>
    </row>
    <row r="104" spans="1:7" ht="12.75">
      <c r="A104" s="23" t="str">
        <f ca="1">'Fruit Trees'!A100</f>
        <v>Peach - Contender</v>
      </c>
      <c r="B104" s="23" t="str">
        <f ca="1">'Fruit Trees'!C100</f>
        <v>#5</v>
      </c>
      <c r="C104" s="24" t="str">
        <f ca="1">'Fruit Trees'!D100</f>
        <v>0.5-1"</v>
      </c>
      <c r="D104" s="23" t="str">
        <f ca="1">'Fruit Trees'!E100</f>
        <v>4-7'</v>
      </c>
      <c r="E104" s="25">
        <f ca="1">'Fruit Trees'!F100</f>
        <v>30</v>
      </c>
      <c r="F104" s="23">
        <f ca="1">'Fruit Trees'!G100</f>
        <v>0</v>
      </c>
      <c r="G104" s="26">
        <f ca="1">'Fruit Trees'!H100</f>
        <v>40</v>
      </c>
    </row>
    <row r="105" spans="1:7" ht="12.75">
      <c r="A105" s="23" t="str">
        <f ca="1">'Fruit Trees'!A101</f>
        <v>Peach - Elberta</v>
      </c>
      <c r="B105" s="23" t="str">
        <f ca="1">'Fruit Trees'!C101</f>
        <v>#5</v>
      </c>
      <c r="C105" s="24" t="str">
        <f ca="1">'Fruit Trees'!D101</f>
        <v>0.5-0.75"</v>
      </c>
      <c r="D105" s="23" t="str">
        <f ca="1">'Fruit Trees'!E101</f>
        <v>3-5'</v>
      </c>
      <c r="E105" s="25">
        <f ca="1">'Fruit Trees'!F101</f>
        <v>18</v>
      </c>
      <c r="F105" s="23">
        <f ca="1">'Fruit Trees'!G101</f>
        <v>0</v>
      </c>
      <c r="G105" s="26">
        <f ca="1">'Fruit Trees'!H101</f>
        <v>40</v>
      </c>
    </row>
    <row r="106" spans="1:7" ht="12.75">
      <c r="A106" s="23" t="str">
        <f ca="1">'Fruit Trees'!A102</f>
        <v>Peach - Harvester</v>
      </c>
      <c r="B106" s="23" t="str">
        <f ca="1">'Fruit Trees'!C102</f>
        <v>#5</v>
      </c>
      <c r="C106" s="24" t="str">
        <f ca="1">'Fruit Trees'!D102</f>
        <v>0.75-1"</v>
      </c>
      <c r="D106" s="23" t="str">
        <f ca="1">'Fruit Trees'!E102</f>
        <v>6-7'</v>
      </c>
      <c r="E106" s="25">
        <f ca="1">'Fruit Trees'!F102</f>
        <v>41</v>
      </c>
      <c r="F106" s="23">
        <f ca="1">'Fruit Trees'!G102</f>
        <v>0</v>
      </c>
      <c r="G106" s="26">
        <f ca="1">'Fruit Trees'!H102</f>
        <v>40</v>
      </c>
    </row>
    <row r="107" spans="1:7" ht="12.75">
      <c r="A107" s="23" t="str">
        <f ca="1">'Fruit Trees'!A103</f>
        <v>Peach (Donut White) - Galaxy</v>
      </c>
      <c r="B107" s="23" t="str">
        <f ca="1">'Fruit Trees'!C103</f>
        <v>#5</v>
      </c>
      <c r="C107" s="24" t="str">
        <f ca="1">'Fruit Trees'!D103</f>
        <v>0.5-0.75"</v>
      </c>
      <c r="D107" s="23" t="str">
        <f ca="1">'Fruit Trees'!E103</f>
        <v>4-5'</v>
      </c>
      <c r="E107" s="25">
        <f ca="1">'Fruit Trees'!F103</f>
        <v>13</v>
      </c>
      <c r="F107" s="23">
        <f ca="1">'Fruit Trees'!G103</f>
        <v>50</v>
      </c>
      <c r="G107" s="26">
        <f ca="1">'Fruit Trees'!H103</f>
        <v>45</v>
      </c>
    </row>
    <row r="108" spans="1:7" ht="12.75">
      <c r="A108" s="23" t="str">
        <f ca="1">'Fruit Trees'!A104</f>
        <v>Peach (Donut White) - Saturn</v>
      </c>
      <c r="B108" s="23" t="str">
        <f ca="1">'Fruit Trees'!C104</f>
        <v>#5</v>
      </c>
      <c r="C108" s="24" t="str">
        <f ca="1">'Fruit Trees'!D104</f>
        <v>0.75-1"</v>
      </c>
      <c r="D108" s="23" t="str">
        <f ca="1">'Fruit Trees'!E104</f>
        <v>6-7'</v>
      </c>
      <c r="E108" s="25">
        <f ca="1">'Fruit Trees'!F104</f>
        <v>45</v>
      </c>
      <c r="F108" s="23">
        <f ca="1">'Fruit Trees'!G104</f>
        <v>80</v>
      </c>
      <c r="G108" s="26">
        <f ca="1">'Fruit Trees'!H104</f>
        <v>45</v>
      </c>
    </row>
    <row r="109" spans="1:7" ht="12.75">
      <c r="A109" s="23" t="str">
        <f ca="1">'Fruit Trees'!A105</f>
        <v>Peach (White) - Snow Giant</v>
      </c>
      <c r="B109" s="23" t="str">
        <f ca="1">'Fruit Trees'!C105</f>
        <v>#5</v>
      </c>
      <c r="C109" s="24" t="str">
        <f ca="1">'Fruit Trees'!D105</f>
        <v>0.75-1"</v>
      </c>
      <c r="D109" s="23" t="str">
        <f ca="1">'Fruit Trees'!E105</f>
        <v>5-6'</v>
      </c>
      <c r="E109" s="25">
        <f ca="1">'Fruit Trees'!F105</f>
        <v>31</v>
      </c>
      <c r="F109" s="23">
        <f ca="1">'Fruit Trees'!G105</f>
        <v>0</v>
      </c>
      <c r="G109" s="26">
        <f ca="1">'Fruit Trees'!H105</f>
        <v>40</v>
      </c>
    </row>
    <row r="110" spans="1:7" ht="12.75">
      <c r="A110" s="23" t="str">
        <f ca="1">'Fruit Trees'!A106</f>
        <v>Peach (White) - Sugar Giant</v>
      </c>
      <c r="B110" s="23" t="str">
        <f ca="1">'Fruit Trees'!C106</f>
        <v>#5</v>
      </c>
      <c r="C110" s="24" t="str">
        <f ca="1">'Fruit Trees'!D106</f>
        <v>0.75-1"</v>
      </c>
      <c r="D110" s="23" t="str">
        <f ca="1">'Fruit Trees'!E106</f>
        <v>5-5'</v>
      </c>
      <c r="E110" s="25">
        <f ca="1">'Fruit Trees'!F106</f>
        <v>39</v>
      </c>
      <c r="F110" s="23">
        <f ca="1">'Fruit Trees'!G106</f>
        <v>100</v>
      </c>
      <c r="G110" s="26">
        <f ca="1">'Fruit Trees'!H106</f>
        <v>40</v>
      </c>
    </row>
    <row r="111" spans="1:7" ht="12.75">
      <c r="A111" s="23" t="str">
        <f ca="1">'Fruit Trees'!A107</f>
        <v>Peach (White) - White Lady</v>
      </c>
      <c r="B111" s="23" t="str">
        <f ca="1">'Fruit Trees'!C107</f>
        <v>#5</v>
      </c>
      <c r="C111" s="24" t="str">
        <f ca="1">'Fruit Trees'!D107</f>
        <v>1-1"</v>
      </c>
      <c r="D111" s="23" t="str">
        <f ca="1">'Fruit Trees'!E107</f>
        <v>6-7'</v>
      </c>
      <c r="E111" s="25">
        <f ca="1">'Fruit Trees'!F107</f>
        <v>78</v>
      </c>
      <c r="F111" s="23">
        <f ca="1">'Fruit Trees'!G107</f>
        <v>100</v>
      </c>
      <c r="G111" s="26">
        <f ca="1">'Fruit Trees'!H107</f>
        <v>40</v>
      </c>
    </row>
    <row r="112" spans="1:7" ht="12.75">
      <c r="A112" s="23" t="str">
        <f ca="1">'Fruit Trees'!A108</f>
        <v>Pear - Ayers</v>
      </c>
      <c r="B112" s="23" t="str">
        <f ca="1">'Fruit Trees'!C108</f>
        <v>#5</v>
      </c>
      <c r="C112" s="24" t="str">
        <f ca="1">'Fruit Trees'!D108</f>
        <v>0.75-1"</v>
      </c>
      <c r="D112" s="23" t="str">
        <f ca="1">'Fruit Trees'!E108</f>
        <v>7-8'</v>
      </c>
      <c r="E112" s="25">
        <f ca="1">'Fruit Trees'!F108</f>
        <v>29</v>
      </c>
      <c r="F112" s="23">
        <f ca="1">'Fruit Trees'!G108</f>
        <v>50</v>
      </c>
      <c r="G112" s="26">
        <f ca="1">'Fruit Trees'!H108</f>
        <v>40</v>
      </c>
    </row>
    <row r="113" spans="1:7" ht="12.75">
      <c r="A113" s="23" t="str">
        <f ca="1">'Fruit Trees'!A109</f>
        <v>Pear - Bartlett</v>
      </c>
      <c r="B113" s="23" t="str">
        <f ca="1">'Fruit Trees'!C109</f>
        <v>#5</v>
      </c>
      <c r="C113" s="24" t="str">
        <f ca="1">'Fruit Trees'!D109</f>
        <v>0.5-0.75"</v>
      </c>
      <c r="D113" s="23" t="str">
        <f ca="1">'Fruit Trees'!E109</f>
        <v>5-8'</v>
      </c>
      <c r="E113" s="25">
        <f ca="1">'Fruit Trees'!F109</f>
        <v>65</v>
      </c>
      <c r="F113" s="23">
        <f ca="1">'Fruit Trees'!G109</f>
        <v>150</v>
      </c>
      <c r="G113" s="26">
        <f ca="1">'Fruit Trees'!H109</f>
        <v>40</v>
      </c>
    </row>
    <row r="114" spans="1:7" ht="12.75">
      <c r="A114" s="23" t="str">
        <f ca="1">'Fruit Trees'!A110</f>
        <v>Pear - Golden Russet Bosc</v>
      </c>
      <c r="B114" s="23" t="str">
        <f ca="1">'Fruit Trees'!C110</f>
        <v>#5</v>
      </c>
      <c r="C114" s="24" t="str">
        <f ca="1">'Fruit Trees'!D110</f>
        <v>0.75-1"</v>
      </c>
      <c r="D114" s="23" t="str">
        <f ca="1">'Fruit Trees'!E110</f>
        <v>7-8'</v>
      </c>
      <c r="E114" s="25">
        <f ca="1">'Fruit Trees'!F110</f>
        <v>25</v>
      </c>
      <c r="F114" s="23">
        <f ca="1">'Fruit Trees'!G110</f>
        <v>100</v>
      </c>
      <c r="G114" s="26">
        <f ca="1">'Fruit Trees'!H110</f>
        <v>40</v>
      </c>
    </row>
    <row r="115" spans="1:7" ht="12.75">
      <c r="A115" s="23" t="str">
        <f ca="1">'Fruit Trees'!A111</f>
        <v>Pear - Harrow Crisp</v>
      </c>
      <c r="B115" s="23" t="str">
        <f ca="1">'Fruit Trees'!C111</f>
        <v>#5</v>
      </c>
      <c r="C115" s="24" t="str">
        <f ca="1">'Fruit Trees'!D111</f>
        <v>0.5-0.75"</v>
      </c>
      <c r="D115" s="23" t="str">
        <f ca="1">'Fruit Trees'!E111</f>
        <v>6-6'</v>
      </c>
      <c r="E115" s="25">
        <f ca="1">'Fruit Trees'!F111</f>
        <v>2</v>
      </c>
      <c r="F115" s="23">
        <f ca="1">'Fruit Trees'!G111</f>
        <v>0</v>
      </c>
      <c r="G115" s="26">
        <f ca="1">'Fruit Trees'!H111</f>
        <v>40</v>
      </c>
    </row>
    <row r="116" spans="1:7" ht="12.75">
      <c r="A116" s="23" t="str">
        <f ca="1">'Fruit Trees'!A112</f>
        <v>Pear - Harrowsweet</v>
      </c>
      <c r="B116" s="23" t="str">
        <f ca="1">'Fruit Trees'!C112</f>
        <v>#5</v>
      </c>
      <c r="C116" s="24" t="str">
        <f ca="1">'Fruit Trees'!D112</f>
        <v>0.5-0.75"</v>
      </c>
      <c r="D116" s="23" t="str">
        <f ca="1">'Fruit Trees'!E112</f>
        <v>6-7'</v>
      </c>
      <c r="E116" s="25">
        <f ca="1">'Fruit Trees'!F112</f>
        <v>16</v>
      </c>
      <c r="F116" s="23">
        <f ca="1">'Fruit Trees'!G112</f>
        <v>50</v>
      </c>
      <c r="G116" s="26">
        <f ca="1">'Fruit Trees'!H112</f>
        <v>40</v>
      </c>
    </row>
    <row r="117" spans="1:7" ht="12.75">
      <c r="A117" s="23" t="str">
        <f ca="1">'Fruit Trees'!A113</f>
        <v>Pear - Kieffer</v>
      </c>
      <c r="B117" s="23" t="str">
        <f ca="1">'Fruit Trees'!C113</f>
        <v>#7</v>
      </c>
      <c r="C117" s="24" t="str">
        <f ca="1">'Fruit Trees'!D113</f>
        <v>0.5-0.5"</v>
      </c>
      <c r="D117" s="23" t="str">
        <f ca="1">'Fruit Trees'!E113</f>
        <v>7-7'</v>
      </c>
      <c r="E117" s="25">
        <f ca="1">'Fruit Trees'!F113</f>
        <v>2</v>
      </c>
      <c r="F117" s="23">
        <f ca="1">'Fruit Trees'!G113</f>
        <v>10</v>
      </c>
      <c r="G117" s="26">
        <f ca="1">'Fruit Trees'!H113</f>
        <v>55</v>
      </c>
    </row>
    <row r="118" spans="1:7" ht="12.75">
      <c r="A118" s="23" t="str">
        <f ca="1">'Fruit Trees'!A114</f>
        <v>Pear - Moonglow</v>
      </c>
      <c r="B118" s="23" t="str">
        <f ca="1">'Fruit Trees'!C114</f>
        <v>#5</v>
      </c>
      <c r="C118" s="24" t="str">
        <f ca="1">'Fruit Trees'!D114</f>
        <v>0.75-1"</v>
      </c>
      <c r="D118" s="23" t="str">
        <f ca="1">'Fruit Trees'!E114</f>
        <v>5-7'</v>
      </c>
      <c r="E118" s="25">
        <f ca="1">'Fruit Trees'!F114</f>
        <v>5</v>
      </c>
      <c r="F118" s="23">
        <f ca="1">'Fruit Trees'!G114</f>
        <v>50</v>
      </c>
      <c r="G118" s="26">
        <f ca="1">'Fruit Trees'!H114</f>
        <v>40</v>
      </c>
    </row>
    <row r="119" spans="1:7" ht="12.75">
      <c r="A119" s="23" t="str">
        <f ca="1">'Fruit Trees'!A115</f>
        <v>Pecan - Choctaw</v>
      </c>
      <c r="B119" s="23" t="str">
        <f ca="1">'Fruit Trees'!C115</f>
        <v>#5 tall plastic</v>
      </c>
      <c r="C119" s="24" t="str">
        <f ca="1">'Fruit Trees'!D115</f>
        <v>0.75-1"</v>
      </c>
      <c r="D119" s="23" t="str">
        <f ca="1">'Fruit Trees'!E115</f>
        <v>8-10'</v>
      </c>
      <c r="E119" s="25">
        <f ca="1">'Fruit Trees'!F115</f>
        <v>4</v>
      </c>
      <c r="F119" s="23">
        <f ca="1">'Fruit Trees'!G115</f>
        <v>0</v>
      </c>
      <c r="G119" s="26">
        <f ca="1">'Fruit Trees'!H115</f>
        <v>100</v>
      </c>
    </row>
    <row r="120" spans="1:7" ht="12.75">
      <c r="A120" s="23" t="str">
        <f ca="1">'Fruit Trees'!A116</f>
        <v>Pecan - Moreland</v>
      </c>
      <c r="B120" s="23" t="str">
        <f ca="1">'Fruit Trees'!C116</f>
        <v>#5 tall plastic</v>
      </c>
      <c r="C120" s="24" t="str">
        <f ca="1">'Fruit Trees'!D116</f>
        <v>0.75-0.75"</v>
      </c>
      <c r="D120" s="23" t="str">
        <f ca="1">'Fruit Trees'!E116</f>
        <v>5-5'</v>
      </c>
      <c r="E120" s="25">
        <f ca="1">'Fruit Trees'!F116</f>
        <v>2</v>
      </c>
      <c r="F120" s="23">
        <f ca="1">'Fruit Trees'!G116</f>
        <v>0</v>
      </c>
      <c r="G120" s="26">
        <f ca="1">'Fruit Trees'!H116</f>
        <v>100</v>
      </c>
    </row>
    <row r="121" spans="1:7" ht="12.75">
      <c r="A121" s="23" t="str">
        <f ca="1">'Fruit Trees'!A117</f>
        <v>Pecan - Oconee</v>
      </c>
      <c r="B121" s="23" t="str">
        <f ca="1">'Fruit Trees'!C117</f>
        <v>#5 tall plastic</v>
      </c>
      <c r="C121" s="24" t="str">
        <f ca="1">'Fruit Trees'!D117</f>
        <v>1-1"</v>
      </c>
      <c r="D121" s="23" t="str">
        <f ca="1">'Fruit Trees'!E117</f>
        <v>8-9'</v>
      </c>
      <c r="E121" s="25">
        <f ca="1">'Fruit Trees'!F117</f>
        <v>5</v>
      </c>
      <c r="F121" s="23">
        <f ca="1">'Fruit Trees'!G117</f>
        <v>0</v>
      </c>
      <c r="G121" s="26">
        <f ca="1">'Fruit Trees'!H117</f>
        <v>100</v>
      </c>
    </row>
    <row r="122" spans="1:7" ht="12.75">
      <c r="A122" s="23" t="str">
        <f ca="1">'Fruit Trees'!A118</f>
        <v>Pecan - Pawnee</v>
      </c>
      <c r="B122" s="23" t="str">
        <f ca="1">'Fruit Trees'!C118</f>
        <v>#5 Tall Plastic</v>
      </c>
      <c r="C122" s="24" t="str">
        <f ca="1">'Fruit Trees'!D118</f>
        <v>0.75-1"</v>
      </c>
      <c r="D122" s="23" t="str">
        <f ca="1">'Fruit Trees'!E118</f>
        <v>6-8'</v>
      </c>
      <c r="E122" s="25">
        <f ca="1">'Fruit Trees'!F118</f>
        <v>3</v>
      </c>
      <c r="F122" s="23">
        <f ca="1">'Fruit Trees'!G118</f>
        <v>0</v>
      </c>
      <c r="G122" s="26">
        <f ca="1">'Fruit Trees'!H118</f>
        <v>100</v>
      </c>
    </row>
    <row r="123" spans="1:7" ht="12.75">
      <c r="A123" s="23" t="str">
        <f ca="1">'Fruit Trees'!A119</f>
        <v>Persimmon - Fuyu</v>
      </c>
      <c r="B123" s="23" t="str">
        <f ca="1">'Fruit Trees'!C119</f>
        <v>#5</v>
      </c>
      <c r="C123" s="24" t="str">
        <f ca="1">'Fruit Trees'!D119</f>
        <v>0-0.5"</v>
      </c>
      <c r="D123" s="23" t="str">
        <f ca="1">'Fruit Trees'!E119</f>
        <v>0-5'</v>
      </c>
      <c r="E123" s="25">
        <f ca="1">'Fruit Trees'!F119</f>
        <v>0</v>
      </c>
      <c r="F123" s="23">
        <f ca="1">'Fruit Trees'!G119</f>
        <v>150</v>
      </c>
      <c r="G123" s="26">
        <f ca="1">'Fruit Trees'!H119</f>
        <v>75</v>
      </c>
    </row>
    <row r="124" spans="1:7" ht="12.75">
      <c r="A124" s="23" t="str">
        <f ca="1">'Fruit Trees'!A120</f>
        <v>Persimmon - Rosseyanka</v>
      </c>
      <c r="B124" s="23" t="str">
        <f ca="1">'Fruit Trees'!C120</f>
        <v>#5</v>
      </c>
      <c r="C124" s="24" t="str">
        <f ca="1">'Fruit Trees'!D120</f>
        <v>0.75-1"</v>
      </c>
      <c r="D124" s="23" t="str">
        <f ca="1">'Fruit Trees'!E120</f>
        <v>7-8'</v>
      </c>
      <c r="E124" s="25">
        <f ca="1">'Fruit Trees'!F120</f>
        <v>1</v>
      </c>
      <c r="F124" s="23">
        <f ca="1">'Fruit Trees'!G120</f>
        <v>0</v>
      </c>
      <c r="G124" s="26">
        <f ca="1">'Fruit Trees'!H120</f>
        <v>60</v>
      </c>
    </row>
    <row r="125" spans="1:7" ht="12.75">
      <c r="A125" s="23" t="str">
        <f ca="1">'Fruit Trees'!A121</f>
        <v>Persimmon - Rosseyanka</v>
      </c>
      <c r="B125" s="23" t="str">
        <f ca="1">'Fruit Trees'!C121</f>
        <v>#10</v>
      </c>
      <c r="C125" s="24" t="str">
        <f ca="1">'Fruit Trees'!D121</f>
        <v>0.25-0.75"</v>
      </c>
      <c r="D125" s="23" t="str">
        <f ca="1">'Fruit Trees'!E121</f>
        <v>5-7'</v>
      </c>
      <c r="E125" s="25">
        <f ca="1">'Fruit Trees'!F121</f>
        <v>9</v>
      </c>
      <c r="F125" s="23">
        <f ca="1">'Fruit Trees'!G121</f>
        <v>0</v>
      </c>
      <c r="G125" s="26">
        <f ca="1">'Fruit Trees'!H121</f>
        <v>95</v>
      </c>
    </row>
    <row r="126" spans="1:7" ht="12.75">
      <c r="A126" s="23" t="str">
        <f ca="1">'Fruit Trees'!A122</f>
        <v>Persimmon - Rosseyanka</v>
      </c>
      <c r="B126" s="23" t="str">
        <f ca="1">'Fruit Trees'!C122</f>
        <v>#15</v>
      </c>
      <c r="C126" s="24" t="str">
        <f ca="1">'Fruit Trees'!D122</f>
        <v>0.25-0.75"</v>
      </c>
      <c r="D126" s="23" t="str">
        <f ca="1">'Fruit Trees'!E122</f>
        <v>5-7'</v>
      </c>
      <c r="E126" s="25">
        <f ca="1">'Fruit Trees'!F122</f>
        <v>1</v>
      </c>
      <c r="F126" s="23">
        <f ca="1">'Fruit Trees'!G122</f>
        <v>0</v>
      </c>
      <c r="G126" s="26">
        <f ca="1">'Fruit Trees'!H122</f>
        <v>115</v>
      </c>
    </row>
    <row r="127" spans="1:7" ht="12.75">
      <c r="A127" s="23" t="str">
        <f ca="1">'Fruit Trees'!A123</f>
        <v>Persimmon - Rosseyanka</v>
      </c>
      <c r="B127" s="23" t="str">
        <f ca="1">'Fruit Trees'!C123</f>
        <v>#25</v>
      </c>
      <c r="C127" s="24" t="str">
        <f ca="1">'Fruit Trees'!D123</f>
        <v>0.5-1"</v>
      </c>
      <c r="D127" s="23" t="str">
        <f ca="1">'Fruit Trees'!E123</f>
        <v>7-10'</v>
      </c>
      <c r="E127" s="25">
        <f ca="1">'Fruit Trees'!F123</f>
        <v>2</v>
      </c>
      <c r="F127" s="23">
        <f ca="1">'Fruit Trees'!G123</f>
        <v>0</v>
      </c>
      <c r="G127" s="26">
        <f ca="1">'Fruit Trees'!H123</f>
        <v>150</v>
      </c>
    </row>
    <row r="128" spans="1:7" ht="12.75">
      <c r="A128" s="23" t="str">
        <f ca="1">'Fruit Trees'!A124</f>
        <v>Plum - Green Gage</v>
      </c>
      <c r="B128" s="23" t="str">
        <f ca="1">'Fruit Trees'!C124</f>
        <v>#5</v>
      </c>
      <c r="C128" s="24" t="str">
        <f ca="1">'Fruit Trees'!D124</f>
        <v>0.75-1"</v>
      </c>
      <c r="D128" s="23" t="str">
        <f ca="1">'Fruit Trees'!E124</f>
        <v>6-7'</v>
      </c>
      <c r="E128" s="25">
        <f ca="1">'Fruit Trees'!F124</f>
        <v>11</v>
      </c>
      <c r="F128" s="23">
        <f ca="1">'Fruit Trees'!G124</f>
        <v>50</v>
      </c>
      <c r="G128" s="26">
        <f ca="1">'Fruit Trees'!H124</f>
        <v>40</v>
      </c>
    </row>
    <row r="129" spans="1:8" ht="12.75">
      <c r="A129" s="23" t="str">
        <f ca="1">'Fruit Trees'!A125</f>
        <v>Plum - Methley</v>
      </c>
      <c r="B129" s="23" t="str">
        <f ca="1">'Fruit Trees'!C125</f>
        <v>#5</v>
      </c>
      <c r="C129" s="24" t="str">
        <f ca="1">'Fruit Trees'!D125</f>
        <v>0.25-0.5"</v>
      </c>
      <c r="D129" s="23" t="str">
        <f ca="1">'Fruit Trees'!E125</f>
        <v>6-7'</v>
      </c>
      <c r="E129" s="25">
        <f ca="1">'Fruit Trees'!F125</f>
        <v>1</v>
      </c>
      <c r="F129" s="23">
        <f ca="1">'Fruit Trees'!G125</f>
        <v>150</v>
      </c>
      <c r="G129" s="26">
        <f ca="1">'Fruit Trees'!H125</f>
        <v>40</v>
      </c>
    </row>
    <row r="130" spans="1:8" ht="12.75">
      <c r="A130" s="23" t="str">
        <f ca="1">'Fruit Trees'!A126</f>
        <v>Plum - NY9</v>
      </c>
      <c r="B130" s="23" t="str">
        <f ca="1">'Fruit Trees'!C126</f>
        <v>#5</v>
      </c>
      <c r="C130" s="24" t="str">
        <f ca="1">'Fruit Trees'!D126</f>
        <v>0.5-0.75"</v>
      </c>
      <c r="D130" s="23" t="str">
        <f ca="1">'Fruit Trees'!E126</f>
        <v>5-7'</v>
      </c>
      <c r="E130" s="25">
        <f ca="1">'Fruit Trees'!F126</f>
        <v>60</v>
      </c>
      <c r="F130" s="23">
        <f ca="1">'Fruit Trees'!G126</f>
        <v>50</v>
      </c>
      <c r="G130" s="26">
        <f ca="1">'Fruit Trees'!H126</f>
        <v>40</v>
      </c>
    </row>
    <row r="131" spans="1:8" ht="12.75">
      <c r="A131" s="23" t="str">
        <f ca="1">'Fruit Trees'!A127</f>
        <v>Plum - Santa Rosa</v>
      </c>
      <c r="B131" s="23" t="str">
        <f ca="1">'Fruit Trees'!C127</f>
        <v>#5</v>
      </c>
      <c r="C131" s="24" t="str">
        <f ca="1">'Fruit Trees'!D127</f>
        <v>1-1.25"</v>
      </c>
      <c r="D131" s="23" t="str">
        <f ca="1">'Fruit Trees'!E127</f>
        <v>6-7'</v>
      </c>
      <c r="E131" s="25">
        <f ca="1">'Fruit Trees'!F127</f>
        <v>3</v>
      </c>
      <c r="F131" s="23">
        <f ca="1">'Fruit Trees'!G127</f>
        <v>275</v>
      </c>
      <c r="G131" s="26">
        <f ca="1">'Fruit Trees'!H127</f>
        <v>40</v>
      </c>
    </row>
    <row r="132" spans="1:8" ht="12.75">
      <c r="A132" s="23" t="str">
        <f ca="1">'Fruit Trees'!A128</f>
        <v>Plum (cherry) - Sweet Pixie 2</v>
      </c>
      <c r="B132" s="23" t="str">
        <f ca="1">'Fruit Trees'!C128</f>
        <v>#5</v>
      </c>
      <c r="C132" s="24" t="str">
        <f ca="1">'Fruit Trees'!D128</f>
        <v>1-1.25"</v>
      </c>
      <c r="D132" s="23" t="str">
        <f ca="1">'Fruit Trees'!E128</f>
        <v>7-8'</v>
      </c>
      <c r="E132" s="25">
        <f ca="1">'Fruit Trees'!F128</f>
        <v>7</v>
      </c>
      <c r="F132" s="23">
        <f ca="1">'Fruit Trees'!G128</f>
        <v>30</v>
      </c>
      <c r="G132" s="26">
        <f ca="1">'Fruit Trees'!H128</f>
        <v>55</v>
      </c>
    </row>
    <row r="133" spans="1:8" ht="12.75">
      <c r="A133" s="23" t="str">
        <f ca="1">'Fruit Trees'!A129</f>
        <v>Plumcot - Spring Satin</v>
      </c>
      <c r="B133" s="23" t="str">
        <f ca="1">'Fruit Trees'!C129</f>
        <v>#5</v>
      </c>
      <c r="C133" s="24" t="str">
        <f ca="1">'Fruit Trees'!D129</f>
        <v>0.75-1"</v>
      </c>
      <c r="D133" s="23" t="str">
        <f ca="1">'Fruit Trees'!E129</f>
        <v>8-9'</v>
      </c>
      <c r="E133" s="25">
        <f ca="1">'Fruit Trees'!F129</f>
        <v>9</v>
      </c>
      <c r="F133" s="23">
        <f ca="1">'Fruit Trees'!G129</f>
        <v>30</v>
      </c>
      <c r="G133" s="26">
        <f ca="1">'Fruit Trees'!H129</f>
        <v>40</v>
      </c>
    </row>
    <row r="134" spans="1:8" ht="12.75">
      <c r="A134" s="23" t="str">
        <f ca="1">'Fruit Trees'!A130</f>
        <v>Pluot - Dapple Dandy</v>
      </c>
      <c r="B134" s="23" t="str">
        <f ca="1">'Fruit Trees'!C130</f>
        <v>#7</v>
      </c>
      <c r="C134" s="24" t="str">
        <f ca="1">'Fruit Trees'!D130</f>
        <v>0.75-1"</v>
      </c>
      <c r="D134" s="23" t="str">
        <f ca="1">'Fruit Trees'!E130</f>
        <v>5-6'</v>
      </c>
      <c r="E134" s="25">
        <f ca="1">'Fruit Trees'!F130</f>
        <v>0</v>
      </c>
      <c r="F134" s="23">
        <f ca="1">'Fruit Trees'!G130</f>
        <v>50</v>
      </c>
      <c r="G134" s="26">
        <f ca="1">'Fruit Trees'!H130</f>
        <v>75</v>
      </c>
    </row>
    <row r="135" spans="1:8" ht="12.75">
      <c r="A135" s="23" t="str">
        <f ca="1">'Fruit Trees'!A131</f>
        <v>Pluot - Dapple Dandy</v>
      </c>
      <c r="B135" s="23" t="str">
        <f ca="1">'Fruit Trees'!C131</f>
        <v>#10</v>
      </c>
      <c r="C135" s="24" t="str">
        <f ca="1">'Fruit Trees'!D131</f>
        <v>1-1.5"</v>
      </c>
      <c r="D135" s="23" t="str">
        <f ca="1">'Fruit Trees'!E131</f>
        <v>9-10'</v>
      </c>
      <c r="E135" s="25">
        <f ca="1">'Fruit Trees'!F131</f>
        <v>23</v>
      </c>
      <c r="F135" s="23">
        <f ca="1">'Fruit Trees'!G131</f>
        <v>0</v>
      </c>
      <c r="G135" s="26">
        <f ca="1">'Fruit Trees'!H131</f>
        <v>65</v>
      </c>
    </row>
    <row r="136" spans="1:8" ht="12.75">
      <c r="A136" s="23" t="str">
        <f ca="1">'Fruit Trees'!A132</f>
        <v>Pluot - Flavor King</v>
      </c>
      <c r="B136" s="23" t="str">
        <f ca="1">'Fruit Trees'!C132</f>
        <v>#5</v>
      </c>
      <c r="C136" s="24" t="str">
        <f ca="1">'Fruit Trees'!D132</f>
        <v>0.5-0.75"</v>
      </c>
      <c r="D136" s="23" t="str">
        <f ca="1">'Fruit Trees'!E132</f>
        <v>4-5'</v>
      </c>
      <c r="E136" s="25">
        <f ca="1">'Fruit Trees'!F132</f>
        <v>0</v>
      </c>
      <c r="F136" s="23">
        <f ca="1">'Fruit Trees'!G132</f>
        <v>30</v>
      </c>
      <c r="G136" s="26">
        <f ca="1">'Fruit Trees'!H132</f>
        <v>45</v>
      </c>
    </row>
    <row r="137" spans="1:8" ht="12.75">
      <c r="A137" s="23" t="str">
        <f ca="1">'Fruit Trees'!A133</f>
        <v>Pluot - Flavor Queen</v>
      </c>
      <c r="B137" s="23" t="str">
        <f ca="1">'Fruit Trees'!C133</f>
        <v>#5</v>
      </c>
      <c r="C137" s="24" t="str">
        <f ca="1">'Fruit Trees'!D133</f>
        <v>0.5-0.75"</v>
      </c>
      <c r="D137" s="23" t="str">
        <f ca="1">'Fruit Trees'!E133</f>
        <v>4-5'</v>
      </c>
      <c r="E137" s="25">
        <f ca="1">'Fruit Trees'!F133</f>
        <v>0</v>
      </c>
      <c r="F137" s="23">
        <f ca="1">'Fruit Trees'!G133</f>
        <v>30</v>
      </c>
      <c r="G137" s="26">
        <f ca="1">'Fruit Trees'!H133</f>
        <v>45</v>
      </c>
    </row>
    <row r="138" spans="1:8" ht="12.75">
      <c r="A138" s="23" t="str">
        <f ca="1">'Fruit Trees'!A134</f>
        <v xml:space="preserve">Raspberry - Fall Gold </v>
      </c>
      <c r="B138" s="23" t="str">
        <f ca="1">'Fruit Trees'!C134</f>
        <v>#5</v>
      </c>
      <c r="C138" s="27" t="str">
        <f ca="1">'Fruit Trees'!D134</f>
        <v>Multi</v>
      </c>
      <c r="D138" s="23" t="str">
        <f ca="1">'Fruit Trees'!E134</f>
        <v>2-3'</v>
      </c>
      <c r="E138" s="25">
        <f ca="1">'Fruit Trees'!F134</f>
        <v>32</v>
      </c>
      <c r="F138" s="23">
        <f ca="1">'Fruit Trees'!G134</f>
        <v>0</v>
      </c>
      <c r="G138" s="26">
        <f ca="1">'Fruit Trees'!H134</f>
        <v>30</v>
      </c>
    </row>
    <row r="139" spans="1:8" ht="12.75">
      <c r="A139" s="23" t="str">
        <f ca="1">'Fruit Trees'!A135</f>
        <v>Raspberry- Heritage</v>
      </c>
      <c r="B139" s="23" t="str">
        <f ca="1">'Fruit Trees'!C135</f>
        <v>#5</v>
      </c>
      <c r="C139" s="27" t="str">
        <f ca="1">'Fruit Trees'!D135</f>
        <v>Multi</v>
      </c>
      <c r="D139" s="23" t="str">
        <f ca="1">'Fruit Trees'!E135</f>
        <v>3-3'</v>
      </c>
      <c r="E139" s="25">
        <f ca="1">'Fruit Trees'!F135</f>
        <v>5</v>
      </c>
      <c r="F139" s="23">
        <f ca="1">'Fruit Trees'!G135</f>
        <v>0</v>
      </c>
      <c r="G139" s="26">
        <f ca="1">'Fruit Trees'!H135</f>
        <v>30</v>
      </c>
    </row>
    <row r="140" spans="1:8" ht="12.75">
      <c r="A140" s="23" t="str">
        <f ca="1">'Fruit Trees'!A136</f>
        <v>Russian Pomegrante - Salavatski</v>
      </c>
      <c r="B140" s="23" t="str">
        <f ca="1">'Fruit Trees'!C136</f>
        <v>#5</v>
      </c>
      <c r="C140" s="27" t="str">
        <f ca="1">'Fruit Trees'!D136</f>
        <v>Multi</v>
      </c>
      <c r="D140" s="23" t="str">
        <f ca="1">'Fruit Trees'!E136</f>
        <v>0-1'</v>
      </c>
      <c r="E140" s="25">
        <f ca="1">'Fruit Trees'!F136</f>
        <v>0</v>
      </c>
      <c r="F140" s="23">
        <f ca="1">'Fruit Trees'!G136</f>
        <v>72</v>
      </c>
      <c r="G140" s="26">
        <f ca="1">'Fruit Trees'!H136</f>
        <v>30</v>
      </c>
    </row>
    <row r="141" spans="1:8" ht="12.75">
      <c r="A141" s="23" t="str">
        <f ca="1">'Fruit Trees'!A137</f>
        <v>Walnut - Mesa Carpathian</v>
      </c>
      <c r="B141" s="23" t="str">
        <f ca="1">'Fruit Trees'!C137</f>
        <v>#15</v>
      </c>
      <c r="C141" s="24" t="str">
        <f ca="1">'Fruit Trees'!D137</f>
        <v>0-1"</v>
      </c>
      <c r="D141" s="23" t="str">
        <f ca="1">'Fruit Trees'!E137</f>
        <v>0-4'</v>
      </c>
      <c r="E141" s="25">
        <f ca="1">'Fruit Trees'!F137</f>
        <v>0</v>
      </c>
      <c r="F141" s="23">
        <f ca="1">'Fruit Trees'!G137</f>
        <v>10</v>
      </c>
      <c r="G141" s="26">
        <f ca="1">'Fruit Trees'!H137</f>
        <v>110</v>
      </c>
    </row>
    <row r="142" spans="1:8" ht="45">
      <c r="A142" s="29" t="s">
        <v>13</v>
      </c>
      <c r="B142" s="30"/>
      <c r="D142" s="18"/>
      <c r="E142" s="18"/>
      <c r="F142" s="31"/>
      <c r="G142" s="31"/>
      <c r="H142" s="32"/>
    </row>
    <row r="143" spans="1:8" ht="12.75">
      <c r="A143" s="20" t="str">
        <f ca="1">'Landscape Trees '!A1</f>
        <v>Latin Name</v>
      </c>
      <c r="B143" s="20" t="str">
        <f ca="1">'Landscape Trees '!C1</f>
        <v>Common Name</v>
      </c>
      <c r="C143" s="20" t="str">
        <f ca="1">'Landscape Trees '!D1</f>
        <v>Pot Size</v>
      </c>
      <c r="D143" s="20" t="str">
        <f ca="1">'Landscape Trees '!E1</f>
        <v xml:space="preserve">Caliper </v>
      </c>
      <c r="E143" s="20" t="str">
        <f ca="1">'Landscape Trees '!F1</f>
        <v>Height</v>
      </c>
      <c r="F143" s="20" t="str">
        <f ca="1">'Landscape Trees '!G1</f>
        <v xml:space="preserve">Quantity </v>
      </c>
      <c r="G143" s="20" t="str">
        <f ca="1">'Landscape Trees '!H1</f>
        <v>Projected</v>
      </c>
      <c r="H143" s="20" t="str">
        <f ca="1">'Landscape Trees '!I1</f>
        <v>Price</v>
      </c>
    </row>
    <row r="144" spans="1:8" ht="12.75">
      <c r="A144" s="23" t="str">
        <f ca="1">'Landscape Trees '!A2</f>
        <v>Acer buergerianum</v>
      </c>
      <c r="B144" s="23" t="str">
        <f ca="1">'Landscape Trees '!C2</f>
        <v>Trident Maple</v>
      </c>
      <c r="C144" s="23" t="str">
        <f ca="1">'Landscape Trees '!D2</f>
        <v>#5</v>
      </c>
      <c r="D144" s="24" t="str">
        <f ca="1">'Landscape Trees '!E2</f>
        <v>0.25-0.5"</v>
      </c>
      <c r="E144" s="23" t="str">
        <f ca="1">'Landscape Trees '!F2</f>
        <v>3-6'</v>
      </c>
      <c r="F144" s="25">
        <f ca="1">'Landscape Trees '!G2</f>
        <v>9</v>
      </c>
      <c r="G144" s="23">
        <f ca="1">'Landscape Trees '!H2</f>
        <v>0</v>
      </c>
      <c r="H144" s="26">
        <f ca="1">'Landscape Trees '!I2</f>
        <v>35</v>
      </c>
    </row>
    <row r="145" spans="1:8" ht="12.75">
      <c r="A145" s="23" t="str">
        <f ca="1">'Landscape Trees '!A3</f>
        <v>Acer campestre</v>
      </c>
      <c r="B145" s="23" t="str">
        <f ca="1">'Landscape Trees '!C3</f>
        <v>Hedge Maple</v>
      </c>
      <c r="C145" s="23" t="str">
        <f ca="1">'Landscape Trees '!D3</f>
        <v>#5</v>
      </c>
      <c r="D145" s="24" t="str">
        <f ca="1">'Landscape Trees '!E3</f>
        <v>1-1.25"</v>
      </c>
      <c r="E145" s="23" t="str">
        <f ca="1">'Landscape Trees '!F3</f>
        <v>6-7'</v>
      </c>
      <c r="F145" s="25">
        <f ca="1">'Landscape Trees '!G3</f>
        <v>12</v>
      </c>
      <c r="G145" s="23">
        <f ca="1">'Landscape Trees '!H3</f>
        <v>0</v>
      </c>
      <c r="H145" s="26">
        <f ca="1">'Landscape Trees '!I3</f>
        <v>35</v>
      </c>
    </row>
    <row r="146" spans="1:8" ht="12.75">
      <c r="A146" s="23" t="str">
        <f ca="1">'Landscape Trees '!A4</f>
        <v>Acer griseum</v>
      </c>
      <c r="B146" s="23" t="str">
        <f ca="1">'Landscape Trees '!C4</f>
        <v>Paperbark Maple</v>
      </c>
      <c r="C146" s="23" t="str">
        <f ca="1">'Landscape Trees '!D4</f>
        <v>#5</v>
      </c>
      <c r="D146" s="24" t="str">
        <f ca="1">'Landscape Trees '!E4</f>
        <v>0.75-1"</v>
      </c>
      <c r="E146" s="23" t="str">
        <f ca="1">'Landscape Trees '!F4</f>
        <v>4-5'</v>
      </c>
      <c r="F146" s="25">
        <f ca="1">'Landscape Trees '!G4</f>
        <v>25</v>
      </c>
      <c r="G146" s="23">
        <f ca="1">'Landscape Trees '!H4</f>
        <v>0</v>
      </c>
      <c r="H146" s="26">
        <f ca="1">'Landscape Trees '!I4</f>
        <v>50</v>
      </c>
    </row>
    <row r="147" spans="1:8" ht="12.75">
      <c r="A147" s="23" t="str">
        <f ca="1">'Landscape Trees '!A5</f>
        <v>Acer griseum</v>
      </c>
      <c r="B147" s="23" t="str">
        <f ca="1">'Landscape Trees '!C5</f>
        <v>Paperbark Maple</v>
      </c>
      <c r="C147" s="23" t="str">
        <f ca="1">'Landscape Trees '!D5</f>
        <v>#15</v>
      </c>
      <c r="D147" s="24" t="str">
        <f ca="1">'Landscape Trees '!E5</f>
        <v>1.25-1.75"</v>
      </c>
      <c r="E147" s="23" t="str">
        <f ca="1">'Landscape Trees '!F5</f>
        <v>8-10'</v>
      </c>
      <c r="F147" s="25">
        <f ca="1">'Landscape Trees '!G5</f>
        <v>3</v>
      </c>
      <c r="G147" s="23">
        <f ca="1">'Landscape Trees '!H5</f>
        <v>0</v>
      </c>
      <c r="H147" s="26">
        <f ca="1">'Landscape Trees '!I5</f>
        <v>175</v>
      </c>
    </row>
    <row r="148" spans="1:8" ht="12.75">
      <c r="A148" s="23" t="str">
        <f ca="1">'Landscape Trees '!A6</f>
        <v>Acer griseum</v>
      </c>
      <c r="B148" s="23" t="str">
        <f ca="1">'Landscape Trees '!C6</f>
        <v>Paperbark Maple</v>
      </c>
      <c r="C148" s="23" t="str">
        <f ca="1">'Landscape Trees '!D6</f>
        <v>#25</v>
      </c>
      <c r="D148" s="24" t="str">
        <f ca="1">'Landscape Trees '!E6</f>
        <v>1.25-1.25"</v>
      </c>
      <c r="E148" s="23" t="str">
        <f ca="1">'Landscape Trees '!F6</f>
        <v>8-9'</v>
      </c>
      <c r="F148" s="25">
        <f ca="1">'Landscape Trees '!G6</f>
        <v>2</v>
      </c>
      <c r="G148" s="23">
        <f ca="1">'Landscape Trees '!H6</f>
        <v>0</v>
      </c>
      <c r="H148" s="26">
        <f ca="1">'Landscape Trees '!I6</f>
        <v>175</v>
      </c>
    </row>
    <row r="149" spans="1:8" ht="12.75">
      <c r="A149" s="23" t="str">
        <f ca="1">'Landscape Trees '!A7</f>
        <v>Acer palmatum 'Bloodgood'</v>
      </c>
      <c r="B149" s="23" t="str">
        <f ca="1">'Landscape Trees '!C7</f>
        <v>Bloodgood Japanese Maple</v>
      </c>
      <c r="C149" s="23" t="str">
        <f ca="1">'Landscape Trees '!D7</f>
        <v>#7</v>
      </c>
      <c r="D149" s="24" t="str">
        <f ca="1">'Landscape Trees '!E7</f>
        <v>0.25-0.5"</v>
      </c>
      <c r="E149" s="23" t="str">
        <f ca="1">'Landscape Trees '!F7</f>
        <v>4-5'</v>
      </c>
      <c r="F149" s="25">
        <f ca="1">'Landscape Trees '!G7</f>
        <v>20</v>
      </c>
      <c r="G149" s="23">
        <f ca="1">'Landscape Trees '!H7</f>
        <v>0</v>
      </c>
      <c r="H149" s="26">
        <f ca="1">'Landscape Trees '!I7</f>
        <v>50</v>
      </c>
    </row>
    <row r="150" spans="1:8" ht="12.75">
      <c r="A150" s="23" t="str">
        <f ca="1">'Landscape Trees '!A8</f>
        <v>Acer palmatum 'Emperor I'</v>
      </c>
      <c r="B150" s="23" t="str">
        <f ca="1">'Landscape Trees '!C8</f>
        <v>Emperor I Japanese Maple</v>
      </c>
      <c r="C150" s="23" t="str">
        <f ca="1">'Landscape Trees '!D8</f>
        <v>#7</v>
      </c>
      <c r="D150" s="24" t="str">
        <f ca="1">'Landscape Trees '!E8</f>
        <v>0.25-0.5"</v>
      </c>
      <c r="E150" s="23" t="str">
        <f ca="1">'Landscape Trees '!F8</f>
        <v>4-5'</v>
      </c>
      <c r="F150" s="25">
        <f ca="1">'Landscape Trees '!G8</f>
        <v>8</v>
      </c>
      <c r="G150" s="23">
        <f ca="1">'Landscape Trees '!H8</f>
        <v>20</v>
      </c>
      <c r="H150" s="26">
        <f ca="1">'Landscape Trees '!I8</f>
        <v>50</v>
      </c>
    </row>
    <row r="151" spans="1:8" ht="12.75">
      <c r="A151" s="23" t="str">
        <f ca="1">'Landscape Trees '!A9</f>
        <v>Acer palmatum 'Tamukeyama'</v>
      </c>
      <c r="B151" s="23" t="str">
        <f ca="1">'Landscape Trees '!C9</f>
        <v>Tamukeyama Japanese Maple</v>
      </c>
      <c r="C151" s="23" t="str">
        <f ca="1">'Landscape Trees '!D9</f>
        <v>#7</v>
      </c>
      <c r="D151" s="24" t="str">
        <f ca="1">'Landscape Trees '!E9</f>
        <v>0.375-0.5"</v>
      </c>
      <c r="E151" s="23" t="str">
        <f ca="1">'Landscape Trees '!F9</f>
        <v>3-4'</v>
      </c>
      <c r="F151" s="25">
        <f ca="1">'Landscape Trees '!G9</f>
        <v>21</v>
      </c>
      <c r="G151" s="23">
        <f ca="1">'Landscape Trees '!H9</f>
        <v>20</v>
      </c>
      <c r="H151" s="26">
        <f ca="1">'Landscape Trees '!I9</f>
        <v>60</v>
      </c>
    </row>
    <row r="152" spans="1:8" ht="12.75">
      <c r="A152" s="23" t="str">
        <f ca="1">'Landscape Trees '!A10</f>
        <v>Acer platanoides 'Crimson King'</v>
      </c>
      <c r="B152" s="23" t="str">
        <f ca="1">'Landscape Trees '!C10</f>
        <v>Crimson King Norway Maple</v>
      </c>
      <c r="C152" s="23" t="str">
        <f ca="1">'Landscape Trees '!D10</f>
        <v>#15</v>
      </c>
      <c r="D152" s="24" t="str">
        <f ca="1">'Landscape Trees '!E10</f>
        <v>1-1"</v>
      </c>
      <c r="E152" s="23" t="str">
        <f ca="1">'Landscape Trees '!F10</f>
        <v>8-9'</v>
      </c>
      <c r="F152" s="25">
        <f ca="1">'Landscape Trees '!G10</f>
        <v>0</v>
      </c>
      <c r="G152" s="23">
        <f ca="1">'Landscape Trees '!H10</f>
        <v>10</v>
      </c>
      <c r="H152" s="26">
        <f ca="1">'Landscape Trees '!I10</f>
        <v>110</v>
      </c>
    </row>
    <row r="153" spans="1:8" ht="12.75">
      <c r="A153" s="23" t="str">
        <f ca="1">'Landscape Trees '!A11</f>
        <v>Acer rubrum</v>
      </c>
      <c r="B153" s="23" t="str">
        <f ca="1">'Landscape Trees '!C11</f>
        <v>Red Maple (Native)</v>
      </c>
      <c r="C153" s="23" t="str">
        <f ca="1">'Landscape Trees '!D11</f>
        <v>#5</v>
      </c>
      <c r="D153" s="24" t="str">
        <f ca="1">'Landscape Trees '!E11</f>
        <v>0.125-0.25"</v>
      </c>
      <c r="E153" s="23" t="str">
        <f ca="1">'Landscape Trees '!F11</f>
        <v>3-4'</v>
      </c>
      <c r="F153" s="25">
        <f ca="1">'Landscape Trees '!G11</f>
        <v>48</v>
      </c>
      <c r="G153" s="23">
        <f ca="1">'Landscape Trees '!H11</f>
        <v>100</v>
      </c>
      <c r="H153" s="26">
        <f ca="1">'Landscape Trees '!I11</f>
        <v>35</v>
      </c>
    </row>
    <row r="154" spans="1:8" ht="12.75">
      <c r="A154" s="23" t="str">
        <f ca="1">'Landscape Trees '!A12</f>
        <v xml:space="preserve">Acer rubrum </v>
      </c>
      <c r="B154" s="23" t="str">
        <f ca="1">'Landscape Trees '!C12</f>
        <v>Red Maple</v>
      </c>
      <c r="C154" s="23" t="str">
        <f ca="1">'Landscape Trees '!D12</f>
        <v>#5</v>
      </c>
      <c r="D154" s="24" t="str">
        <f ca="1">'Landscape Trees '!E12</f>
        <v>0.25-0.5"</v>
      </c>
      <c r="E154" s="23" t="str">
        <f ca="1">'Landscape Trees '!F12</f>
        <v>2-3'</v>
      </c>
      <c r="F154" s="25">
        <f ca="1">'Landscape Trees '!G12</f>
        <v>58</v>
      </c>
      <c r="G154" s="23">
        <f ca="1">'Landscape Trees '!H12</f>
        <v>130</v>
      </c>
      <c r="H154" s="26">
        <f ca="1">'Landscape Trees '!I12</f>
        <v>35</v>
      </c>
    </row>
    <row r="155" spans="1:8" ht="12.75">
      <c r="A155" s="23" t="str">
        <f ca="1">'Landscape Trees '!A13</f>
        <v xml:space="preserve">Acer rubrum </v>
      </c>
      <c r="B155" s="23" t="str">
        <f ca="1">'Landscape Trees '!C13</f>
        <v>Red Maple</v>
      </c>
      <c r="C155" s="23" t="str">
        <f ca="1">'Landscape Trees '!D13</f>
        <v>#15</v>
      </c>
      <c r="D155" s="24" t="str">
        <f ca="1">'Landscape Trees '!E13</f>
        <v>1.25-1.25"</v>
      </c>
      <c r="E155" s="23" t="str">
        <f ca="1">'Landscape Trees '!F13</f>
        <v>12-12'</v>
      </c>
      <c r="F155" s="25">
        <f ca="1">'Landscape Trees '!G13</f>
        <v>1</v>
      </c>
      <c r="G155" s="23">
        <f ca="1">'Landscape Trees '!H13</f>
        <v>40</v>
      </c>
      <c r="H155" s="26">
        <f ca="1">'Landscape Trees '!I13</f>
        <v>110</v>
      </c>
    </row>
    <row r="156" spans="1:8" ht="12.75">
      <c r="A156" s="23" t="str">
        <f ca="1">'Landscape Trees '!A14</f>
        <v xml:space="preserve">Acer rubrum </v>
      </c>
      <c r="B156" s="23" t="str">
        <f ca="1">'Landscape Trees '!C14</f>
        <v>Red Maple</v>
      </c>
      <c r="C156" s="23" t="str">
        <f ca="1">'Landscape Trees '!D14</f>
        <v>#25</v>
      </c>
      <c r="D156" s="24" t="str">
        <f ca="1">'Landscape Trees '!E14</f>
        <v>1.5-1.5"</v>
      </c>
      <c r="E156" s="23" t="str">
        <f ca="1">'Landscape Trees '!F14</f>
        <v>12-12'</v>
      </c>
      <c r="F156" s="25">
        <f ca="1">'Landscape Trees '!G14</f>
        <v>2</v>
      </c>
      <c r="G156" s="23">
        <f ca="1">'Landscape Trees '!H14</f>
        <v>0</v>
      </c>
      <c r="H156" s="26">
        <f ca="1">'Landscape Trees '!I14</f>
        <v>135</v>
      </c>
    </row>
    <row r="157" spans="1:8" ht="12.75">
      <c r="A157" s="23" t="str">
        <f ca="1">'Landscape Trees '!A15</f>
        <v>Acer rubrum 'Karpick'</v>
      </c>
      <c r="B157" s="23" t="str">
        <f ca="1">'Landscape Trees '!C15</f>
        <v>Kaprick Red Maple</v>
      </c>
      <c r="C157" s="23" t="str">
        <f ca="1">'Landscape Trees '!D15</f>
        <v>#25</v>
      </c>
      <c r="D157" s="24" t="str">
        <f ca="1">'Landscape Trees '!E15</f>
        <v>1.25-1.5"</v>
      </c>
      <c r="E157" s="23" t="str">
        <f ca="1">'Landscape Trees '!F15</f>
        <v>11-12'</v>
      </c>
      <c r="F157" s="25">
        <f ca="1">'Landscape Trees '!G15</f>
        <v>4</v>
      </c>
      <c r="G157" s="23">
        <f ca="1">'Landscape Trees '!H15</f>
        <v>0</v>
      </c>
      <c r="H157" s="26">
        <f ca="1">'Landscape Trees '!I15</f>
        <v>135</v>
      </c>
    </row>
    <row r="158" spans="1:8" ht="12.75">
      <c r="A158" s="23" t="str">
        <f ca="1">'Landscape Trees '!A16</f>
        <v>Acer saccharum</v>
      </c>
      <c r="B158" s="23" t="str">
        <f ca="1">'Landscape Trees '!C16</f>
        <v>Sugar Maple</v>
      </c>
      <c r="C158" s="23" t="str">
        <f ca="1">'Landscape Trees '!D16</f>
        <v>#5</v>
      </c>
      <c r="D158" s="24" t="str">
        <f ca="1">'Landscape Trees '!E16</f>
        <v>0.25-0.5"</v>
      </c>
      <c r="E158" s="23" t="str">
        <f ca="1">'Landscape Trees '!F16</f>
        <v>3-5'</v>
      </c>
      <c r="F158" s="25">
        <f ca="1">'Landscape Trees '!G16</f>
        <v>92</v>
      </c>
      <c r="G158" s="23">
        <f ca="1">'Landscape Trees '!H16</f>
        <v>50</v>
      </c>
      <c r="H158" s="26">
        <f ca="1">'Landscape Trees '!I16</f>
        <v>35</v>
      </c>
    </row>
    <row r="159" spans="1:8" ht="12.75">
      <c r="A159" s="23" t="str">
        <f ca="1">'Landscape Trees '!A17</f>
        <v>Acer saccharum 'Green Mountain'</v>
      </c>
      <c r="B159" s="23" t="str">
        <f ca="1">'Landscape Trees '!C17</f>
        <v>Green Mountain Sugar Maple</v>
      </c>
      <c r="C159" s="23" t="str">
        <f ca="1">'Landscape Trees '!D17</f>
        <v>#25</v>
      </c>
      <c r="D159" s="24" t="str">
        <f ca="1">'Landscape Trees '!E17</f>
        <v>1-1.25"</v>
      </c>
      <c r="E159" s="23" t="str">
        <f ca="1">'Landscape Trees '!F17</f>
        <v>9-10'</v>
      </c>
      <c r="F159" s="25">
        <f ca="1">'Landscape Trees '!G17</f>
        <v>8</v>
      </c>
      <c r="G159" s="23">
        <f ca="1">'Landscape Trees '!H17</f>
        <v>0</v>
      </c>
      <c r="H159" s="26">
        <f ca="1">'Landscape Trees '!I17</f>
        <v>150</v>
      </c>
    </row>
    <row r="160" spans="1:8" ht="12.75">
      <c r="A160" s="23" t="str">
        <f ca="1">'Landscape Trees '!A18</f>
        <v>Acer saccharum 'Legacy'</v>
      </c>
      <c r="B160" s="23" t="str">
        <f ca="1">'Landscape Trees '!C18</f>
        <v>Legacy Sugar Maple</v>
      </c>
      <c r="C160" s="23" t="str">
        <f ca="1">'Landscape Trees '!D18</f>
        <v>#15</v>
      </c>
      <c r="D160" s="24" t="str">
        <f ca="1">'Landscape Trees '!E18</f>
        <v>0.5-0.75"</v>
      </c>
      <c r="E160" s="23" t="str">
        <f ca="1">'Landscape Trees '!F18</f>
        <v>7-7'</v>
      </c>
      <c r="F160" s="25">
        <f ca="1">'Landscape Trees '!G18</f>
        <v>3</v>
      </c>
      <c r="G160" s="23">
        <f ca="1">'Landscape Trees '!H18</f>
        <v>0</v>
      </c>
      <c r="H160" s="26">
        <f ca="1">'Landscape Trees '!I18</f>
        <v>110</v>
      </c>
    </row>
    <row r="161" spans="1:8" ht="12.75">
      <c r="A161" s="23" t="str">
        <f ca="1">'Landscape Trees '!A19</f>
        <v>Acer tataricum 'Hot Wings'</v>
      </c>
      <c r="B161" s="23" t="str">
        <f ca="1">'Landscape Trees '!C19</f>
        <v>Hot Wings Maple</v>
      </c>
      <c r="C161" s="23" t="str">
        <f ca="1">'Landscape Trees '!D19</f>
        <v>#25</v>
      </c>
      <c r="D161" s="24" t="str">
        <f ca="1">'Landscape Trees '!E19</f>
        <v>1-1.5"</v>
      </c>
      <c r="E161" s="23" t="str">
        <f ca="1">'Landscape Trees '!F19</f>
        <v>8-11'</v>
      </c>
      <c r="F161" s="25">
        <f ca="1">'Landscape Trees '!G19</f>
        <v>5</v>
      </c>
      <c r="G161" s="23">
        <f ca="1">'Landscape Trees '!H19</f>
        <v>0</v>
      </c>
      <c r="H161" s="26">
        <f ca="1">'Landscape Trees '!I19</f>
        <v>135</v>
      </c>
    </row>
    <row r="162" spans="1:8" ht="12.75">
      <c r="A162" s="23" t="str">
        <f ca="1">'Landscape Trees '!A20</f>
        <v>Acer x freemanii</v>
      </c>
      <c r="B162" s="23" t="str">
        <f ca="1">'Landscape Trees '!C20</f>
        <v>Autumn Blaze Maple</v>
      </c>
      <c r="C162" s="23" t="str">
        <f ca="1">'Landscape Trees '!D20</f>
        <v>#5</v>
      </c>
      <c r="D162" s="24" t="str">
        <f ca="1">'Landscape Trees '!E20</f>
        <v>0.38-0.25"</v>
      </c>
      <c r="E162" s="23" t="str">
        <f ca="1">'Landscape Trees '!F20</f>
        <v>1-2'</v>
      </c>
      <c r="F162" s="25">
        <f ca="1">'Landscape Trees '!G20</f>
        <v>0</v>
      </c>
      <c r="G162" s="23">
        <f ca="1">'Landscape Trees '!H20</f>
        <v>25</v>
      </c>
      <c r="H162" s="26">
        <f ca="1">'Landscape Trees '!I20</f>
        <v>35</v>
      </c>
    </row>
    <row r="163" spans="1:8" ht="12.75">
      <c r="A163" s="23" t="str">
        <f ca="1">'Landscape Trees '!A21</f>
        <v>Acer x freemanii</v>
      </c>
      <c r="B163" s="23" t="str">
        <f ca="1">'Landscape Trees '!C21</f>
        <v>Autumn Blaze Maple</v>
      </c>
      <c r="C163" s="23" t="str">
        <f ca="1">'Landscape Trees '!D21</f>
        <v>#10</v>
      </c>
      <c r="D163" s="24" t="str">
        <f ca="1">'Landscape Trees '!E21</f>
        <v>0.75-1.5"</v>
      </c>
      <c r="E163" s="23" t="str">
        <f ca="1">'Landscape Trees '!F21</f>
        <v>6-9'</v>
      </c>
      <c r="F163" s="25">
        <f ca="1">'Landscape Trees '!G21</f>
        <v>1</v>
      </c>
      <c r="G163" s="23">
        <f ca="1">'Landscape Trees '!H21</f>
        <v>15</v>
      </c>
      <c r="H163" s="26">
        <f ca="1">'Landscape Trees '!I21</f>
        <v>80</v>
      </c>
    </row>
    <row r="164" spans="1:8" ht="12.75">
      <c r="A164" s="23" t="str">
        <f ca="1">'Landscape Trees '!A22</f>
        <v>Aesculus carnea 'Ft. McNair'</v>
      </c>
      <c r="B164" s="23" t="str">
        <f ca="1">'Landscape Trees '!C22</f>
        <v>Ft. McNair Horsechestnut</v>
      </c>
      <c r="C164" s="23" t="str">
        <f ca="1">'Landscape Trees '!D22</f>
        <v>#15</v>
      </c>
      <c r="D164" s="24" t="str">
        <f ca="1">'Landscape Trees '!E22</f>
        <v>1.25-1.5"</v>
      </c>
      <c r="E164" s="23" t="str">
        <f ca="1">'Landscape Trees '!F22</f>
        <v>8-9'</v>
      </c>
      <c r="F164" s="25">
        <f ca="1">'Landscape Trees '!G22</f>
        <v>1</v>
      </c>
      <c r="G164" s="23">
        <f ca="1">'Landscape Trees '!H22</f>
        <v>0</v>
      </c>
      <c r="H164" s="26">
        <f ca="1">'Landscape Trees '!I22</f>
        <v>135</v>
      </c>
    </row>
    <row r="165" spans="1:8" ht="12.75">
      <c r="A165" s="23" t="str">
        <f ca="1">'Landscape Trees '!A23</f>
        <v>Aesculus carnea 'Ft. McNair'</v>
      </c>
      <c r="B165" s="23" t="str">
        <f ca="1">'Landscape Trees '!C23</f>
        <v>Ft. McNair Horsechestnut</v>
      </c>
      <c r="C165" s="23" t="str">
        <f ca="1">'Landscape Trees '!D23</f>
        <v>#25</v>
      </c>
      <c r="D165" s="24" t="str">
        <f ca="1">'Landscape Trees '!E23</f>
        <v>1.25-1.5"</v>
      </c>
      <c r="E165" s="23" t="str">
        <f ca="1">'Landscape Trees '!F23</f>
        <v>8-9'</v>
      </c>
      <c r="F165" s="25">
        <f ca="1">'Landscape Trees '!G23</f>
        <v>1</v>
      </c>
      <c r="G165" s="23">
        <f ca="1">'Landscape Trees '!H23</f>
        <v>0</v>
      </c>
      <c r="H165" s="26">
        <f ca="1">'Landscape Trees '!I23</f>
        <v>150</v>
      </c>
    </row>
    <row r="166" spans="1:8" ht="12.75">
      <c r="A166" s="23" t="str">
        <f ca="1">'Landscape Trees '!A24</f>
        <v>Aesculus hippocastanum</v>
      </c>
      <c r="B166" s="23" t="str">
        <f ca="1">'Landscape Trees '!C24</f>
        <v>European Horsechestnut</v>
      </c>
      <c r="C166" s="23" t="str">
        <f ca="1">'Landscape Trees '!D24</f>
        <v>#5</v>
      </c>
      <c r="D166" s="24" t="str">
        <f ca="1">'Landscape Trees '!E24</f>
        <v>1-1.25"</v>
      </c>
      <c r="E166" s="23" t="str">
        <f ca="1">'Landscape Trees '!F24</f>
        <v>4-5'</v>
      </c>
      <c r="F166" s="25">
        <f ca="1">'Landscape Trees '!G24</f>
        <v>27</v>
      </c>
      <c r="G166" s="23">
        <f ca="1">'Landscape Trees '!H24</f>
        <v>0</v>
      </c>
      <c r="H166" s="26">
        <f ca="1">'Landscape Trees '!I24</f>
        <v>40</v>
      </c>
    </row>
    <row r="167" spans="1:8" ht="12.75">
      <c r="A167" s="23" t="str">
        <f ca="1">'Landscape Trees '!A25</f>
        <v>Aesculus parviflora</v>
      </c>
      <c r="B167" s="23" t="str">
        <f ca="1">'Landscape Trees '!C25</f>
        <v>Bottlebrush Buckeye</v>
      </c>
      <c r="C167" s="23" t="str">
        <f ca="1">'Landscape Trees '!D25</f>
        <v>#5</v>
      </c>
      <c r="D167" s="24" t="str">
        <f ca="1">'Landscape Trees '!E25</f>
        <v>0.25-0.25"</v>
      </c>
      <c r="E167" s="23" t="str">
        <f ca="1">'Landscape Trees '!F25</f>
        <v>1-2'</v>
      </c>
      <c r="F167" s="25">
        <f ca="1">'Landscape Trees '!G25</f>
        <v>8</v>
      </c>
      <c r="G167" s="23">
        <f ca="1">'Landscape Trees '!H25</f>
        <v>100</v>
      </c>
      <c r="H167" s="26">
        <f ca="1">'Landscape Trees '!I25</f>
        <v>50</v>
      </c>
    </row>
    <row r="168" spans="1:8" ht="12.75">
      <c r="A168" s="23" t="str">
        <f ca="1">'Landscape Trees '!A26</f>
        <v>Aesculus parviflora</v>
      </c>
      <c r="B168" s="23" t="str">
        <f ca="1">'Landscape Trees '!C26</f>
        <v>Bottlebrush Buckeye</v>
      </c>
      <c r="C168" s="23" t="str">
        <f ca="1">'Landscape Trees '!D26</f>
        <v>#5</v>
      </c>
      <c r="D168" s="24" t="str">
        <f ca="1">'Landscape Trees '!E26</f>
        <v>0.38-0.25"</v>
      </c>
      <c r="E168" s="23" t="str">
        <f ca="1">'Landscape Trees '!F26</f>
        <v>1-2'</v>
      </c>
      <c r="F168" s="25">
        <f ca="1">'Landscape Trees '!G26</f>
        <v>0</v>
      </c>
      <c r="G168" s="23">
        <f ca="1">'Landscape Trees '!H26</f>
        <v>100</v>
      </c>
      <c r="H168" s="26">
        <f ca="1">'Landscape Trees '!I26</f>
        <v>50</v>
      </c>
    </row>
    <row r="169" spans="1:8" ht="12.75">
      <c r="A169" s="23" t="str">
        <f ca="1">'Landscape Trees '!A27</f>
        <v>Aesculus parviflora</v>
      </c>
      <c r="B169" s="23" t="str">
        <f ca="1">'Landscape Trees '!C27</f>
        <v>Bottlebrush Buckeye</v>
      </c>
      <c r="C169" s="23" t="str">
        <f ca="1">'Landscape Trees '!D27</f>
        <v>#7p</v>
      </c>
      <c r="D169" s="24" t="str">
        <f ca="1">'Landscape Trees '!E27</f>
        <v>0.5-0.75"</v>
      </c>
      <c r="E169" s="23" t="str">
        <f ca="1">'Landscape Trees '!F27</f>
        <v>4-5'</v>
      </c>
      <c r="F169" s="25">
        <f ca="1">'Landscape Trees '!G27</f>
        <v>0</v>
      </c>
      <c r="G169" s="23">
        <f ca="1">'Landscape Trees '!H27</f>
        <v>10</v>
      </c>
      <c r="H169" s="26">
        <f ca="1">'Landscape Trees '!I27</f>
        <v>60</v>
      </c>
    </row>
    <row r="170" spans="1:8" ht="12.75">
      <c r="A170" s="23" t="str">
        <f ca="1">'Landscape Trees '!A28</f>
        <v>Aesculus pavia</v>
      </c>
      <c r="B170" s="23" t="str">
        <f ca="1">'Landscape Trees '!C28</f>
        <v>Red Buckeye</v>
      </c>
      <c r="C170" s="23" t="str">
        <f ca="1">'Landscape Trees '!D28</f>
        <v>#5</v>
      </c>
      <c r="D170" s="24" t="str">
        <f ca="1">'Landscape Trees '!E28</f>
        <v>0.25-0.5"</v>
      </c>
      <c r="E170" s="23" t="str">
        <f ca="1">'Landscape Trees '!F28</f>
        <v>1-3'</v>
      </c>
      <c r="F170" s="25">
        <f ca="1">'Landscape Trees '!G28</f>
        <v>6</v>
      </c>
      <c r="G170" s="23">
        <f ca="1">'Landscape Trees '!H28</f>
        <v>50</v>
      </c>
      <c r="H170" s="26">
        <f ca="1">'Landscape Trees '!I28</f>
        <v>45</v>
      </c>
    </row>
    <row r="171" spans="1:8" ht="12.75">
      <c r="A171" s="23" t="str">
        <f ca="1">'Landscape Trees '!A29</f>
        <v>Albizia julibrissin 'E.H.Wilson'</v>
      </c>
      <c r="B171" s="23" t="str">
        <f ca="1">'Landscape Trees '!C29</f>
        <v>Cold Hardy Mimosa</v>
      </c>
      <c r="C171" s="23" t="str">
        <f ca="1">'Landscape Trees '!D29</f>
        <v>#5</v>
      </c>
      <c r="D171" s="27" t="str">
        <f ca="1">'Landscape Trees '!E29</f>
        <v>Multi</v>
      </c>
      <c r="E171" s="23" t="str">
        <f ca="1">'Landscape Trees '!F29</f>
        <v>3-4'</v>
      </c>
      <c r="F171" s="25">
        <f ca="1">'Landscape Trees '!G29</f>
        <v>17</v>
      </c>
      <c r="G171" s="23">
        <f ca="1">'Landscape Trees '!H29</f>
        <v>0</v>
      </c>
      <c r="H171" s="26">
        <f ca="1">'Landscape Trees '!I29</f>
        <v>35</v>
      </c>
    </row>
    <row r="172" spans="1:8" ht="12.75">
      <c r="A172" s="23" t="str">
        <f ca="1">'Landscape Trees '!A30</f>
        <v>Amelanchier canadensis</v>
      </c>
      <c r="B172" s="23" t="str">
        <f ca="1">'Landscape Trees '!C30</f>
        <v>Canadensis Serviceberry</v>
      </c>
      <c r="C172" s="23" t="str">
        <f ca="1">'Landscape Trees '!D30</f>
        <v>#15</v>
      </c>
      <c r="D172" s="27" t="str">
        <f ca="1">'Landscape Trees '!E30</f>
        <v>Multi</v>
      </c>
      <c r="E172" s="23" t="str">
        <f ca="1">'Landscape Trees '!F30</f>
        <v>6-7'</v>
      </c>
      <c r="F172" s="25">
        <f ca="1">'Landscape Trees '!G30</f>
        <v>10</v>
      </c>
      <c r="G172" s="23">
        <f ca="1">'Landscape Trees '!H30</f>
        <v>0</v>
      </c>
      <c r="H172" s="26">
        <f ca="1">'Landscape Trees '!I30</f>
        <v>110</v>
      </c>
    </row>
    <row r="173" spans="1:8" ht="12.75">
      <c r="A173" s="23" t="str">
        <f ca="1">'Landscape Trees '!A31</f>
        <v>Amelanchier grandiflora 'Autumn Brilliance'</v>
      </c>
      <c r="B173" s="23" t="str">
        <f ca="1">'Landscape Trees '!C31</f>
        <v>Autumn Brillance Serviceberry</v>
      </c>
      <c r="C173" s="23" t="str">
        <f ca="1">'Landscape Trees '!D31</f>
        <v>#5</v>
      </c>
      <c r="D173" s="24" t="str">
        <f ca="1">'Landscape Trees '!E31</f>
        <v>0.25-0.5"</v>
      </c>
      <c r="E173" s="23" t="str">
        <f ca="1">'Landscape Trees '!F31</f>
        <v>5-6'</v>
      </c>
      <c r="F173" s="25">
        <f ca="1">'Landscape Trees '!G31</f>
        <v>0</v>
      </c>
      <c r="G173" s="23">
        <f ca="1">'Landscape Trees '!H31</f>
        <v>50</v>
      </c>
      <c r="H173" s="26">
        <f ca="1">'Landscape Trees '!I31</f>
        <v>35</v>
      </c>
    </row>
    <row r="174" spans="1:8" ht="12.75">
      <c r="A174" s="23" t="str">
        <f ca="1">'Landscape Trees '!A32</f>
        <v>Amelanchier laevis</v>
      </c>
      <c r="B174" s="23" t="str">
        <f ca="1">'Landscape Trees '!C32</f>
        <v>Allegheny Serviceberry</v>
      </c>
      <c r="C174" s="23" t="str">
        <f ca="1">'Landscape Trees '!D32</f>
        <v>#5</v>
      </c>
      <c r="D174" s="24" t="str">
        <f ca="1">'Landscape Trees '!E32</f>
        <v>0.25-0.75"</v>
      </c>
      <c r="E174" s="23" t="str">
        <f ca="1">'Landscape Trees '!F32</f>
        <v>5-7'</v>
      </c>
      <c r="F174" s="25">
        <f ca="1">'Landscape Trees '!G32</f>
        <v>92</v>
      </c>
      <c r="G174" s="23">
        <f ca="1">'Landscape Trees '!H32</f>
        <v>0</v>
      </c>
      <c r="H174" s="26">
        <f ca="1">'Landscape Trees '!I32</f>
        <v>35</v>
      </c>
    </row>
    <row r="175" spans="1:8" ht="12.75">
      <c r="A175" s="23" t="str">
        <f ca="1">'Landscape Trees '!A33</f>
        <v>Amelanchier lamarckii</v>
      </c>
      <c r="B175" s="23" t="str">
        <f ca="1">'Landscape Trees '!C33</f>
        <v>Lamarckii Serviceberry</v>
      </c>
      <c r="C175" s="23" t="str">
        <f ca="1">'Landscape Trees '!D33</f>
        <v>#5</v>
      </c>
      <c r="D175" s="24" t="str">
        <f ca="1">'Landscape Trees '!E33</f>
        <v>0.125-0.125"</v>
      </c>
      <c r="E175" s="23" t="str">
        <f ca="1">'Landscape Trees '!F33</f>
        <v>2-8'</v>
      </c>
      <c r="F175" s="25">
        <f ca="1">'Landscape Trees '!G33</f>
        <v>55</v>
      </c>
      <c r="G175" s="23">
        <f ca="1">'Landscape Trees '!H33</f>
        <v>0</v>
      </c>
      <c r="H175" s="26">
        <f ca="1">'Landscape Trees '!I33</f>
        <v>35</v>
      </c>
    </row>
    <row r="176" spans="1:8" ht="12.75">
      <c r="A176" s="23" t="str">
        <f ca="1">'Landscape Trees '!A34</f>
        <v>Amelanchier lamarckii</v>
      </c>
      <c r="B176" s="23" t="str">
        <f ca="1">'Landscape Trees '!C34</f>
        <v>Lamarckii Serviceberry</v>
      </c>
      <c r="C176" s="23" t="str">
        <f ca="1">'Landscape Trees '!D34</f>
        <v>#5</v>
      </c>
      <c r="D176" s="24" t="str">
        <f ca="1">'Landscape Trees '!E34</f>
        <v>Multi</v>
      </c>
      <c r="E176" s="23" t="str">
        <f ca="1">'Landscape Trees '!F34</f>
        <v>2-8'</v>
      </c>
      <c r="F176" s="25">
        <f ca="1">'Landscape Trees '!G34</f>
        <v>168</v>
      </c>
      <c r="G176" s="23">
        <f ca="1">'Landscape Trees '!H34</f>
        <v>0</v>
      </c>
      <c r="H176" s="26">
        <f ca="1">'Landscape Trees '!I34</f>
        <v>35</v>
      </c>
    </row>
    <row r="177" spans="1:8" ht="12.75">
      <c r="A177" s="23" t="str">
        <f ca="1">'Landscape Trees '!A35</f>
        <v>Aronia melanocarpa</v>
      </c>
      <c r="B177" s="23" t="str">
        <f ca="1">'Landscape Trees '!C35</f>
        <v>Black Chokeberry</v>
      </c>
      <c r="C177" s="23" t="str">
        <f ca="1">'Landscape Trees '!D35</f>
        <v>#5</v>
      </c>
      <c r="D177" s="24" t="str">
        <f ca="1">'Landscape Trees '!E35</f>
        <v>Multi</v>
      </c>
      <c r="E177" s="23" t="str">
        <f ca="1">'Landscape Trees '!F35</f>
        <v>3-4'</v>
      </c>
      <c r="F177" s="25">
        <f ca="1">'Landscape Trees '!G35</f>
        <v>29</v>
      </c>
      <c r="G177" s="23">
        <f ca="1">'Landscape Trees '!H35</f>
        <v>100</v>
      </c>
      <c r="H177" s="26">
        <f ca="1">'Landscape Trees '!I35</f>
        <v>30</v>
      </c>
    </row>
    <row r="178" spans="1:8" ht="12.75">
      <c r="A178" s="23" t="str">
        <f ca="1">'Landscape Trees '!A36</f>
        <v>Aronia melanocarpa 'Viking'</v>
      </c>
      <c r="B178" s="23" t="str">
        <f ca="1">'Landscape Trees '!C36</f>
        <v>Viking Black Chokeberry</v>
      </c>
      <c r="C178" s="23" t="str">
        <f ca="1">'Landscape Trees '!D36</f>
        <v>#5</v>
      </c>
      <c r="D178" s="24" t="str">
        <f ca="1">'Landscape Trees '!E36</f>
        <v>Multi</v>
      </c>
      <c r="E178" s="23" t="str">
        <f ca="1">'Landscape Trees '!F36</f>
        <v>1-2'</v>
      </c>
      <c r="F178" s="25">
        <f ca="1">'Landscape Trees '!G36</f>
        <v>0</v>
      </c>
      <c r="G178" s="23">
        <f ca="1">'Landscape Trees '!H36</f>
        <v>72</v>
      </c>
      <c r="H178" s="26">
        <f ca="1">'Landscape Trees '!I36</f>
        <v>30</v>
      </c>
    </row>
    <row r="179" spans="1:8" ht="12.75">
      <c r="A179" s="23" t="str">
        <f ca="1">'Landscape Trees '!A37</f>
        <v>Asimina triloba</v>
      </c>
      <c r="B179" s="23" t="str">
        <f ca="1">'Landscape Trees '!C37</f>
        <v>Pawpaw</v>
      </c>
      <c r="C179" s="23" t="str">
        <f ca="1">'Landscape Trees '!D37</f>
        <v>#5</v>
      </c>
      <c r="D179" s="24" t="str">
        <f ca="1">'Landscape Trees '!E37</f>
        <v>0.375-0.5"</v>
      </c>
      <c r="E179" s="23" t="str">
        <f ca="1">'Landscape Trees '!F37</f>
        <v>0.5-1'</v>
      </c>
      <c r="F179" s="25">
        <f ca="1">'Landscape Trees '!G37</f>
        <v>1</v>
      </c>
      <c r="G179" s="23">
        <f ca="1">'Landscape Trees '!H37</f>
        <v>200</v>
      </c>
      <c r="H179" s="26">
        <f ca="1">'Landscape Trees '!I37</f>
        <v>35</v>
      </c>
    </row>
    <row r="180" spans="1:8" ht="12.75">
      <c r="A180" s="23" t="str">
        <f ca="1">'Landscape Trees '!A38</f>
        <v>Betula nigra</v>
      </c>
      <c r="B180" s="23" t="str">
        <f ca="1">'Landscape Trees '!C38</f>
        <v>River Birch</v>
      </c>
      <c r="C180" s="23" t="str">
        <f ca="1">'Landscape Trees '!D38</f>
        <v>#5</v>
      </c>
      <c r="D180" s="24" t="str">
        <f ca="1">'Landscape Trees '!E38</f>
        <v>1-1.25"</v>
      </c>
      <c r="E180" s="23" t="str">
        <f ca="1">'Landscape Trees '!F38</f>
        <v>5-8'</v>
      </c>
      <c r="F180" s="25">
        <f ca="1">'Landscape Trees '!G38</f>
        <v>8</v>
      </c>
      <c r="G180" s="23">
        <f ca="1">'Landscape Trees '!H38</f>
        <v>200</v>
      </c>
      <c r="H180" s="26">
        <f ca="1">'Landscape Trees '!I38</f>
        <v>35</v>
      </c>
    </row>
    <row r="181" spans="1:8" ht="12.75">
      <c r="A181" s="23" t="str">
        <f ca="1">'Landscape Trees '!A39</f>
        <v>Betula nigra</v>
      </c>
      <c r="B181" s="23" t="str">
        <f ca="1">'Landscape Trees '!C39</f>
        <v>River Birch</v>
      </c>
      <c r="C181" s="23" t="str">
        <f ca="1">'Landscape Trees '!D39</f>
        <v>#7</v>
      </c>
      <c r="D181" s="24" t="str">
        <f ca="1">'Landscape Trees '!E39</f>
        <v>0.25-0.5"</v>
      </c>
      <c r="E181" s="23" t="str">
        <f ca="1">'Landscape Trees '!F39</f>
        <v>4-5'</v>
      </c>
      <c r="F181" s="25">
        <f ca="1">'Landscape Trees '!G39</f>
        <v>101</v>
      </c>
      <c r="G181" s="23">
        <f ca="1">'Landscape Trees '!H39</f>
        <v>0</v>
      </c>
      <c r="H181" s="26">
        <f ca="1">'Landscape Trees '!I39</f>
        <v>40</v>
      </c>
    </row>
    <row r="182" spans="1:8" ht="12.75">
      <c r="A182" s="23" t="str">
        <f ca="1">'Landscape Trees '!A40</f>
        <v>Betula nigra</v>
      </c>
      <c r="B182" s="23" t="str">
        <f ca="1">'Landscape Trees '!C40</f>
        <v>River Birch</v>
      </c>
      <c r="C182" s="23" t="str">
        <f ca="1">'Landscape Trees '!D40</f>
        <v>#15</v>
      </c>
      <c r="D182" s="27" t="str">
        <f ca="1">'Landscape Trees '!E40</f>
        <v>Multi</v>
      </c>
      <c r="E182" s="23" t="str">
        <f ca="1">'Landscape Trees '!F40</f>
        <v>3-11'</v>
      </c>
      <c r="F182" s="25">
        <f ca="1">'Landscape Trees '!G40</f>
        <v>20</v>
      </c>
      <c r="G182" s="23">
        <f ca="1">'Landscape Trees '!H40</f>
        <v>10</v>
      </c>
      <c r="H182" s="26">
        <f ca="1">'Landscape Trees '!I40</f>
        <v>110</v>
      </c>
    </row>
    <row r="183" spans="1:8" ht="12.75">
      <c r="A183" s="23" t="str">
        <f ca="1">'Landscape Trees '!A41</f>
        <v>Betula papyrifera</v>
      </c>
      <c r="B183" s="23" t="str">
        <f ca="1">'Landscape Trees '!C41</f>
        <v>Paper Birch</v>
      </c>
      <c r="C183" s="23" t="str">
        <f ca="1">'Landscape Trees '!D41</f>
        <v>#5</v>
      </c>
      <c r="D183" s="24" t="str">
        <f ca="1">'Landscape Trees '!E41</f>
        <v>0.38-0.25"</v>
      </c>
      <c r="E183" s="23" t="str">
        <f ca="1">'Landscape Trees '!F41</f>
        <v>1-2'</v>
      </c>
      <c r="F183" s="25">
        <f ca="1">'Landscape Trees '!G41</f>
        <v>0</v>
      </c>
      <c r="G183" s="23">
        <f ca="1">'Landscape Trees '!H41</f>
        <v>50</v>
      </c>
      <c r="H183" s="26">
        <f ca="1">'Landscape Trees '!I41</f>
        <v>35</v>
      </c>
    </row>
    <row r="184" spans="1:8" ht="12.75">
      <c r="A184" s="23" t="str">
        <f ca="1">'Landscape Trees '!A42</f>
        <v>Betula pendula</v>
      </c>
      <c r="B184" s="23" t="str">
        <f ca="1">'Landscape Trees '!C42</f>
        <v>European Silver Birch</v>
      </c>
      <c r="C184" s="23" t="str">
        <f ca="1">'Landscape Trees '!D42</f>
        <v>#5</v>
      </c>
      <c r="D184" s="24" t="str">
        <f ca="1">'Landscape Trees '!E42</f>
        <v>1-1.25"</v>
      </c>
      <c r="E184" s="23" t="str">
        <f ca="1">'Landscape Trees '!F42</f>
        <v>9-13'</v>
      </c>
      <c r="F184" s="25">
        <f ca="1">'Landscape Trees '!G42</f>
        <v>11</v>
      </c>
      <c r="G184" s="23">
        <f ca="1">'Landscape Trees '!H42</f>
        <v>0</v>
      </c>
      <c r="H184" s="26">
        <f ca="1">'Landscape Trees '!I42</f>
        <v>35</v>
      </c>
    </row>
    <row r="185" spans="1:8" ht="12.75">
      <c r="A185" s="23" t="str">
        <f ca="1">'Landscape Trees '!A43</f>
        <v>Betula populifolia</v>
      </c>
      <c r="B185" s="23" t="str">
        <f ca="1">'Landscape Trees '!C43</f>
        <v>Gray Birch</v>
      </c>
      <c r="C185" s="23" t="str">
        <f ca="1">'Landscape Trees '!D43</f>
        <v>#5</v>
      </c>
      <c r="D185" s="24" t="str">
        <f ca="1">'Landscape Trees '!E43</f>
        <v>0.5-1.5"</v>
      </c>
      <c r="E185" s="23" t="str">
        <f ca="1">'Landscape Trees '!F43</f>
        <v>4-14'</v>
      </c>
      <c r="F185" s="25">
        <f ca="1">'Landscape Trees '!G43</f>
        <v>65</v>
      </c>
      <c r="G185" s="23">
        <f ca="1">'Landscape Trees '!H43</f>
        <v>0</v>
      </c>
      <c r="H185" s="26">
        <f ca="1">'Landscape Trees '!I43</f>
        <v>35</v>
      </c>
    </row>
    <row r="186" spans="1:8" ht="12.75">
      <c r="A186" s="23" t="str">
        <f ca="1">'Landscape Trees '!A44</f>
        <v>Calycanthus floridus</v>
      </c>
      <c r="B186" s="23" t="str">
        <f ca="1">'Landscape Trees '!C44</f>
        <v>Carolina Allspice</v>
      </c>
      <c r="C186" s="23" t="str">
        <f ca="1">'Landscape Trees '!D44</f>
        <v>#5</v>
      </c>
      <c r="D186" s="24" t="str">
        <f ca="1">'Landscape Trees '!E44</f>
        <v>Multi</v>
      </c>
      <c r="E186" s="23" t="str">
        <f ca="1">'Landscape Trees '!F44</f>
        <v>1-3'</v>
      </c>
      <c r="F186" s="25">
        <f ca="1">'Landscape Trees '!G44</f>
        <v>24</v>
      </c>
      <c r="G186" s="23">
        <f ca="1">'Landscape Trees '!H44</f>
        <v>0</v>
      </c>
      <c r="H186" s="26">
        <f ca="1">'Landscape Trees '!I44</f>
        <v>30</v>
      </c>
    </row>
    <row r="187" spans="1:8" ht="12.75">
      <c r="A187" s="23" t="str">
        <f ca="1">'Landscape Trees '!A45</f>
        <v>Carpinus betulus</v>
      </c>
      <c r="B187" s="23" t="str">
        <f ca="1">'Landscape Trees '!C45</f>
        <v>European Hornbeam</v>
      </c>
      <c r="C187" s="23" t="str">
        <f ca="1">'Landscape Trees '!D45</f>
        <v>#7</v>
      </c>
      <c r="D187" s="24" t="str">
        <f ca="1">'Landscape Trees '!E45</f>
        <v>1-1.5"</v>
      </c>
      <c r="E187" s="23" t="str">
        <f ca="1">'Landscape Trees '!F45</f>
        <v>5-10'</v>
      </c>
      <c r="F187" s="25">
        <f ca="1">'Landscape Trees '!G45</f>
        <v>17</v>
      </c>
      <c r="G187" s="23">
        <f ca="1">'Landscape Trees '!H45</f>
        <v>0</v>
      </c>
      <c r="H187" s="26">
        <f ca="1">'Landscape Trees '!I45</f>
        <v>65</v>
      </c>
    </row>
    <row r="188" spans="1:8" ht="12.75">
      <c r="A188" s="23" t="str">
        <f ca="1">'Landscape Trees '!A46</f>
        <v>Carpinus betulus 'Fastigiata'</v>
      </c>
      <c r="B188" s="23" t="str">
        <f ca="1">'Landscape Trees '!C46</f>
        <v>Pyramidal Hornbeam</v>
      </c>
      <c r="C188" s="23" t="str">
        <f ca="1">'Landscape Trees '!D46</f>
        <v>#15</v>
      </c>
      <c r="D188" s="24" t="str">
        <f ca="1">'Landscape Trees '!E46</f>
        <v>0.75-1"</v>
      </c>
      <c r="E188" s="23" t="str">
        <f ca="1">'Landscape Trees '!F46</f>
        <v>6-8'</v>
      </c>
      <c r="F188" s="25">
        <f ca="1">'Landscape Trees '!G46</f>
        <v>10</v>
      </c>
      <c r="G188" s="23">
        <f ca="1">'Landscape Trees '!H46</f>
        <v>0</v>
      </c>
      <c r="H188" s="26">
        <f ca="1">'Landscape Trees '!I46</f>
        <v>110</v>
      </c>
    </row>
    <row r="189" spans="1:8" ht="12.75">
      <c r="A189" s="23" t="str">
        <f ca="1">'Landscape Trees '!A47</f>
        <v>Carpinus betulus 'Frans Fontaine'</v>
      </c>
      <c r="B189" s="23" t="str">
        <f ca="1">'Landscape Trees '!C47</f>
        <v>Frans Fontaine European Hornbeam</v>
      </c>
      <c r="C189" s="23" t="str">
        <f ca="1">'Landscape Trees '!D47</f>
        <v>#10</v>
      </c>
      <c r="D189" s="24" t="str">
        <f ca="1">'Landscape Trees '!E47</f>
        <v>1.5-1.5"</v>
      </c>
      <c r="E189" s="23" t="str">
        <f ca="1">'Landscape Trees '!F47</f>
        <v>7-7'</v>
      </c>
      <c r="F189" s="25">
        <f ca="1">'Landscape Trees '!G47</f>
        <v>1</v>
      </c>
      <c r="G189" s="23">
        <f ca="1">'Landscape Trees '!H47</f>
        <v>0</v>
      </c>
      <c r="H189" s="26">
        <f ca="1">'Landscape Trees '!I47</f>
        <v>80</v>
      </c>
    </row>
    <row r="190" spans="1:8" ht="12.75">
      <c r="A190" s="23" t="str">
        <f ca="1">'Landscape Trees '!A48</f>
        <v>Carpinus caroliniana</v>
      </c>
      <c r="B190" s="23" t="str">
        <f ca="1">'Landscape Trees '!C48</f>
        <v>American Hornbeam</v>
      </c>
      <c r="C190" s="23" t="str">
        <f ca="1">'Landscape Trees '!D48</f>
        <v>#5</v>
      </c>
      <c r="D190" s="24" t="str">
        <f ca="1">'Landscape Trees '!E48</f>
        <v>0.5-0.75"</v>
      </c>
      <c r="E190" s="23" t="str">
        <f ca="1">'Landscape Trees '!F48</f>
        <v>4-6'</v>
      </c>
      <c r="F190" s="25">
        <f ca="1">'Landscape Trees '!G48</f>
        <v>272</v>
      </c>
      <c r="G190" s="23">
        <f ca="1">'Landscape Trees '!H48</f>
        <v>225</v>
      </c>
      <c r="H190" s="26">
        <f ca="1">'Landscape Trees '!I48</f>
        <v>35</v>
      </c>
    </row>
    <row r="191" spans="1:8" ht="12.75">
      <c r="A191" s="23" t="str">
        <f ca="1">'Landscape Trees '!A49</f>
        <v>Carpinus caroliniana</v>
      </c>
      <c r="B191" s="23" t="str">
        <f ca="1">'Landscape Trees '!C49</f>
        <v>American Hornbeam</v>
      </c>
      <c r="C191" s="23" t="str">
        <f ca="1">'Landscape Trees '!D49</f>
        <v>#7</v>
      </c>
      <c r="D191" s="24" t="str">
        <f ca="1">'Landscape Trees '!E49</f>
        <v>0.75-0.75"</v>
      </c>
      <c r="E191" s="23" t="str">
        <f ca="1">'Landscape Trees '!F49</f>
        <v>5-7'</v>
      </c>
      <c r="F191" s="25">
        <f ca="1">'Landscape Trees '!G49</f>
        <v>24</v>
      </c>
      <c r="G191" s="23">
        <f ca="1">'Landscape Trees '!H49</f>
        <v>0</v>
      </c>
      <c r="H191" s="26">
        <f ca="1">'Landscape Trees '!I49</f>
        <v>45</v>
      </c>
    </row>
    <row r="192" spans="1:8" ht="12.75">
      <c r="A192" s="23" t="str">
        <f ca="1">'Landscape Trees '!A50</f>
        <v>Carpinus caroliniana</v>
      </c>
      <c r="B192" s="23" t="str">
        <f ca="1">'Landscape Trees '!C50</f>
        <v>American Hornbeam</v>
      </c>
      <c r="C192" s="23" t="str">
        <f ca="1">'Landscape Trees '!D50</f>
        <v>#15</v>
      </c>
      <c r="D192" s="24" t="str">
        <f ca="1">'Landscape Trees '!E50</f>
        <v>1.25-1.5"</v>
      </c>
      <c r="E192" s="23" t="str">
        <f ca="1">'Landscape Trees '!F50</f>
        <v>8-11'</v>
      </c>
      <c r="F192" s="25">
        <f ca="1">'Landscape Trees '!G50</f>
        <v>2</v>
      </c>
      <c r="G192" s="23">
        <f ca="1">'Landscape Trees '!H50</f>
        <v>15</v>
      </c>
      <c r="H192" s="26">
        <f ca="1">'Landscape Trees '!I50</f>
        <v>110</v>
      </c>
    </row>
    <row r="193" spans="1:8" ht="12.75">
      <c r="A193" s="23" t="str">
        <f ca="1">'Landscape Trees '!A51</f>
        <v>Carya laciniosa</v>
      </c>
      <c r="B193" s="23" t="str">
        <f ca="1">'Landscape Trees '!C51</f>
        <v>Shellbark Hickory</v>
      </c>
      <c r="C193" s="23" t="str">
        <f ca="1">'Landscape Trees '!D51</f>
        <v>#5</v>
      </c>
      <c r="D193" s="24" t="str">
        <f ca="1">'Landscape Trees '!E51</f>
        <v>0.25-0.5"</v>
      </c>
      <c r="E193" s="23" t="str">
        <f ca="1">'Landscape Trees '!F51</f>
        <v>1.5-2.5'</v>
      </c>
      <c r="F193" s="25">
        <f ca="1">'Landscape Trees '!G51</f>
        <v>13</v>
      </c>
      <c r="G193" s="23">
        <f ca="1">'Landscape Trees '!H51</f>
        <v>0</v>
      </c>
      <c r="H193" s="26">
        <f ca="1">'Landscape Trees '!I51</f>
        <v>35</v>
      </c>
    </row>
    <row r="194" spans="1:8" ht="12.75">
      <c r="A194" s="23" t="str">
        <f ca="1">'Landscape Trees '!A52</f>
        <v>Catalpa bignonioides</v>
      </c>
      <c r="B194" s="23" t="str">
        <f ca="1">'Landscape Trees '!C52</f>
        <v>Southern Catalpa</v>
      </c>
      <c r="C194" s="23" t="str">
        <f ca="1">'Landscape Trees '!D52</f>
        <v>#5</v>
      </c>
      <c r="D194" s="24" t="str">
        <f ca="1">'Landscape Trees '!E52</f>
        <v>0.5-0.75"</v>
      </c>
      <c r="E194" s="23" t="str">
        <f ca="1">'Landscape Trees '!F52</f>
        <v>2-3'</v>
      </c>
      <c r="F194" s="25">
        <f ca="1">'Landscape Trees '!G52</f>
        <v>0</v>
      </c>
      <c r="G194" s="23">
        <f ca="1">'Landscape Trees '!H52</f>
        <v>25</v>
      </c>
      <c r="H194" s="26">
        <f ca="1">'Landscape Trees '!I52</f>
        <v>35</v>
      </c>
    </row>
    <row r="195" spans="1:8" ht="12.75">
      <c r="A195" s="23" t="str">
        <f ca="1">'Landscape Trees '!A53</f>
        <v>Catalpa speciosa</v>
      </c>
      <c r="B195" s="23" t="str">
        <f ca="1">'Landscape Trees '!C53</f>
        <v>Northern Catalpa</v>
      </c>
      <c r="C195" s="23" t="str">
        <f ca="1">'Landscape Trees '!D53</f>
        <v>#5</v>
      </c>
      <c r="D195" s="24" t="str">
        <f ca="1">'Landscape Trees '!E53</f>
        <v>1-1"</v>
      </c>
      <c r="E195" s="23" t="str">
        <f ca="1">'Landscape Trees '!F53</f>
        <v>4-5'</v>
      </c>
      <c r="F195" s="25">
        <f ca="1">'Landscape Trees '!G53</f>
        <v>40</v>
      </c>
      <c r="G195" s="23">
        <f ca="1">'Landscape Trees '!H53</f>
        <v>0</v>
      </c>
      <c r="H195" s="26">
        <f ca="1">'Landscape Trees '!I53</f>
        <v>35</v>
      </c>
    </row>
    <row r="196" spans="1:8" ht="12.75">
      <c r="A196" s="23" t="str">
        <f ca="1">'Landscape Trees '!A54</f>
        <v>Catalpa speciosa</v>
      </c>
      <c r="B196" s="23" t="str">
        <f ca="1">'Landscape Trees '!C54</f>
        <v>Northern Catalpa</v>
      </c>
      <c r="C196" s="23" t="str">
        <f ca="1">'Landscape Trees '!D54</f>
        <v>#15</v>
      </c>
      <c r="D196" s="24" t="str">
        <f ca="1">'Landscape Trees '!E54</f>
        <v>1.5-1.75"</v>
      </c>
      <c r="E196" s="23" t="str">
        <f ca="1">'Landscape Trees '!F54</f>
        <v>9-10'</v>
      </c>
      <c r="F196" s="25">
        <f ca="1">'Landscape Trees '!G54</f>
        <v>1</v>
      </c>
      <c r="G196" s="23">
        <f ca="1">'Landscape Trees '!H54</f>
        <v>0</v>
      </c>
      <c r="H196" s="26">
        <f ca="1">'Landscape Trees '!I54</f>
        <v>110</v>
      </c>
    </row>
    <row r="197" spans="1:8" ht="12.75">
      <c r="A197" s="23" t="str">
        <f ca="1">'Landscape Trees '!A55</f>
        <v>Catalpa speciosa</v>
      </c>
      <c r="B197" s="23" t="str">
        <f ca="1">'Landscape Trees '!C55</f>
        <v>Northern Catalpa</v>
      </c>
      <c r="C197" s="23" t="str">
        <f ca="1">'Landscape Trees '!D55</f>
        <v>#25</v>
      </c>
      <c r="D197" s="24" t="str">
        <f ca="1">'Landscape Trees '!E55</f>
        <v>1.5-1.75"</v>
      </c>
      <c r="E197" s="23" t="str">
        <f ca="1">'Landscape Trees '!F55</f>
        <v>9-10'</v>
      </c>
      <c r="F197" s="25">
        <f ca="1">'Landscape Trees '!G55</f>
        <v>4</v>
      </c>
      <c r="G197" s="23">
        <f ca="1">'Landscape Trees '!H55</f>
        <v>0</v>
      </c>
      <c r="H197" s="26">
        <f ca="1">'Landscape Trees '!I55</f>
        <v>135</v>
      </c>
    </row>
    <row r="198" spans="1:8" ht="12.75">
      <c r="A198" s="23" t="str">
        <f ca="1">'Landscape Trees '!A56</f>
        <v>Celtis occidentalis</v>
      </c>
      <c r="B198" s="23" t="str">
        <f ca="1">'Landscape Trees '!C56</f>
        <v>Hackberry</v>
      </c>
      <c r="C198" s="23" t="str">
        <f ca="1">'Landscape Trees '!D56</f>
        <v>#5</v>
      </c>
      <c r="D198" s="24" t="str">
        <f ca="1">'Landscape Trees '!E56</f>
        <v>0.25-0.25"</v>
      </c>
      <c r="E198" s="23" t="str">
        <f ca="1">'Landscape Trees '!F56</f>
        <v>2-4.5'</v>
      </c>
      <c r="F198" s="25">
        <f ca="1">'Landscape Trees '!G56</f>
        <v>140</v>
      </c>
      <c r="G198" s="23">
        <f ca="1">'Landscape Trees '!H56</f>
        <v>100</v>
      </c>
      <c r="H198" s="26">
        <f ca="1">'Landscape Trees '!I56</f>
        <v>35</v>
      </c>
    </row>
    <row r="199" spans="1:8" ht="12.75">
      <c r="A199" s="23" t="str">
        <f ca="1">'Landscape Trees '!A57</f>
        <v>Cephalanthus occidentalis</v>
      </c>
      <c r="B199" s="23" t="str">
        <f ca="1">'Landscape Trees '!C57</f>
        <v>ButtonBush</v>
      </c>
      <c r="C199" s="23" t="str">
        <f ca="1">'Landscape Trees '!D57</f>
        <v>#5</v>
      </c>
      <c r="D199" s="27" t="str">
        <f ca="1">'Landscape Trees '!E57</f>
        <v>Multi</v>
      </c>
      <c r="E199" s="23" t="str">
        <f ca="1">'Landscape Trees '!F57</f>
        <v>3-5'</v>
      </c>
      <c r="F199" s="25">
        <f ca="1">'Landscape Trees '!G57</f>
        <v>3</v>
      </c>
      <c r="G199" s="23">
        <f ca="1">'Landscape Trees '!H57</f>
        <v>50</v>
      </c>
      <c r="H199" s="26">
        <f ca="1">'Landscape Trees '!I57</f>
        <v>30</v>
      </c>
    </row>
    <row r="200" spans="1:8" ht="12.75">
      <c r="A200" s="23" t="str">
        <f ca="1">'Landscape Trees '!A58</f>
        <v>Cercis canadensis</v>
      </c>
      <c r="B200" s="23" t="str">
        <f ca="1">'Landscape Trees '!C58</f>
        <v>Eastern Redbud</v>
      </c>
      <c r="C200" s="23" t="str">
        <f ca="1">'Landscape Trees '!D58</f>
        <v>#5</v>
      </c>
      <c r="D200" s="24" t="str">
        <f ca="1">'Landscape Trees '!E58</f>
        <v>0.25-0.5"</v>
      </c>
      <c r="E200" s="23" t="str">
        <f ca="1">'Landscape Trees '!F58</f>
        <v>3-5'</v>
      </c>
      <c r="F200" s="25">
        <f ca="1">'Landscape Trees '!G58</f>
        <v>120</v>
      </c>
      <c r="G200" s="23">
        <f ca="1">'Landscape Trees '!H58</f>
        <v>300</v>
      </c>
      <c r="H200" s="26">
        <f ca="1">'Landscape Trees '!I58</f>
        <v>35</v>
      </c>
    </row>
    <row r="201" spans="1:8" ht="12.75">
      <c r="A201" s="23" t="str">
        <f ca="1">'Landscape Trees '!A59</f>
        <v>Cercis canadensis</v>
      </c>
      <c r="B201" s="23" t="str">
        <f ca="1">'Landscape Trees '!C59</f>
        <v>Eastern Redbud</v>
      </c>
      <c r="C201" s="23" t="str">
        <f ca="1">'Landscape Trees '!D59</f>
        <v>#7</v>
      </c>
      <c r="D201" s="24" t="str">
        <f ca="1">'Landscape Trees '!E59</f>
        <v>0.5-0.75"</v>
      </c>
      <c r="E201" s="23" t="str">
        <f ca="1">'Landscape Trees '!F59</f>
        <v>5-6'</v>
      </c>
      <c r="F201" s="25">
        <f ca="1">'Landscape Trees '!G59</f>
        <v>0</v>
      </c>
      <c r="G201" s="23">
        <f ca="1">'Landscape Trees '!H59</f>
        <v>100</v>
      </c>
      <c r="H201" s="26">
        <f ca="1">'Landscape Trees '!I59</f>
        <v>55</v>
      </c>
    </row>
    <row r="202" spans="1:8" ht="12.75">
      <c r="A202" s="23" t="str">
        <f ca="1">'Landscape Trees '!A60</f>
        <v>Cercis canadensis</v>
      </c>
      <c r="B202" s="23" t="str">
        <f ca="1">'Landscape Trees '!C60</f>
        <v>Eastern Redbud</v>
      </c>
      <c r="C202" s="23" t="str">
        <f ca="1">'Landscape Trees '!D60</f>
        <v>#10</v>
      </c>
      <c r="D202" s="24" t="str">
        <f ca="1">'Landscape Trees '!E60</f>
        <v>0.5-1.25"</v>
      </c>
      <c r="E202" s="23" t="str">
        <f ca="1">'Landscape Trees '!F60</f>
        <v>6-8'</v>
      </c>
      <c r="F202" s="25">
        <f ca="1">'Landscape Trees '!G60</f>
        <v>81</v>
      </c>
      <c r="G202" s="23">
        <f ca="1">'Landscape Trees '!H60</f>
        <v>0</v>
      </c>
      <c r="H202" s="26">
        <f ca="1">'Landscape Trees '!I60</f>
        <v>80</v>
      </c>
    </row>
    <row r="203" spans="1:8" ht="12.75">
      <c r="A203" s="23" t="str">
        <f ca="1">'Landscape Trees '!A61</f>
        <v>Cercis canadensis</v>
      </c>
      <c r="B203" s="23" t="str">
        <f ca="1">'Landscape Trees '!C61</f>
        <v>Eastern Redbud</v>
      </c>
      <c r="C203" s="23" t="str">
        <f ca="1">'Landscape Trees '!D61</f>
        <v>#15</v>
      </c>
      <c r="D203" s="24" t="str">
        <f ca="1">'Landscape Trees '!E61</f>
        <v>1-1.5"</v>
      </c>
      <c r="E203" s="23" t="str">
        <f ca="1">'Landscape Trees '!F61</f>
        <v>7-11'</v>
      </c>
      <c r="F203" s="25">
        <f ca="1">'Landscape Trees '!G61</f>
        <v>10</v>
      </c>
      <c r="G203" s="23">
        <f ca="1">'Landscape Trees '!H61</f>
        <v>25</v>
      </c>
      <c r="H203" s="26">
        <f ca="1">'Landscape Trees '!I61</f>
        <v>110</v>
      </c>
    </row>
    <row r="204" spans="1:8" ht="12.75">
      <c r="A204" s="23" t="str">
        <f ca="1">'Landscape Trees '!A62</f>
        <v>Cercis canadensis</v>
      </c>
      <c r="B204" s="23" t="str">
        <f ca="1">'Landscape Trees '!C62</f>
        <v>Eastern Redbud</v>
      </c>
      <c r="C204" s="23" t="str">
        <f ca="1">'Landscape Trees '!D62</f>
        <v>#25</v>
      </c>
      <c r="D204" s="24" t="str">
        <f ca="1">'Landscape Trees '!E62</f>
        <v>1-1.5"</v>
      </c>
      <c r="E204" s="23" t="str">
        <f ca="1">'Landscape Trees '!F62</f>
        <v>7-11'</v>
      </c>
      <c r="F204" s="25">
        <f ca="1">'Landscape Trees '!G62</f>
        <v>5</v>
      </c>
      <c r="G204" s="23">
        <f ca="1">'Landscape Trees '!H62</f>
        <v>0</v>
      </c>
      <c r="H204" s="26">
        <f ca="1">'Landscape Trees '!I62</f>
        <v>135</v>
      </c>
    </row>
    <row r="205" spans="1:8" ht="12.75">
      <c r="A205" s="23" t="str">
        <f ca="1">'Landscape Trees '!A63</f>
        <v>Cercis canadensis 'Appalachian Red'</v>
      </c>
      <c r="B205" s="23" t="str">
        <f ca="1">'Landscape Trees '!C63</f>
        <v>Appalachian Red Redbud</v>
      </c>
      <c r="C205" s="23" t="str">
        <f ca="1">'Landscape Trees '!D63</f>
        <v>#15</v>
      </c>
      <c r="D205" s="24" t="str">
        <f ca="1">'Landscape Trees '!E63</f>
        <v>0.5-0.75"</v>
      </c>
      <c r="E205" s="23" t="str">
        <f ca="1">'Landscape Trees '!F63</f>
        <v>7-8'</v>
      </c>
      <c r="F205" s="25">
        <f ca="1">'Landscape Trees '!G63</f>
        <v>0</v>
      </c>
      <c r="G205" s="23">
        <f ca="1">'Landscape Trees '!H63</f>
        <v>5</v>
      </c>
      <c r="H205" s="26">
        <f ca="1">'Landscape Trees '!I63</f>
        <v>110</v>
      </c>
    </row>
    <row r="206" spans="1:8" ht="12.75">
      <c r="A206" s="23" t="str">
        <f ca="1">'Landscape Trees '!A64</f>
        <v>Cercis canadensis 'Forest Pansy'</v>
      </c>
      <c r="B206" s="23" t="str">
        <f ca="1">'Landscape Trees '!C64</f>
        <v>Forest Pansy Redbud</v>
      </c>
      <c r="C206" s="23" t="str">
        <f ca="1">'Landscape Trees '!D64</f>
        <v>#7</v>
      </c>
      <c r="D206" s="24" t="str">
        <f ca="1">'Landscape Trees '!E64</f>
        <v>0.75-1"</v>
      </c>
      <c r="E206" s="23" t="str">
        <f ca="1">'Landscape Trees '!F64</f>
        <v>3-6'</v>
      </c>
      <c r="F206" s="25">
        <f ca="1">'Landscape Trees '!G64</f>
        <v>86</v>
      </c>
      <c r="G206" s="23">
        <f ca="1">'Landscape Trees '!H64</f>
        <v>100</v>
      </c>
      <c r="H206" s="26">
        <f ca="1">'Landscape Trees '!I64</f>
        <v>65</v>
      </c>
    </row>
    <row r="207" spans="1:8" ht="12.75">
      <c r="A207" s="23" t="str">
        <f ca="1">'Landscape Trees '!A65</f>
        <v>Cercis canadensis 'Forest Pansy'</v>
      </c>
      <c r="B207" s="23" t="str">
        <f ca="1">'Landscape Trees '!C65</f>
        <v>Forest Pansy Redbud</v>
      </c>
      <c r="C207" s="23" t="str">
        <f ca="1">'Landscape Trees '!D65</f>
        <v>#15p</v>
      </c>
      <c r="D207" s="24" t="str">
        <f ca="1">'Landscape Trees '!E65</f>
        <v>0.5-0.75"</v>
      </c>
      <c r="E207" s="23" t="str">
        <f ca="1">'Landscape Trees '!F65</f>
        <v>7-8'</v>
      </c>
      <c r="F207" s="25">
        <f ca="1">'Landscape Trees '!G65</f>
        <v>0</v>
      </c>
      <c r="G207" s="23">
        <f ca="1">'Landscape Trees '!H65</f>
        <v>15</v>
      </c>
      <c r="H207" s="26">
        <f ca="1">'Landscape Trees '!I65</f>
        <v>110</v>
      </c>
    </row>
    <row r="208" spans="1:8" ht="12.75">
      <c r="A208" s="23" t="str">
        <f ca="1">'Landscape Trees '!A66</f>
        <v>Cercis canadensis 'Lavender Twist'</v>
      </c>
      <c r="B208" s="23" t="str">
        <f ca="1">'Landscape Trees '!C66</f>
        <v>Lavender Twist Redbud</v>
      </c>
      <c r="C208" s="23" t="str">
        <f ca="1">'Landscape Trees '!D66</f>
        <v>#7</v>
      </c>
      <c r="D208" s="24" t="str">
        <f ca="1">'Landscape Trees '!E66</f>
        <v>0.75-1"</v>
      </c>
      <c r="E208" s="23" t="str">
        <f ca="1">'Landscape Trees '!F66</f>
        <v>3-6'</v>
      </c>
      <c r="F208" s="25">
        <f ca="1">'Landscape Trees '!G66</f>
        <v>13</v>
      </c>
      <c r="G208" s="23">
        <f ca="1">'Landscape Trees '!H66</f>
        <v>20</v>
      </c>
      <c r="H208" s="26">
        <f ca="1">'Landscape Trees '!I66</f>
        <v>85</v>
      </c>
    </row>
    <row r="209" spans="1:8" ht="12.75">
      <c r="A209" s="23" t="str">
        <f ca="1">'Landscape Trees '!A67</f>
        <v>Cercis canadensis 'Oklahoma'</v>
      </c>
      <c r="B209" s="23" t="str">
        <f ca="1">'Landscape Trees '!C67</f>
        <v>Oklahoma Redbud</v>
      </c>
      <c r="C209" s="23" t="str">
        <f ca="1">'Landscape Trees '!D67</f>
        <v>#7</v>
      </c>
      <c r="D209" s="24" t="str">
        <f ca="1">'Landscape Trees '!E67</f>
        <v>0.75-1"</v>
      </c>
      <c r="E209" s="23" t="str">
        <f ca="1">'Landscape Trees '!F67</f>
        <v>3-4'</v>
      </c>
      <c r="F209" s="25">
        <f ca="1">'Landscape Trees '!G67</f>
        <v>5</v>
      </c>
      <c r="G209" s="23">
        <f ca="1">'Landscape Trees '!H67</f>
        <v>0</v>
      </c>
      <c r="H209" s="26">
        <f ca="1">'Landscape Trees '!I67</f>
        <v>65</v>
      </c>
    </row>
    <row r="210" spans="1:8" ht="12.75">
      <c r="A210" s="23" t="str">
        <f ca="1">'Landscape Trees '!A68</f>
        <v>Cercis canadensis 'Oklahoma'</v>
      </c>
      <c r="B210" s="23" t="str">
        <f ca="1">'Landscape Trees '!C68</f>
        <v>Oklahoma Redbud</v>
      </c>
      <c r="C210" s="23" t="str">
        <f ca="1">'Landscape Trees '!D68</f>
        <v>#15</v>
      </c>
      <c r="D210" s="24" t="str">
        <f ca="1">'Landscape Trees '!E68</f>
        <v>1-1.25"</v>
      </c>
      <c r="E210" s="23" t="str">
        <f ca="1">'Landscape Trees '!F68</f>
        <v>9-9'</v>
      </c>
      <c r="F210" s="25">
        <f ca="1">'Landscape Trees '!G68</f>
        <v>2</v>
      </c>
      <c r="G210" s="23">
        <f ca="1">'Landscape Trees '!H68</f>
        <v>0</v>
      </c>
      <c r="H210" s="26">
        <f ca="1">'Landscape Trees '!I68</f>
        <v>115</v>
      </c>
    </row>
    <row r="211" spans="1:8" ht="12.75">
      <c r="A211" s="23" t="str">
        <f ca="1">'Landscape Trees '!A69</f>
        <v>Cercis canadensis 'Rising Sun'</v>
      </c>
      <c r="B211" s="23" t="str">
        <f ca="1">'Landscape Trees '!C69</f>
        <v>Rising Sun Redbud</v>
      </c>
      <c r="C211" s="23" t="str">
        <f ca="1">'Landscape Trees '!D69</f>
        <v>#7</v>
      </c>
      <c r="D211" s="24" t="str">
        <f ca="1">'Landscape Trees '!E69</f>
        <v>0.5-0.75"</v>
      </c>
      <c r="E211" s="23" t="str">
        <f ca="1">'Landscape Trees '!F69</f>
        <v>1-2'</v>
      </c>
      <c r="F211" s="25">
        <f ca="1">'Landscape Trees '!G69</f>
        <v>18</v>
      </c>
      <c r="G211" s="23">
        <f ca="1">'Landscape Trees '!H69</f>
        <v>40</v>
      </c>
      <c r="H211" s="26">
        <f ca="1">'Landscape Trees '!I69</f>
        <v>85</v>
      </c>
    </row>
    <row r="212" spans="1:8" ht="12.75">
      <c r="A212" s="23" t="str">
        <f ca="1">'Landscape Trees '!A70</f>
        <v>Cercis canadensis 'Rising Sun'</v>
      </c>
      <c r="B212" s="23" t="str">
        <f ca="1">'Landscape Trees '!C70</f>
        <v>Rising Sun Redbud</v>
      </c>
      <c r="C212" s="23" t="str">
        <f ca="1">'Landscape Trees '!D70</f>
        <v>#10</v>
      </c>
      <c r="D212" s="24" t="str">
        <f ca="1">'Landscape Trees '!E70</f>
        <v>1-1"</v>
      </c>
      <c r="E212" s="23" t="str">
        <f ca="1">'Landscape Trees '!F70</f>
        <v>3-4'</v>
      </c>
      <c r="F212" s="25">
        <f ca="1">'Landscape Trees '!G70</f>
        <v>2</v>
      </c>
      <c r="G212" s="23">
        <f ca="1">'Landscape Trees '!H70</f>
        <v>0</v>
      </c>
      <c r="H212" s="26">
        <f ca="1">'Landscape Trees '!I70</f>
        <v>100</v>
      </c>
    </row>
    <row r="213" spans="1:8" ht="12.75">
      <c r="A213" s="23" t="str">
        <f ca="1">'Landscape Trees '!A71</f>
        <v>Cercis canadensis 'Ruby Falls'</v>
      </c>
      <c r="B213" s="23" t="str">
        <f ca="1">'Landscape Trees '!C71</f>
        <v>Ruby Falls Redbud</v>
      </c>
      <c r="C213" s="23" t="str">
        <f ca="1">'Landscape Trees '!D71</f>
        <v>#7</v>
      </c>
      <c r="D213" s="24" t="str">
        <f ca="1">'Landscape Trees '!E71</f>
        <v>0.5-0.75"</v>
      </c>
      <c r="E213" s="23" t="str">
        <f ca="1">'Landscape Trees '!F71</f>
        <v>0.5-2'</v>
      </c>
      <c r="F213" s="25">
        <f ca="1">'Landscape Trees '!G71</f>
        <v>7</v>
      </c>
      <c r="G213" s="23">
        <f ca="1">'Landscape Trees '!H71</f>
        <v>20</v>
      </c>
      <c r="H213" s="26">
        <f ca="1">'Landscape Trees '!I71</f>
        <v>85</v>
      </c>
    </row>
    <row r="214" spans="1:8" ht="12.75">
      <c r="A214" s="23" t="str">
        <f ca="1">'Landscape Trees '!A72</f>
        <v>Cercis canadensis 'Ruby Falls'</v>
      </c>
      <c r="B214" s="23" t="str">
        <f ca="1">'Landscape Trees '!C72</f>
        <v>Ruby Falls Redbud</v>
      </c>
      <c r="C214" s="23" t="str">
        <f ca="1">'Landscape Trees '!D72</f>
        <v>#15</v>
      </c>
      <c r="D214" s="24" t="str">
        <f ca="1">'Landscape Trees '!E72</f>
        <v>0.75-1"</v>
      </c>
      <c r="E214" s="23" t="str">
        <f ca="1">'Landscape Trees '!F72</f>
        <v>6-7'</v>
      </c>
      <c r="F214" s="25">
        <f ca="1">'Landscape Trees '!G72</f>
        <v>6</v>
      </c>
      <c r="G214" s="23">
        <f ca="1">'Landscape Trees '!H72</f>
        <v>0</v>
      </c>
      <c r="H214" s="26">
        <f ca="1">'Landscape Trees '!I72</f>
        <v>110</v>
      </c>
    </row>
    <row r="215" spans="1:8" ht="12.75">
      <c r="A215" s="23" t="str">
        <f ca="1">'Landscape Trees '!A73</f>
        <v>Cercis canadensis 'Whitebud'</v>
      </c>
      <c r="B215" s="23" t="str">
        <f ca="1">'Landscape Trees '!C73</f>
        <v>Whitebud</v>
      </c>
      <c r="C215" s="23" t="str">
        <f ca="1">'Landscape Trees '!D73</f>
        <v>#15</v>
      </c>
      <c r="D215" s="24" t="str">
        <f ca="1">'Landscape Trees '!E73</f>
        <v>1.25-1.5"</v>
      </c>
      <c r="E215" s="23" t="str">
        <f ca="1">'Landscape Trees '!F73</f>
        <v>9-11'</v>
      </c>
      <c r="F215" s="25">
        <f ca="1">'Landscape Trees '!G73</f>
        <v>4</v>
      </c>
      <c r="G215" s="23">
        <f ca="1">'Landscape Trees '!H73</f>
        <v>0</v>
      </c>
      <c r="H215" s="26">
        <f ca="1">'Landscape Trees '!I73</f>
        <v>110</v>
      </c>
    </row>
    <row r="216" spans="1:8" ht="12.75">
      <c r="A216" s="23" t="str">
        <f ca="1">'Landscape Trees '!A74</f>
        <v>Cercis tex. 'Merlot'</v>
      </c>
      <c r="B216" s="23" t="str">
        <f ca="1">'Landscape Trees '!C74</f>
        <v>Merlot Redbud</v>
      </c>
      <c r="C216" s="23" t="str">
        <f ca="1">'Landscape Trees '!D74</f>
        <v>#10</v>
      </c>
      <c r="D216" s="24" t="str">
        <f ca="1">'Landscape Trees '!E74</f>
        <v>0.5-0.75"</v>
      </c>
      <c r="E216" s="23" t="str">
        <f ca="1">'Landscape Trees '!F74</f>
        <v>3-4'</v>
      </c>
      <c r="F216" s="25">
        <f ca="1">'Landscape Trees '!G74</f>
        <v>7</v>
      </c>
      <c r="G216" s="23">
        <f ca="1">'Landscape Trees '!H74</f>
        <v>0</v>
      </c>
      <c r="H216" s="26">
        <f ca="1">'Landscape Trees '!I74</f>
        <v>85</v>
      </c>
    </row>
    <row r="217" spans="1:8" ht="12.75">
      <c r="A217" s="23" t="str">
        <f ca="1">'Landscape Trees '!A75</f>
        <v>Chionanthus retusus</v>
      </c>
      <c r="B217" s="23" t="str">
        <f ca="1">'Landscape Trees '!C75</f>
        <v>Chinese Fringe Tree</v>
      </c>
      <c r="C217" s="23" t="str">
        <f ca="1">'Landscape Trees '!D75</f>
        <v>#5</v>
      </c>
      <c r="D217" s="24" t="str">
        <f ca="1">'Landscape Trees '!E75</f>
        <v>0.125-0.25"</v>
      </c>
      <c r="E217" s="23" t="str">
        <f ca="1">'Landscape Trees '!F75</f>
        <v>1-3'</v>
      </c>
      <c r="F217" s="25">
        <f ca="1">'Landscape Trees '!G75</f>
        <v>5</v>
      </c>
      <c r="G217" s="23">
        <f ca="1">'Landscape Trees '!H75</f>
        <v>0</v>
      </c>
      <c r="H217" s="26">
        <f ca="1">'Landscape Trees '!I75</f>
        <v>35</v>
      </c>
    </row>
    <row r="218" spans="1:8" ht="12.75">
      <c r="A218" s="23" t="str">
        <f ca="1">'Landscape Trees '!A76</f>
        <v>Chionanthus virginicus</v>
      </c>
      <c r="B218" s="23" t="str">
        <f ca="1">'Landscape Trees '!C76</f>
        <v>White Fringe Tree</v>
      </c>
      <c r="C218" s="23" t="str">
        <f ca="1">'Landscape Trees '!D76</f>
        <v>#7</v>
      </c>
      <c r="D218" s="24" t="str">
        <f ca="1">'Landscape Trees '!E76</f>
        <v>0.125-0.75"</v>
      </c>
      <c r="E218" s="23" t="str">
        <f ca="1">'Landscape Trees '!F76</f>
        <v>2-5'</v>
      </c>
      <c r="F218" s="25">
        <f ca="1">'Landscape Trees '!G76</f>
        <v>3</v>
      </c>
      <c r="G218" s="23">
        <f ca="1">'Landscape Trees '!H76</f>
        <v>0</v>
      </c>
      <c r="H218" s="26">
        <f ca="1">'Landscape Trees '!I76</f>
        <v>50</v>
      </c>
    </row>
    <row r="219" spans="1:8" ht="12.75">
      <c r="A219" s="23" t="str">
        <f ca="1">'Landscape Trees '!A77</f>
        <v>Cladrastis kentukea</v>
      </c>
      <c r="B219" s="23" t="str">
        <f ca="1">'Landscape Trees '!C77</f>
        <v>Yellowwood</v>
      </c>
      <c r="C219" s="23" t="str">
        <f ca="1">'Landscape Trees '!D77</f>
        <v>#5</v>
      </c>
      <c r="D219" s="24" t="str">
        <f ca="1">'Landscape Trees '!E77</f>
        <v>0.375-0.5"</v>
      </c>
      <c r="E219" s="23" t="str">
        <f ca="1">'Landscape Trees '!F77</f>
        <v>2-6'</v>
      </c>
      <c r="F219" s="25">
        <f ca="1">'Landscape Trees '!G77</f>
        <v>128</v>
      </c>
      <c r="G219" s="23">
        <f ca="1">'Landscape Trees '!H77</f>
        <v>200</v>
      </c>
      <c r="H219" s="26">
        <f ca="1">'Landscape Trees '!I77</f>
        <v>35</v>
      </c>
    </row>
    <row r="220" spans="1:8" ht="12.75">
      <c r="A220" s="23" t="str">
        <f ca="1">'Landscape Trees '!A78</f>
        <v>Conium maculatum</v>
      </c>
      <c r="B220" s="23" t="str">
        <f ca="1">'Landscape Trees '!C78</f>
        <v>Hemlock</v>
      </c>
      <c r="C220" s="23" t="str">
        <f ca="1">'Landscape Trees '!D78</f>
        <v>#7</v>
      </c>
      <c r="D220" s="24" t="str">
        <f ca="1">'Landscape Trees '!E78</f>
        <v>1-1"</v>
      </c>
      <c r="E220" s="23" t="str">
        <f ca="1">'Landscape Trees '!F78</f>
        <v>3-4'</v>
      </c>
      <c r="F220" s="25">
        <f ca="1">'Landscape Trees '!G78</f>
        <v>4</v>
      </c>
      <c r="G220" s="23">
        <f ca="1">'Landscape Trees '!H78</f>
        <v>0</v>
      </c>
      <c r="H220" s="26">
        <f ca="1">'Landscape Trees '!I78</f>
        <v>75</v>
      </c>
    </row>
    <row r="221" spans="1:8" ht="12.75">
      <c r="A221" s="23" t="str">
        <f ca="1">'Landscape Trees '!A79</f>
        <v>Cornus 'Cherokee Brave'</v>
      </c>
      <c r="B221" s="23" t="str">
        <f ca="1">'Landscape Trees '!C79</f>
        <v>Cherokee Brave Dogwood</v>
      </c>
      <c r="C221" s="23" t="str">
        <f ca="1">'Landscape Trees '!D79</f>
        <v>#5</v>
      </c>
      <c r="D221" s="24" t="str">
        <f ca="1">'Landscape Trees '!E79</f>
        <v>0.25-0.5"</v>
      </c>
      <c r="E221" s="23" t="str">
        <f ca="1">'Landscape Trees '!F79</f>
        <v>2-3'</v>
      </c>
      <c r="F221" s="25">
        <f ca="1">'Landscape Trees '!G79</f>
        <v>0</v>
      </c>
      <c r="G221" s="23">
        <f ca="1">'Landscape Trees '!H79</f>
        <v>100</v>
      </c>
      <c r="H221" s="26">
        <f ca="1">'Landscape Trees '!I79</f>
        <v>50</v>
      </c>
    </row>
    <row r="222" spans="1:8" ht="12.75">
      <c r="A222" s="23" t="str">
        <f ca="1">'Landscape Trees '!A80</f>
        <v>Cornus 'Cherokee Brave'</v>
      </c>
      <c r="B222" s="23" t="str">
        <f ca="1">'Landscape Trees '!C80</f>
        <v>Cherokee Brave Dogwood</v>
      </c>
      <c r="C222" s="23" t="str">
        <f ca="1">'Landscape Trees '!D80</f>
        <v>#7</v>
      </c>
      <c r="D222" s="24" t="str">
        <f ca="1">'Landscape Trees '!E80</f>
        <v>0.5-0.75"</v>
      </c>
      <c r="E222" s="23" t="str">
        <f ca="1">'Landscape Trees '!F80</f>
        <v>4-5'</v>
      </c>
      <c r="F222" s="25">
        <f ca="1">'Landscape Trees '!G80</f>
        <v>11</v>
      </c>
      <c r="G222" s="23">
        <f ca="1">'Landscape Trees '!H80</f>
        <v>0</v>
      </c>
      <c r="H222" s="26">
        <f ca="1">'Landscape Trees '!I80</f>
        <v>75</v>
      </c>
    </row>
    <row r="223" spans="1:8" ht="12.75">
      <c r="A223" s="23" t="str">
        <f ca="1">'Landscape Trees '!A81</f>
        <v>Cornus 'Cherokee Brave'</v>
      </c>
      <c r="B223" s="23" t="str">
        <f ca="1">'Landscape Trees '!C81</f>
        <v>Cherokee Brave Dogwood</v>
      </c>
      <c r="C223" s="23" t="str">
        <f ca="1">'Landscape Trees '!D81</f>
        <v>#10</v>
      </c>
      <c r="D223" s="24" t="str">
        <f ca="1">'Landscape Trees '!E81</f>
        <v>0.5-0.75"</v>
      </c>
      <c r="E223" s="23" t="str">
        <f ca="1">'Landscape Trees '!F81</f>
        <v>4-5'</v>
      </c>
      <c r="F223" s="25">
        <f ca="1">'Landscape Trees '!G81</f>
        <v>30</v>
      </c>
      <c r="G223" s="23">
        <f ca="1">'Landscape Trees '!H81</f>
        <v>0</v>
      </c>
      <c r="H223" s="26">
        <f ca="1">'Landscape Trees '!I81</f>
        <v>85</v>
      </c>
    </row>
    <row r="224" spans="1:8" ht="12.75">
      <c r="A224" s="23" t="str">
        <f ca="1">'Landscape Trees '!A82</f>
        <v>Cornus 'Constellation'</v>
      </c>
      <c r="B224" s="23" t="str">
        <f ca="1">'Landscape Trees '!C82</f>
        <v>Constellation Dogwood</v>
      </c>
      <c r="C224" s="23" t="str">
        <f ca="1">'Landscape Trees '!D82</f>
        <v>#10</v>
      </c>
      <c r="D224" s="24" t="str">
        <f ca="1">'Landscape Trees '!E82</f>
        <v>0.5-0.75"</v>
      </c>
      <c r="E224" s="23" t="str">
        <f ca="1">'Landscape Trees '!F82</f>
        <v>5-8'</v>
      </c>
      <c r="F224" s="25">
        <f ca="1">'Landscape Trees '!G82</f>
        <v>20</v>
      </c>
      <c r="G224" s="23">
        <f ca="1">'Landscape Trees '!H82</f>
        <v>0</v>
      </c>
      <c r="H224" s="26">
        <f ca="1">'Landscape Trees '!I82</f>
        <v>85</v>
      </c>
    </row>
    <row r="225" spans="1:8" ht="12.75">
      <c r="A225" s="23" t="str">
        <f ca="1">'Landscape Trees '!A83</f>
        <v>Cornus 'Constellation'</v>
      </c>
      <c r="B225" s="23" t="str">
        <f ca="1">'Landscape Trees '!C83</f>
        <v>Constellation Dogwood</v>
      </c>
      <c r="C225" s="23" t="str">
        <f ca="1">'Landscape Trees '!D83</f>
        <v>#15</v>
      </c>
      <c r="D225" s="24" t="str">
        <f ca="1">'Landscape Trees '!E83</f>
        <v>1-1"</v>
      </c>
      <c r="E225" s="23" t="str">
        <f ca="1">'Landscape Trees '!F83</f>
        <v>8-8'</v>
      </c>
      <c r="F225" s="25">
        <f ca="1">'Landscape Trees '!G83</f>
        <v>2</v>
      </c>
      <c r="G225" s="23">
        <f ca="1">'Landscape Trees '!H83</f>
        <v>20</v>
      </c>
      <c r="H225" s="26">
        <f ca="1">'Landscape Trees '!I83</f>
        <v>110</v>
      </c>
    </row>
    <row r="226" spans="1:8" ht="12.75">
      <c r="A226" s="23" t="str">
        <f ca="1">'Landscape Trees '!A84</f>
        <v xml:space="preserve">Cornus 'Rutdan' Celestial </v>
      </c>
      <c r="B226" s="23" t="str">
        <f ca="1">'Landscape Trees '!C84</f>
        <v>Celestial Dogwood</v>
      </c>
      <c r="C226" s="23" t="str">
        <f ca="1">'Landscape Trees '!D84</f>
        <v>#5</v>
      </c>
      <c r="D226" s="24" t="str">
        <f ca="1">'Landscape Trees '!E84</f>
        <v>0.75-1"</v>
      </c>
      <c r="E226" s="23" t="str">
        <f ca="1">'Landscape Trees '!F84</f>
        <v>5-5'</v>
      </c>
      <c r="F226" s="25">
        <f ca="1">'Landscape Trees '!G84</f>
        <v>48</v>
      </c>
      <c r="G226" s="23">
        <f ca="1">'Landscape Trees '!H84</f>
        <v>0</v>
      </c>
      <c r="H226" s="26">
        <f ca="1">'Landscape Trees '!I84</f>
        <v>45</v>
      </c>
    </row>
    <row r="227" spans="1:8" ht="12.75">
      <c r="A227" s="23" t="str">
        <f ca="1">'Landscape Trees '!A85</f>
        <v>Cornus 'Rutgan' Stellar Pink</v>
      </c>
      <c r="B227" s="23" t="str">
        <f ca="1">'Landscape Trees '!C85</f>
        <v>Stellar Pink Dogwood</v>
      </c>
      <c r="C227" s="23" t="str">
        <f ca="1">'Landscape Trees '!D85</f>
        <v>#10</v>
      </c>
      <c r="D227" s="24" t="str">
        <f ca="1">'Landscape Trees '!E85</f>
        <v>0.75-1"</v>
      </c>
      <c r="E227" s="23" t="str">
        <f ca="1">'Landscape Trees '!F85</f>
        <v>5-8'</v>
      </c>
      <c r="F227" s="25">
        <f ca="1">'Landscape Trees '!G85</f>
        <v>66</v>
      </c>
      <c r="G227" s="23">
        <f ca="1">'Landscape Trees '!H85</f>
        <v>100</v>
      </c>
      <c r="H227" s="26">
        <f ca="1">'Landscape Trees '!I85</f>
        <v>85</v>
      </c>
    </row>
    <row r="228" spans="1:8" ht="12.75">
      <c r="A228" s="23" t="str">
        <f ca="1">'Landscape Trees '!A86</f>
        <v>Cornus 'Rutgan' Stellar Pink</v>
      </c>
      <c r="B228" s="23" t="str">
        <f ca="1">'Landscape Trees '!C86</f>
        <v>Stellar Pink Dogwood</v>
      </c>
      <c r="C228" s="23" t="str">
        <f ca="1">'Landscape Trees '!D86</f>
        <v>#15</v>
      </c>
      <c r="D228" s="24" t="str">
        <f ca="1">'Landscape Trees '!E86</f>
        <v>0.5-0.75"</v>
      </c>
      <c r="E228" s="23" t="str">
        <f ca="1">'Landscape Trees '!F86</f>
        <v>5-6'</v>
      </c>
      <c r="F228" s="25">
        <f ca="1">'Landscape Trees '!G86</f>
        <v>0</v>
      </c>
      <c r="G228" s="23">
        <f ca="1">'Landscape Trees '!H86</f>
        <v>10</v>
      </c>
      <c r="H228" s="26">
        <f ca="1">'Landscape Trees '!I86</f>
        <v>115</v>
      </c>
    </row>
    <row r="229" spans="1:8" ht="12.75">
      <c r="A229" s="23" t="str">
        <f ca="1">'Landscape Trees '!A87</f>
        <v>Cornus florida</v>
      </c>
      <c r="B229" s="23" t="str">
        <f ca="1">'Landscape Trees '!C87</f>
        <v>White Dogwood</v>
      </c>
      <c r="C229" s="23" t="str">
        <f ca="1">'Landscape Trees '!D87</f>
        <v>#5</v>
      </c>
      <c r="D229" s="24" t="str">
        <f ca="1">'Landscape Trees '!E87</f>
        <v>0.25-0.25"</v>
      </c>
      <c r="E229" s="23" t="str">
        <f ca="1">'Landscape Trees '!F87</f>
        <v>3-4'</v>
      </c>
      <c r="F229" s="25">
        <f ca="1">'Landscape Trees '!G87</f>
        <v>42</v>
      </c>
      <c r="G229" s="23">
        <f ca="1">'Landscape Trees '!H87</f>
        <v>100</v>
      </c>
      <c r="H229" s="26">
        <f ca="1">'Landscape Trees '!I87</f>
        <v>35</v>
      </c>
    </row>
    <row r="230" spans="1:8" ht="12.75">
      <c r="A230" s="23" t="str">
        <f ca="1">'Landscape Trees '!A88</f>
        <v>Cornus kousa</v>
      </c>
      <c r="B230" s="23" t="str">
        <f ca="1">'Landscape Trees '!C88</f>
        <v>Kousa Dogwood</v>
      </c>
      <c r="C230" s="23" t="str">
        <f ca="1">'Landscape Trees '!D88</f>
        <v>#5</v>
      </c>
      <c r="D230" s="24" t="str">
        <f ca="1">'Landscape Trees '!E88</f>
        <v>0.5-0.75"</v>
      </c>
      <c r="E230" s="23" t="str">
        <f ca="1">'Landscape Trees '!F88</f>
        <v>3-4.5'</v>
      </c>
      <c r="F230" s="25">
        <f ca="1">'Landscape Trees '!G88</f>
        <v>101</v>
      </c>
      <c r="G230" s="23">
        <f ca="1">'Landscape Trees '!H88</f>
        <v>0</v>
      </c>
      <c r="H230" s="26">
        <f ca="1">'Landscape Trees '!I88</f>
        <v>35</v>
      </c>
    </row>
    <row r="231" spans="1:8" ht="12.75">
      <c r="A231" s="23" t="str">
        <f ca="1">'Landscape Trees '!A89</f>
        <v>Cornus kousa</v>
      </c>
      <c r="B231" s="23" t="str">
        <f ca="1">'Landscape Trees '!C89</f>
        <v>Kousa Dogwood</v>
      </c>
      <c r="C231" s="23" t="str">
        <f ca="1">'Landscape Trees '!D89</f>
        <v>#15</v>
      </c>
      <c r="D231" s="24" t="str">
        <f ca="1">'Landscape Trees '!E89</f>
        <v>1-1.25"</v>
      </c>
      <c r="E231" s="23" t="str">
        <f ca="1">'Landscape Trees '!F89</f>
        <v>6-7'</v>
      </c>
      <c r="F231" s="25">
        <f ca="1">'Landscape Trees '!G89</f>
        <v>6</v>
      </c>
      <c r="G231" s="23">
        <f ca="1">'Landscape Trees '!H89</f>
        <v>10</v>
      </c>
      <c r="H231" s="26">
        <f ca="1">'Landscape Trees '!I89</f>
        <v>115</v>
      </c>
    </row>
    <row r="232" spans="1:8" ht="12.75">
      <c r="A232" s="23" t="str">
        <f ca="1">'Landscape Trees '!A90</f>
        <v>Cornus kousa 'Rutpink'</v>
      </c>
      <c r="B232" s="23" t="str">
        <f ca="1">'Landscape Trees '!C90</f>
        <v>Scarlet Fire Dogwood</v>
      </c>
      <c r="C232" s="23" t="str">
        <f ca="1">'Landscape Trees '!D90</f>
        <v>#7</v>
      </c>
      <c r="D232" s="24" t="str">
        <f ca="1">'Landscape Trees '!E90</f>
        <v>0.5-0.75"</v>
      </c>
      <c r="E232" s="23" t="str">
        <f ca="1">'Landscape Trees '!F90</f>
        <v>3-5'</v>
      </c>
      <c r="F232" s="25">
        <f ca="1">'Landscape Trees '!G90</f>
        <v>17</v>
      </c>
      <c r="G232" s="23">
        <f ca="1">'Landscape Trees '!H90</f>
        <v>50</v>
      </c>
      <c r="H232" s="26">
        <f ca="1">'Landscape Trees '!I90</f>
        <v>60</v>
      </c>
    </row>
    <row r="233" spans="1:8" ht="12.75">
      <c r="A233" s="23" t="str">
        <f ca="1">'Landscape Trees '!A91</f>
        <v>Cornus kousa 'Rutpink'</v>
      </c>
      <c r="B233" s="23" t="str">
        <f ca="1">'Landscape Trees '!C91</f>
        <v>Scarlet Fire Dogwood</v>
      </c>
      <c r="C233" s="23" t="str">
        <f ca="1">'Landscape Trees '!D91</f>
        <v>#15</v>
      </c>
      <c r="D233" s="24" t="str">
        <f ca="1">'Landscape Trees '!E91</f>
        <v>1-1"</v>
      </c>
      <c r="E233" s="23" t="str">
        <f ca="1">'Landscape Trees '!F91</f>
        <v>7-7'</v>
      </c>
      <c r="F233" s="25">
        <f ca="1">'Landscape Trees '!G91</f>
        <v>2</v>
      </c>
      <c r="G233" s="23">
        <f ca="1">'Landscape Trees '!H91</f>
        <v>0</v>
      </c>
      <c r="H233" s="26">
        <f ca="1">'Landscape Trees '!I91</f>
        <v>115</v>
      </c>
    </row>
    <row r="234" spans="1:8" ht="12.75">
      <c r="A234" s="23" t="str">
        <f ca="1">'Landscape Trees '!A92</f>
        <v>Cornus racemosa</v>
      </c>
      <c r="B234" s="23" t="str">
        <f ca="1">'Landscape Trees '!C92</f>
        <v>Gray Dogwood</v>
      </c>
      <c r="C234" s="23" t="str">
        <f ca="1">'Landscape Trees '!D92</f>
        <v>#5</v>
      </c>
      <c r="D234" s="24" t="str">
        <f ca="1">'Landscape Trees '!E92</f>
        <v>0.5-0.75"</v>
      </c>
      <c r="E234" s="23" t="str">
        <f ca="1">'Landscape Trees '!F92</f>
        <v>4-5'</v>
      </c>
      <c r="F234" s="25">
        <f ca="1">'Landscape Trees '!G92</f>
        <v>27</v>
      </c>
      <c r="G234" s="23">
        <f ca="1">'Landscape Trees '!H92</f>
        <v>0</v>
      </c>
      <c r="H234" s="26">
        <f ca="1">'Landscape Trees '!I92</f>
        <v>30</v>
      </c>
    </row>
    <row r="235" spans="1:8" ht="12.75">
      <c r="A235" s="23" t="str">
        <f ca="1">'Landscape Trees '!A93</f>
        <v>Cornus sericea</v>
      </c>
      <c r="B235" s="23" t="str">
        <f ca="1">'Landscape Trees '!C93</f>
        <v>Red Twig Dogwood</v>
      </c>
      <c r="C235" s="23" t="str">
        <f ca="1">'Landscape Trees '!D93</f>
        <v>#5</v>
      </c>
      <c r="D235" s="27" t="str">
        <f ca="1">'Landscape Trees '!E93</f>
        <v>Multi</v>
      </c>
      <c r="E235" s="23" t="str">
        <f ca="1">'Landscape Trees '!F93</f>
        <v>4-5'</v>
      </c>
      <c r="F235" s="25">
        <f ca="1">'Landscape Trees '!G93</f>
        <v>42</v>
      </c>
      <c r="G235" s="23">
        <f ca="1">'Landscape Trees '!H93</f>
        <v>100</v>
      </c>
      <c r="H235" s="26">
        <f ca="1">'Landscape Trees '!I93</f>
        <v>30</v>
      </c>
    </row>
    <row r="236" spans="1:8" ht="12.75">
      <c r="A236" s="23" t="str">
        <f ca="1">'Landscape Trees '!A94</f>
        <v>Cornus sericea 'Baileyi'</v>
      </c>
      <c r="B236" s="23" t="str">
        <f ca="1">'Landscape Trees '!C94</f>
        <v>Baileyi Red Twig Dogwood</v>
      </c>
      <c r="C236" s="23" t="str">
        <f ca="1">'Landscape Trees '!D94</f>
        <v>#5</v>
      </c>
      <c r="D236" s="27" t="str">
        <f ca="1">'Landscape Trees '!E94</f>
        <v>Multi</v>
      </c>
      <c r="E236" s="23" t="str">
        <f ca="1">'Landscape Trees '!F94</f>
        <v>3-5'</v>
      </c>
      <c r="F236" s="25">
        <f ca="1">'Landscape Trees '!G94</f>
        <v>11</v>
      </c>
      <c r="G236" s="23">
        <f ca="1">'Landscape Trees '!H94</f>
        <v>0</v>
      </c>
      <c r="H236" s="26">
        <f ca="1">'Landscape Trees '!I94</f>
        <v>30</v>
      </c>
    </row>
    <row r="237" spans="1:8" ht="12.75">
      <c r="A237" s="23" t="str">
        <f ca="1">'Landscape Trees '!A95</f>
        <v>Corylus americana</v>
      </c>
      <c r="B237" s="23" t="str">
        <f ca="1">'Landscape Trees '!C95</f>
        <v>American Hazelnut</v>
      </c>
      <c r="C237" s="23" t="str">
        <f ca="1">'Landscape Trees '!D95</f>
        <v>#5</v>
      </c>
      <c r="D237" s="24" t="str">
        <f ca="1">'Landscape Trees '!E95</f>
        <v>Multi</v>
      </c>
      <c r="E237" s="23" t="str">
        <f ca="1">'Landscape Trees '!F95</f>
        <v>2-4'</v>
      </c>
      <c r="F237" s="25">
        <f ca="1">'Landscape Trees '!G95</f>
        <v>22</v>
      </c>
      <c r="G237" s="23">
        <f ca="1">'Landscape Trees '!H95</f>
        <v>0</v>
      </c>
      <c r="H237" s="26">
        <f ca="1">'Landscape Trees '!I95</f>
        <v>35</v>
      </c>
    </row>
    <row r="238" spans="1:8" ht="12.75">
      <c r="A238" s="23" t="str">
        <f ca="1">'Landscape Trees '!A96</f>
        <v>Cotinus 'Grace'</v>
      </c>
      <c r="B238" s="23" t="str">
        <f ca="1">'Landscape Trees '!C96</f>
        <v>Grace Smokebush</v>
      </c>
      <c r="C238" s="23" t="str">
        <f ca="1">'Landscape Trees '!D96</f>
        <v>#7</v>
      </c>
      <c r="D238" s="24" t="str">
        <f ca="1">'Landscape Trees '!E96</f>
        <v>1.5-1.5"</v>
      </c>
      <c r="E238" s="23" t="str">
        <f ca="1">'Landscape Trees '!F96</f>
        <v>8-8'</v>
      </c>
      <c r="F238" s="25">
        <f ca="1">'Landscape Trees '!G96</f>
        <v>1</v>
      </c>
      <c r="G238" s="23">
        <f ca="1">'Landscape Trees '!H96</f>
        <v>0</v>
      </c>
      <c r="H238" s="26">
        <f ca="1">'Landscape Trees '!I96</f>
        <v>75</v>
      </c>
    </row>
    <row r="239" spans="1:8" ht="12.75">
      <c r="A239" s="23" t="str">
        <f ca="1">'Landscape Trees '!A97</f>
        <v>Cotinus coggygria 'Royal Purple'</v>
      </c>
      <c r="B239" s="23" t="str">
        <f ca="1">'Landscape Trees '!C97</f>
        <v>Royal Purple Smokebush</v>
      </c>
      <c r="C239" s="23" t="str">
        <f ca="1">'Landscape Trees '!D97</f>
        <v>#5</v>
      </c>
      <c r="D239" s="24" t="str">
        <f ca="1">'Landscape Trees '!E97</f>
        <v>0.25-0.5"</v>
      </c>
      <c r="E239" s="23" t="str">
        <f ca="1">'Landscape Trees '!F97</f>
        <v>3-5'</v>
      </c>
      <c r="F239" s="25">
        <f ca="1">'Landscape Trees '!G97</f>
        <v>48</v>
      </c>
      <c r="G239" s="23">
        <f ca="1">'Landscape Trees '!H97</f>
        <v>20</v>
      </c>
      <c r="H239" s="26">
        <f ca="1">'Landscape Trees '!I97</f>
        <v>35</v>
      </c>
    </row>
    <row r="240" spans="1:8" ht="12.75">
      <c r="A240" s="23" t="str">
        <f ca="1">'Landscape Trees '!A98</f>
        <v>Cotinus obovatus</v>
      </c>
      <c r="B240" s="23" t="str">
        <f ca="1">'Landscape Trees '!C98</f>
        <v>Smokebush (Native)</v>
      </c>
      <c r="C240" s="23" t="str">
        <f ca="1">'Landscape Trees '!D98</f>
        <v>#5</v>
      </c>
      <c r="D240" s="27" t="str">
        <f ca="1">'Landscape Trees '!E98</f>
        <v>Multi</v>
      </c>
      <c r="E240" s="23" t="str">
        <f ca="1">'Landscape Trees '!F98</f>
        <v>4-9'</v>
      </c>
      <c r="F240" s="25">
        <f ca="1">'Landscape Trees '!G98</f>
        <v>175</v>
      </c>
      <c r="G240" s="23">
        <f ca="1">'Landscape Trees '!H98</f>
        <v>0</v>
      </c>
      <c r="H240" s="26">
        <f ca="1">'Landscape Trees '!I98</f>
        <v>35</v>
      </c>
    </row>
    <row r="241" spans="1:8" ht="12.75">
      <c r="A241" s="23" t="str">
        <f ca="1">'Landscape Trees '!A99</f>
        <v>Crataegus crus-gali var. inermis</v>
      </c>
      <c r="B241" s="23" t="str">
        <f ca="1">'Landscape Trees '!C99</f>
        <v>Thornless Hawthorn</v>
      </c>
      <c r="C241" s="23" t="str">
        <f ca="1">'Landscape Trees '!D99</f>
        <v>#25p</v>
      </c>
      <c r="D241" s="24" t="str">
        <f ca="1">'Landscape Trees '!E99</f>
        <v>1.5-1.5"</v>
      </c>
      <c r="E241" s="23" t="str">
        <f ca="1">'Landscape Trees '!F99</f>
        <v>9-9'</v>
      </c>
      <c r="F241" s="25">
        <f ca="1">'Landscape Trees '!G99</f>
        <v>1</v>
      </c>
      <c r="G241" s="23">
        <f ca="1">'Landscape Trees '!H99</f>
        <v>0</v>
      </c>
      <c r="H241" s="26">
        <f ca="1">'Landscape Trees '!I99</f>
        <v>135</v>
      </c>
    </row>
    <row r="242" spans="1:8" ht="12.75">
      <c r="A242" s="23" t="str">
        <f ca="1">'Landscape Trees '!A100</f>
        <v>Crataegus viridis 'Winter King'</v>
      </c>
      <c r="B242" s="23" t="str">
        <f ca="1">'Landscape Trees '!C100</f>
        <v>Winter King Hawthorn</v>
      </c>
      <c r="C242" s="23" t="str">
        <f ca="1">'Landscape Trees '!D100</f>
        <v>#15</v>
      </c>
      <c r="D242" s="24" t="str">
        <f ca="1">'Landscape Trees '!E100</f>
        <v>1-1.25"</v>
      </c>
      <c r="E242" s="23" t="str">
        <f ca="1">'Landscape Trees '!F100</f>
        <v>9-10'</v>
      </c>
      <c r="F242" s="25">
        <f ca="1">'Landscape Trees '!G100</f>
        <v>7</v>
      </c>
      <c r="G242" s="23">
        <f ca="1">'Landscape Trees '!H100</f>
        <v>25</v>
      </c>
      <c r="H242" s="26">
        <f ca="1">'Landscape Trees '!I100</f>
        <v>110</v>
      </c>
    </row>
    <row r="243" spans="1:8" ht="12.75">
      <c r="A243" s="23" t="str">
        <f ca="1">'Landscape Trees '!A101</f>
        <v>Diospyros virginiana</v>
      </c>
      <c r="B243" s="23" t="str">
        <f ca="1">'Landscape Trees '!C101</f>
        <v>American Persimmon</v>
      </c>
      <c r="C243" s="23" t="str">
        <f ca="1">'Landscape Trees '!D101</f>
        <v>#5</v>
      </c>
      <c r="D243" s="24" t="str">
        <f ca="1">'Landscape Trees '!E101</f>
        <v>0.125-0.75"</v>
      </c>
      <c r="E243" s="23" t="str">
        <f ca="1">'Landscape Trees '!F101</f>
        <v>1-6'</v>
      </c>
      <c r="F243" s="25">
        <f ca="1">'Landscape Trees '!G101</f>
        <v>68</v>
      </c>
      <c r="G243" s="23">
        <f ca="1">'Landscape Trees '!H101</f>
        <v>150</v>
      </c>
      <c r="H243" s="26">
        <f ca="1">'Landscape Trees '!I101</f>
        <v>35</v>
      </c>
    </row>
    <row r="244" spans="1:8" ht="12.75">
      <c r="A244" s="23" t="str">
        <f ca="1">'Landscape Trees '!A102</f>
        <v>Diospyros virginiana</v>
      </c>
      <c r="B244" s="23" t="str">
        <f ca="1">'Landscape Trees '!C102</f>
        <v>American Persimmon</v>
      </c>
      <c r="C244" s="23" t="str">
        <f ca="1">'Landscape Trees '!D102</f>
        <v>#7</v>
      </c>
      <c r="D244" s="24" t="str">
        <f ca="1">'Landscape Trees '!E102</f>
        <v>0.25-0.5"</v>
      </c>
      <c r="E244" s="23" t="str">
        <f ca="1">'Landscape Trees '!F102</f>
        <v>1-5'</v>
      </c>
      <c r="F244" s="25">
        <f ca="1">'Landscape Trees '!G102</f>
        <v>3</v>
      </c>
      <c r="G244" s="23">
        <f ca="1">'Landscape Trees '!H102</f>
        <v>0</v>
      </c>
      <c r="H244" s="26">
        <f ca="1">'Landscape Trees '!I102</f>
        <v>45</v>
      </c>
    </row>
    <row r="245" spans="1:8" ht="12.75">
      <c r="A245" s="23" t="str">
        <f ca="1">'Landscape Trees '!A103</f>
        <v>Eucommia ulmoides</v>
      </c>
      <c r="B245" s="23" t="str">
        <f ca="1">'Landscape Trees '!C103</f>
        <v>Hardy Rubber Tree</v>
      </c>
      <c r="C245" s="23" t="str">
        <f ca="1">'Landscape Trees '!D103</f>
        <v>#15</v>
      </c>
      <c r="D245" s="24" t="str">
        <f ca="1">'Landscape Trees '!E103</f>
        <v>1.75-2"</v>
      </c>
      <c r="E245" s="23" t="str">
        <f ca="1">'Landscape Trees '!F103</f>
        <v>12-13'</v>
      </c>
      <c r="F245" s="25">
        <f ca="1">'Landscape Trees '!G103</f>
        <v>5</v>
      </c>
      <c r="G245" s="23">
        <f ca="1">'Landscape Trees '!H103</f>
        <v>0</v>
      </c>
      <c r="H245" s="26">
        <f ca="1">'Landscape Trees '!I103</f>
        <v>110</v>
      </c>
    </row>
    <row r="246" spans="1:8" ht="12.75">
      <c r="A246" s="23" t="str">
        <f ca="1">'Landscape Trees '!A104</f>
        <v>Euonymus americanus</v>
      </c>
      <c r="B246" s="23" t="str">
        <f ca="1">'Landscape Trees '!C104</f>
        <v>Strawberry Bush</v>
      </c>
      <c r="C246" s="23" t="str">
        <f ca="1">'Landscape Trees '!D104</f>
        <v>#5</v>
      </c>
      <c r="D246" s="24" t="str">
        <f ca="1">'Landscape Trees '!E104</f>
        <v>0.38-0.25"</v>
      </c>
      <c r="E246" s="23" t="str">
        <f ca="1">'Landscape Trees '!F104</f>
        <v>1-2'</v>
      </c>
      <c r="F246" s="25">
        <f ca="1">'Landscape Trees '!G104</f>
        <v>0</v>
      </c>
      <c r="G246" s="23">
        <f ca="1">'Landscape Trees '!H104</f>
        <v>50</v>
      </c>
      <c r="H246" s="26">
        <f ca="1">'Landscape Trees '!I104</f>
        <v>40</v>
      </c>
    </row>
    <row r="247" spans="1:8" ht="12.75">
      <c r="A247" s="23" t="str">
        <f ca="1">'Landscape Trees '!A105</f>
        <v>Fagus grandiflora</v>
      </c>
      <c r="B247" s="23" t="str">
        <f ca="1">'Landscape Trees '!C105</f>
        <v>American Beech</v>
      </c>
      <c r="C247" s="23" t="str">
        <f ca="1">'Landscape Trees '!D105</f>
        <v>#5</v>
      </c>
      <c r="D247" s="24" t="str">
        <f ca="1">'Landscape Trees '!E105</f>
        <v>0.25-0.5"</v>
      </c>
      <c r="E247" s="23" t="str">
        <f ca="1">'Landscape Trees '!F105</f>
        <v>3-4'</v>
      </c>
      <c r="F247" s="25">
        <f ca="1">'Landscape Trees '!G105</f>
        <v>0</v>
      </c>
      <c r="G247" s="23">
        <f ca="1">'Landscape Trees '!H105</f>
        <v>55</v>
      </c>
      <c r="H247" s="26">
        <f ca="1">'Landscape Trees '!I105</f>
        <v>75</v>
      </c>
    </row>
    <row r="248" spans="1:8" ht="12.75">
      <c r="A248" s="23" t="str">
        <f ca="1">'Landscape Trees '!A106</f>
        <v>Fagus grandiflora</v>
      </c>
      <c r="B248" s="23" t="str">
        <f ca="1">'Landscape Trees '!C106</f>
        <v>American Beech</v>
      </c>
      <c r="C248" s="23" t="str">
        <f ca="1">'Landscape Trees '!D106</f>
        <v>#15</v>
      </c>
      <c r="D248" s="24" t="str">
        <f ca="1">'Landscape Trees '!E106</f>
        <v>1-1.5"</v>
      </c>
      <c r="E248" s="23" t="str">
        <f ca="1">'Landscape Trees '!F106</f>
        <v>6-8'</v>
      </c>
      <c r="F248" s="25">
        <f ca="1">'Landscape Trees '!G106</f>
        <v>5</v>
      </c>
      <c r="G248" s="23">
        <f ca="1">'Landscape Trees '!H106</f>
        <v>0</v>
      </c>
      <c r="H248" s="26">
        <f ca="1">'Landscape Trees '!I106</f>
        <v>150</v>
      </c>
    </row>
    <row r="249" spans="1:8" ht="12.75">
      <c r="A249" s="23" t="str">
        <f ca="1">'Landscape Trees '!A107</f>
        <v>Fagus sylvatica</v>
      </c>
      <c r="B249" s="23" t="str">
        <f ca="1">'Landscape Trees '!C107</f>
        <v>European Beech</v>
      </c>
      <c r="C249" s="23" t="str">
        <f ca="1">'Landscape Trees '!D107</f>
        <v>#5</v>
      </c>
      <c r="D249" s="24" t="str">
        <f ca="1">'Landscape Trees '!E107</f>
        <v>1-1"</v>
      </c>
      <c r="E249" s="23" t="str">
        <f ca="1">'Landscape Trees '!F107</f>
        <v>6-7'</v>
      </c>
      <c r="F249" s="25">
        <f ca="1">'Landscape Trees '!G107</f>
        <v>17</v>
      </c>
      <c r="G249" s="23">
        <f ca="1">'Landscape Trees '!H107</f>
        <v>0</v>
      </c>
      <c r="H249" s="26">
        <f ca="1">'Landscape Trees '!I107</f>
        <v>40</v>
      </c>
    </row>
    <row r="250" spans="1:8" ht="12.75">
      <c r="A250" s="23" t="str">
        <f ca="1">'Landscape Trees '!A108</f>
        <v>Fagus sylvatica</v>
      </c>
      <c r="B250" s="23" t="str">
        <f ca="1">'Landscape Trees '!C108</f>
        <v>European Beech</v>
      </c>
      <c r="C250" s="23" t="str">
        <f ca="1">'Landscape Trees '!D108</f>
        <v>#10</v>
      </c>
      <c r="D250" s="24" t="str">
        <f ca="1">'Landscape Trees '!E108</f>
        <v>1.25-1.25"</v>
      </c>
      <c r="E250" s="23" t="str">
        <f ca="1">'Landscape Trees '!F108</f>
        <v>9-13'</v>
      </c>
      <c r="F250" s="25">
        <f ca="1">'Landscape Trees '!G108</f>
        <v>1</v>
      </c>
      <c r="G250" s="23">
        <f ca="1">'Landscape Trees '!H108</f>
        <v>0</v>
      </c>
      <c r="H250" s="26">
        <f ca="1">'Landscape Trees '!I108</f>
        <v>100</v>
      </c>
    </row>
    <row r="251" spans="1:8" ht="12.75">
      <c r="A251" s="23" t="str">
        <f ca="1">'Landscape Trees '!A109</f>
        <v>Fagus sylvatica f. purpurea</v>
      </c>
      <c r="B251" s="23" t="str">
        <f ca="1">'Landscape Trees '!C109</f>
        <v>Purple Beech</v>
      </c>
      <c r="C251" s="23" t="str">
        <f ca="1">'Landscape Trees '!D109</f>
        <v>#10</v>
      </c>
      <c r="D251" s="24" t="str">
        <f ca="1">'Landscape Trees '!E109</f>
        <v>0.75-1"</v>
      </c>
      <c r="E251" s="23" t="str">
        <f ca="1">'Landscape Trees '!F109</f>
        <v>4-5'</v>
      </c>
      <c r="F251" s="25">
        <f ca="1">'Landscape Trees '!G109</f>
        <v>3</v>
      </c>
      <c r="G251" s="23">
        <f ca="1">'Landscape Trees '!H109</f>
        <v>0</v>
      </c>
      <c r="H251" s="26">
        <f ca="1">'Landscape Trees '!I109</f>
        <v>80</v>
      </c>
    </row>
    <row r="252" spans="1:8" ht="12.75">
      <c r="A252" s="23" t="str">
        <f ca="1">'Landscape Trees '!A110</f>
        <v>Fothergilla x 'Mt. Airy'</v>
      </c>
      <c r="B252" s="23" t="str">
        <f ca="1">'Landscape Trees '!C110</f>
        <v>Mt. Airy Fothergilla</v>
      </c>
      <c r="C252" s="23" t="str">
        <f ca="1">'Landscape Trees '!D110</f>
        <v>#5</v>
      </c>
      <c r="D252" s="24" t="str">
        <f ca="1">'Landscape Trees '!E110</f>
        <v>0.38-0.25"</v>
      </c>
      <c r="E252" s="23" t="str">
        <f ca="1">'Landscape Trees '!F110</f>
        <v>1-2'</v>
      </c>
      <c r="F252" s="25">
        <f ca="1">'Landscape Trees '!G110</f>
        <v>0</v>
      </c>
      <c r="G252" s="23">
        <f ca="1">'Landscape Trees '!H110</f>
        <v>30</v>
      </c>
      <c r="H252" s="26">
        <f ca="1">'Landscape Trees '!I110</f>
        <v>30</v>
      </c>
    </row>
    <row r="253" spans="1:8" ht="12.75">
      <c r="A253" s="23" t="str">
        <f ca="1">'Landscape Trees '!A111</f>
        <v>Franklinia alatamaha</v>
      </c>
      <c r="B253" s="23" t="str">
        <f ca="1">'Landscape Trees '!C111</f>
        <v>Franklinia</v>
      </c>
      <c r="C253" s="23" t="str">
        <f ca="1">'Landscape Trees '!D111</f>
        <v>#5</v>
      </c>
      <c r="D253" s="24" t="str">
        <f ca="1">'Landscape Trees '!E111</f>
        <v>0.75-1"</v>
      </c>
      <c r="E253" s="23" t="str">
        <f ca="1">'Landscape Trees '!F111</f>
        <v>5-6'</v>
      </c>
      <c r="F253" s="25">
        <f ca="1">'Landscape Trees '!G111</f>
        <v>13</v>
      </c>
      <c r="G253" s="23">
        <f ca="1">'Landscape Trees '!H111</f>
        <v>0</v>
      </c>
      <c r="H253" s="26">
        <f ca="1">'Landscape Trees '!I111</f>
        <v>50</v>
      </c>
    </row>
    <row r="254" spans="1:8" ht="12.75">
      <c r="A254" s="23" t="str">
        <f ca="1">'Landscape Trees '!A112</f>
        <v>Ginkgo biloba 'Autumn Gold'</v>
      </c>
      <c r="B254" s="23" t="str">
        <f ca="1">'Landscape Trees '!C112</f>
        <v>Autumn Gold Ginkgo</v>
      </c>
      <c r="C254" s="23" t="str">
        <f ca="1">'Landscape Trees '!D112</f>
        <v>#7</v>
      </c>
      <c r="D254" s="24" t="str">
        <f ca="1">'Landscape Trees '!E112</f>
        <v>0.5-0.75"</v>
      </c>
      <c r="E254" s="23" t="str">
        <f ca="1">'Landscape Trees '!F112</f>
        <v>3-4'</v>
      </c>
      <c r="F254" s="25">
        <f ca="1">'Landscape Trees '!G112</f>
        <v>0</v>
      </c>
      <c r="G254" s="23">
        <f ca="1">'Landscape Trees '!H112</f>
        <v>20</v>
      </c>
      <c r="H254" s="26">
        <f ca="1">'Landscape Trees '!I112</f>
        <v>50</v>
      </c>
    </row>
    <row r="255" spans="1:8" ht="12.75">
      <c r="A255" s="23" t="str">
        <f ca="1">'Landscape Trees '!A113</f>
        <v>Ginkgo biloba 'Autumn Gold'</v>
      </c>
      <c r="B255" s="23" t="str">
        <f ca="1">'Landscape Trees '!C113</f>
        <v>Autumn Gold Ginkgo</v>
      </c>
      <c r="C255" s="23" t="str">
        <f ca="1">'Landscape Trees '!D113</f>
        <v>#10</v>
      </c>
      <c r="D255" s="24" t="str">
        <f ca="1">'Landscape Trees '!E113</f>
        <v>0.25-0.5"</v>
      </c>
      <c r="E255" s="23" t="str">
        <f ca="1">'Landscape Trees '!F113</f>
        <v>2-3'</v>
      </c>
      <c r="F255" s="25">
        <f ca="1">'Landscape Trees '!G113</f>
        <v>0</v>
      </c>
      <c r="G255" s="23">
        <f ca="1">'Landscape Trees '!H113</f>
        <v>20</v>
      </c>
      <c r="H255" s="26">
        <f ca="1">'Landscape Trees '!I113</f>
        <v>50</v>
      </c>
    </row>
    <row r="256" spans="1:8" ht="12.75">
      <c r="A256" s="23" t="str">
        <f ca="1">'Landscape Trees '!A114</f>
        <v>Ginkgo biloba 'Princeton Sentry'</v>
      </c>
      <c r="B256" s="23" t="str">
        <f ca="1">'Landscape Trees '!C114</f>
        <v>Princeton Sentry Ginkgo biloba</v>
      </c>
      <c r="C256" s="23" t="str">
        <f ca="1">'Landscape Trees '!D114</f>
        <v>#15</v>
      </c>
      <c r="D256" s="24" t="str">
        <f ca="1">'Landscape Trees '!E114</f>
        <v>1.25-1.25"</v>
      </c>
      <c r="E256" s="23" t="str">
        <f ca="1">'Landscape Trees '!F114</f>
        <v>9-9'</v>
      </c>
      <c r="F256" s="25">
        <f ca="1">'Landscape Trees '!G114</f>
        <v>2</v>
      </c>
      <c r="G256" s="23">
        <f ca="1">'Landscape Trees '!H114</f>
        <v>0</v>
      </c>
      <c r="H256" s="26">
        <f ca="1">'Landscape Trees '!I114</f>
        <v>110</v>
      </c>
    </row>
    <row r="257" spans="1:8" ht="12.75">
      <c r="A257" s="23" t="str">
        <f ca="1">'Landscape Trees '!A115</f>
        <v>Ginkgo biloba 'Windover Gold'</v>
      </c>
      <c r="B257" s="23" t="str">
        <f ca="1">'Landscape Trees '!C115</f>
        <v>Windover Gold Ginkgo</v>
      </c>
      <c r="C257" s="23" t="str">
        <f ca="1">'Landscape Trees '!D115</f>
        <v>#25</v>
      </c>
      <c r="D257" s="24" t="str">
        <f ca="1">'Landscape Trees '!E115</f>
        <v>1.5-1.5"</v>
      </c>
      <c r="E257" s="23" t="str">
        <f ca="1">'Landscape Trees '!F115</f>
        <v>10-11'</v>
      </c>
      <c r="F257" s="25">
        <f ca="1">'Landscape Trees '!G115</f>
        <v>3</v>
      </c>
      <c r="G257" s="23">
        <f ca="1">'Landscape Trees '!H115</f>
        <v>0</v>
      </c>
      <c r="H257" s="26">
        <f ca="1">'Landscape Trees '!I115</f>
        <v>135</v>
      </c>
    </row>
    <row r="258" spans="1:8" ht="12.75">
      <c r="A258" s="23" t="str">
        <f ca="1">'Landscape Trees '!A116</f>
        <v>Gledistia triacanthos 'Sunset Gold'</v>
      </c>
      <c r="B258" s="23" t="str">
        <f ca="1">'Landscape Trees '!C116</f>
        <v>Sunset Gold Honeylocust</v>
      </c>
      <c r="C258" s="23" t="str">
        <f ca="1">'Landscape Trees '!D116</f>
        <v>#15</v>
      </c>
      <c r="D258" s="24" t="str">
        <f ca="1">'Landscape Trees '!E116</f>
        <v>1.25-1.5"</v>
      </c>
      <c r="E258" s="23" t="str">
        <f ca="1">'Landscape Trees '!F116</f>
        <v>8-10'</v>
      </c>
      <c r="F258" s="25">
        <f ca="1">'Landscape Trees '!G116</f>
        <v>8</v>
      </c>
      <c r="G258" s="23">
        <f ca="1">'Landscape Trees '!H116</f>
        <v>0</v>
      </c>
      <c r="H258" s="26">
        <f ca="1">'Landscape Trees '!I116</f>
        <v>110</v>
      </c>
    </row>
    <row r="259" spans="1:8" ht="12.75">
      <c r="A259" s="23" t="str">
        <f ca="1">'Landscape Trees '!A117</f>
        <v>Gledistia triacanthos 'Sunset Gold'</v>
      </c>
      <c r="B259" s="23" t="str">
        <f ca="1">'Landscape Trees '!C117</f>
        <v>Sunset Gold Honeylocust</v>
      </c>
      <c r="C259" s="23" t="str">
        <f ca="1">'Landscape Trees '!D117</f>
        <v>#25</v>
      </c>
      <c r="D259" s="24" t="str">
        <f ca="1">'Landscape Trees '!E117</f>
        <v>1.25-1.25"</v>
      </c>
      <c r="E259" s="23" t="str">
        <f ca="1">'Landscape Trees '!F117</f>
        <v>10-10'</v>
      </c>
      <c r="F259" s="25">
        <f ca="1">'Landscape Trees '!G117</f>
        <v>1</v>
      </c>
      <c r="G259" s="23">
        <f ca="1">'Landscape Trees '!H117</f>
        <v>0</v>
      </c>
      <c r="H259" s="26">
        <f ca="1">'Landscape Trees '!I117</f>
        <v>135</v>
      </c>
    </row>
    <row r="260" spans="1:8" ht="12.75">
      <c r="A260" s="23" t="str">
        <f ca="1">'Landscape Trees '!A118</f>
        <v>Gleditsia triacanthos 'Shademaster'</v>
      </c>
      <c r="B260" s="23" t="str">
        <f ca="1">'Landscape Trees '!C118</f>
        <v>Shademaster Honeylocust</v>
      </c>
      <c r="C260" s="23" t="str">
        <f ca="1">'Landscape Trees '!D118</f>
        <v>#15</v>
      </c>
      <c r="D260" s="24" t="str">
        <f ca="1">'Landscape Trees '!E118</f>
        <v>1.25-1.5"</v>
      </c>
      <c r="E260" s="23" t="str">
        <f ca="1">'Landscape Trees '!F118</f>
        <v>10-11'</v>
      </c>
      <c r="F260" s="25">
        <f ca="1">'Landscape Trees '!G118</f>
        <v>8</v>
      </c>
      <c r="G260" s="23">
        <f ca="1">'Landscape Trees '!H118</f>
        <v>15</v>
      </c>
      <c r="H260" s="26">
        <f ca="1">'Landscape Trees '!I118</f>
        <v>110</v>
      </c>
    </row>
    <row r="261" spans="1:8" ht="12.75">
      <c r="A261" s="23" t="str">
        <f ca="1">'Landscape Trees '!A119</f>
        <v>Gleditsia triacanthos 'Shademaster'</v>
      </c>
      <c r="B261" s="23" t="str">
        <f ca="1">'Landscape Trees '!C119</f>
        <v>Shademaster Honeylocust</v>
      </c>
      <c r="C261" s="23" t="str">
        <f ca="1">'Landscape Trees '!D119</f>
        <v>#25</v>
      </c>
      <c r="D261" s="24" t="str">
        <f ca="1">'Landscape Trees '!E119</f>
        <v>1.25-1.5"</v>
      </c>
      <c r="E261" s="23" t="str">
        <f ca="1">'Landscape Trees '!F119</f>
        <v>10-11'</v>
      </c>
      <c r="F261" s="25">
        <f ca="1">'Landscape Trees '!G119</f>
        <v>3</v>
      </c>
      <c r="G261" s="23">
        <f ca="1">'Landscape Trees '!H119</f>
        <v>0</v>
      </c>
      <c r="H261" s="26">
        <f ca="1">'Landscape Trees '!I119</f>
        <v>135</v>
      </c>
    </row>
    <row r="262" spans="1:8" ht="12.75">
      <c r="A262" s="23" t="str">
        <f ca="1">'Landscape Trees '!A120</f>
        <v>Gleditsia triacanthos 'Skyline'</v>
      </c>
      <c r="B262" s="23" t="str">
        <f ca="1">'Landscape Trees '!C120</f>
        <v>Skyline Honeylocust</v>
      </c>
      <c r="C262" s="23" t="str">
        <f ca="1">'Landscape Trees '!D120</f>
        <v>#15</v>
      </c>
      <c r="D262" s="24" t="str">
        <f ca="1">'Landscape Trees '!E120</f>
        <v>1-1"</v>
      </c>
      <c r="E262" s="23" t="str">
        <f ca="1">'Landscape Trees '!F120</f>
        <v>8-9'</v>
      </c>
      <c r="F262" s="25">
        <f ca="1">'Landscape Trees '!G120</f>
        <v>0</v>
      </c>
      <c r="G262" s="23">
        <f ca="1">'Landscape Trees '!H120</f>
        <v>15</v>
      </c>
      <c r="H262" s="26">
        <f ca="1">'Landscape Trees '!I120</f>
        <v>110</v>
      </c>
    </row>
    <row r="263" spans="1:8" ht="12.75">
      <c r="A263" s="23" t="str">
        <f ca="1">'Landscape Trees '!A121</f>
        <v>Gleditsia triacanthos 'Skyline'</v>
      </c>
      <c r="B263" s="23" t="str">
        <f ca="1">'Landscape Trees '!C121</f>
        <v>Skyline Honeylocust</v>
      </c>
      <c r="C263" s="23" t="str">
        <f ca="1">'Landscape Trees '!D121</f>
        <v>#25</v>
      </c>
      <c r="D263" s="24" t="str">
        <f ca="1">'Landscape Trees '!E121</f>
        <v>0-1.5"</v>
      </c>
      <c r="E263" s="23" t="str">
        <f ca="1">'Landscape Trees '!F121</f>
        <v>0-10'</v>
      </c>
      <c r="F263" s="25">
        <f ca="1">'Landscape Trees '!G121</f>
        <v>0</v>
      </c>
      <c r="G263" s="23">
        <f ca="1">'Landscape Trees '!H121</f>
        <v>5</v>
      </c>
      <c r="H263" s="26">
        <f ca="1">'Landscape Trees '!I121</f>
        <v>135</v>
      </c>
    </row>
    <row r="264" spans="1:8" ht="12.75">
      <c r="A264" s="23" t="str">
        <f ca="1">'Landscape Trees '!A122</f>
        <v>Gymnocladus dioicus</v>
      </c>
      <c r="B264" s="23" t="str">
        <f ca="1">'Landscape Trees '!C122</f>
        <v>Kentucky Coffeetree</v>
      </c>
      <c r="C264" s="23" t="str">
        <f ca="1">'Landscape Trees '!D122</f>
        <v>#5</v>
      </c>
      <c r="D264" s="24" t="str">
        <f ca="1">'Landscape Trees '!E122</f>
        <v>0.25-0.75"</v>
      </c>
      <c r="E264" s="23" t="str">
        <f ca="1">'Landscape Trees '!F122</f>
        <v>1-5'</v>
      </c>
      <c r="F264" s="25">
        <f ca="1">'Landscape Trees '!G122</f>
        <v>180</v>
      </c>
      <c r="G264" s="23">
        <f ca="1">'Landscape Trees '!H122</f>
        <v>50</v>
      </c>
      <c r="H264" s="26">
        <f ca="1">'Landscape Trees '!I122</f>
        <v>35</v>
      </c>
    </row>
    <row r="265" spans="1:8" ht="12.75">
      <c r="A265" s="23" t="str">
        <f ca="1">'Landscape Trees '!A123</f>
        <v>Gymnocladus dioicus</v>
      </c>
      <c r="B265" s="23" t="str">
        <f ca="1">'Landscape Trees '!C123</f>
        <v>Kentucky Coffeetree</v>
      </c>
      <c r="C265" s="23" t="str">
        <f ca="1">'Landscape Trees '!D123</f>
        <v>#15</v>
      </c>
      <c r="D265" s="24" t="str">
        <f ca="1">'Landscape Trees '!E123</f>
        <v>0.75-1"</v>
      </c>
      <c r="E265" s="23" t="str">
        <f ca="1">'Landscape Trees '!F123</f>
        <v>8-9'</v>
      </c>
      <c r="F265" s="25">
        <f ca="1">'Landscape Trees '!G123</f>
        <v>0</v>
      </c>
      <c r="G265" s="23">
        <f ca="1">'Landscape Trees '!H123</f>
        <v>10</v>
      </c>
      <c r="H265" s="26">
        <f ca="1">'Landscape Trees '!I123</f>
        <v>110</v>
      </c>
    </row>
    <row r="266" spans="1:8" ht="12.75">
      <c r="A266" s="23" t="str">
        <f ca="1">'Landscape Trees '!A124</f>
        <v>Gymnocladus dioicus 'Espresso'</v>
      </c>
      <c r="B266" s="23" t="str">
        <f ca="1">'Landscape Trees '!C124</f>
        <v>Espresso Kentucky Coffeetree</v>
      </c>
      <c r="C266" s="23" t="str">
        <f ca="1">'Landscape Trees '!D124</f>
        <v>#15</v>
      </c>
      <c r="D266" s="24" t="str">
        <f ca="1">'Landscape Trees '!E124</f>
        <v>1-1"</v>
      </c>
      <c r="E266" s="23" t="str">
        <f ca="1">'Landscape Trees '!F124</f>
        <v>7-10'</v>
      </c>
      <c r="F266" s="25">
        <f ca="1">'Landscape Trees '!G124</f>
        <v>5</v>
      </c>
      <c r="G266" s="23">
        <f ca="1">'Landscape Trees '!H124</f>
        <v>0</v>
      </c>
      <c r="H266" s="26">
        <f ca="1">'Landscape Trees '!I124</f>
        <v>110</v>
      </c>
    </row>
    <row r="267" spans="1:8" ht="12.75">
      <c r="A267" s="23" t="str">
        <f ca="1">'Landscape Trees '!A125</f>
        <v>Gymnocladus dioicus 'Espresso'</v>
      </c>
      <c r="B267" s="23" t="str">
        <f ca="1">'Landscape Trees '!C125</f>
        <v>Espresso Kentucky Coffeetree</v>
      </c>
      <c r="C267" s="23" t="str">
        <f ca="1">'Landscape Trees '!D125</f>
        <v>#25</v>
      </c>
      <c r="D267" s="24" t="str">
        <f ca="1">'Landscape Trees '!E125</f>
        <v>1-1"</v>
      </c>
      <c r="E267" s="23" t="str">
        <f ca="1">'Landscape Trees '!F125</f>
        <v>7-10'</v>
      </c>
      <c r="F267" s="25">
        <f ca="1">'Landscape Trees '!G125</f>
        <v>4</v>
      </c>
      <c r="G267" s="23">
        <f ca="1">'Landscape Trees '!H125</f>
        <v>0</v>
      </c>
      <c r="H267" s="26">
        <f ca="1">'Landscape Trees '!I125</f>
        <v>135</v>
      </c>
    </row>
    <row r="268" spans="1:8" ht="12.75">
      <c r="A268" s="23" t="str">
        <f ca="1">'Landscape Trees '!A126</f>
        <v>Hamamelis virginiana</v>
      </c>
      <c r="B268" s="23" t="str">
        <f ca="1">'Landscape Trees '!C126</f>
        <v>Witch Hazel</v>
      </c>
      <c r="C268" s="23" t="str">
        <f ca="1">'Landscape Trees '!D126</f>
        <v>#5</v>
      </c>
      <c r="D268" s="27" t="str">
        <f ca="1">'Landscape Trees '!E126</f>
        <v>Multi</v>
      </c>
      <c r="E268" s="23" t="str">
        <f ca="1">'Landscape Trees '!F126</f>
        <v>1-4.5'</v>
      </c>
      <c r="F268" s="25">
        <f ca="1">'Landscape Trees '!G126</f>
        <v>120</v>
      </c>
      <c r="G268" s="23">
        <f ca="1">'Landscape Trees '!H126</f>
        <v>200</v>
      </c>
      <c r="H268" s="26">
        <f ca="1">'Landscape Trees '!I126</f>
        <v>35</v>
      </c>
    </row>
    <row r="269" spans="1:8" ht="12.75">
      <c r="A269" s="23" t="str">
        <f ca="1">'Landscape Trees '!A127</f>
        <v>Hamamelis x 'Diane'</v>
      </c>
      <c r="B269" s="23" t="str">
        <f ca="1">'Landscape Trees '!C127</f>
        <v>Diane Witch Hazel</v>
      </c>
      <c r="C269" s="23" t="str">
        <f ca="1">'Landscape Trees '!D127</f>
        <v>#5</v>
      </c>
      <c r="D269" s="24" t="str">
        <f ca="1">'Landscape Trees '!E127</f>
        <v>Multi</v>
      </c>
      <c r="E269" s="23" t="str">
        <f ca="1">'Landscape Trees '!F127</f>
        <v>1-2'</v>
      </c>
      <c r="F269" s="25">
        <f ca="1">'Landscape Trees '!G127</f>
        <v>1</v>
      </c>
      <c r="G269" s="23">
        <f ca="1">'Landscape Trees '!H127</f>
        <v>10</v>
      </c>
      <c r="H269" s="26">
        <f ca="1">'Landscape Trees '!I127</f>
        <v>35</v>
      </c>
    </row>
    <row r="270" spans="1:8" ht="12.75">
      <c r="A270" s="23" t="str">
        <f ca="1">'Landscape Trees '!A128</f>
        <v>Hydrangea qu. 'Ruby slippers'</v>
      </c>
      <c r="B270" s="23" t="str">
        <f ca="1">'Landscape Trees '!C128</f>
        <v>Ruby Slippers Oakleaf Hydrangea</v>
      </c>
      <c r="C270" s="23" t="str">
        <f ca="1">'Landscape Trees '!D128</f>
        <v>#5</v>
      </c>
      <c r="D270" s="24" t="str">
        <f ca="1">'Landscape Trees '!E128</f>
        <v>Multi</v>
      </c>
      <c r="E270" s="23" t="str">
        <f ca="1">'Landscape Trees '!F128</f>
        <v>1-3'</v>
      </c>
      <c r="F270" s="25">
        <f ca="1">'Landscape Trees '!G128</f>
        <v>9</v>
      </c>
      <c r="G270" s="23">
        <f ca="1">'Landscape Trees '!H128</f>
        <v>100</v>
      </c>
      <c r="H270" s="26">
        <f ca="1">'Landscape Trees '!I128</f>
        <v>30</v>
      </c>
    </row>
    <row r="271" spans="1:8" ht="12.75">
      <c r="A271" s="23" t="str">
        <f ca="1">'Landscape Trees '!A129</f>
        <v>Hydrangea que. 'Munchkin'</v>
      </c>
      <c r="B271" s="23" t="str">
        <f ca="1">'Landscape Trees '!C129</f>
        <v>Munchkin Oakleaf Hydrangea</v>
      </c>
      <c r="C271" s="23" t="str">
        <f ca="1">'Landscape Trees '!D129</f>
        <v>#5</v>
      </c>
      <c r="D271" s="24" t="str">
        <f ca="1">'Landscape Trees '!E129</f>
        <v>Multi</v>
      </c>
      <c r="E271" s="23" t="str">
        <f ca="1">'Landscape Trees '!F129</f>
        <v>1-1'</v>
      </c>
      <c r="F271" s="25">
        <f ca="1">'Landscape Trees '!G129</f>
        <v>2</v>
      </c>
      <c r="G271" s="23">
        <f ca="1">'Landscape Trees '!H129</f>
        <v>0</v>
      </c>
      <c r="H271" s="26">
        <f ca="1">'Landscape Trees '!I129</f>
        <v>30</v>
      </c>
    </row>
    <row r="272" spans="1:8" ht="12.75">
      <c r="A272" s="23" t="str">
        <f ca="1">'Landscape Trees '!A130</f>
        <v>Hydrangea que. 'Pee Wee'</v>
      </c>
      <c r="B272" s="23" t="str">
        <f ca="1">'Landscape Trees '!C130</f>
        <v>Pee Wee Oakleaf Hydrangea</v>
      </c>
      <c r="C272" s="23" t="str">
        <f ca="1">'Landscape Trees '!D130</f>
        <v>#5</v>
      </c>
      <c r="D272" s="27" t="str">
        <f ca="1">'Landscape Trees '!E130</f>
        <v>Multi</v>
      </c>
      <c r="E272" s="23" t="str">
        <f ca="1">'Landscape Trees '!F130</f>
        <v>1-2'</v>
      </c>
      <c r="F272" s="25">
        <f ca="1">'Landscape Trees '!G130</f>
        <v>26</v>
      </c>
      <c r="G272" s="23">
        <f ca="1">'Landscape Trees '!H130</f>
        <v>50</v>
      </c>
      <c r="H272" s="26">
        <f ca="1">'Landscape Trees '!I130</f>
        <v>30</v>
      </c>
    </row>
    <row r="273" spans="1:8" ht="12.75">
      <c r="A273" s="23" t="str">
        <f ca="1">'Landscape Trees '!A131</f>
        <v>Hydrangea que. 'Snow Queen'</v>
      </c>
      <c r="B273" s="23" t="str">
        <f ca="1">'Landscape Trees '!C131</f>
        <v>Snow Queen Oakleaf Hydrangea</v>
      </c>
      <c r="C273" s="23" t="str">
        <f ca="1">'Landscape Trees '!D131</f>
        <v>#5</v>
      </c>
      <c r="D273" s="24" t="str">
        <f ca="1">'Landscape Trees '!E131</f>
        <v>Multi</v>
      </c>
      <c r="E273" s="23" t="str">
        <f ca="1">'Landscape Trees '!F131</f>
        <v>2-3'</v>
      </c>
      <c r="F273" s="25">
        <f ca="1">'Landscape Trees '!G131</f>
        <v>43</v>
      </c>
      <c r="G273" s="23">
        <f ca="1">'Landscape Trees '!H131</f>
        <v>50</v>
      </c>
      <c r="H273" s="26">
        <f ca="1">'Landscape Trees '!I131</f>
        <v>30</v>
      </c>
    </row>
    <row r="274" spans="1:8" ht="12.75">
      <c r="A274" s="23" t="str">
        <f ca="1">'Landscape Trees '!A132</f>
        <v>Hydrangea quercifolia 'Alice'</v>
      </c>
      <c r="B274" s="23" t="str">
        <f ca="1">'Landscape Trees '!C132</f>
        <v>Alice Oakleaf Hydrangea</v>
      </c>
      <c r="C274" s="23" t="str">
        <f ca="1">'Landscape Trees '!D132</f>
        <v>#5</v>
      </c>
      <c r="D274" s="27" t="str">
        <f ca="1">'Landscape Trees '!E132</f>
        <v>Multi</v>
      </c>
      <c r="E274" s="23" t="str">
        <f ca="1">'Landscape Trees '!F132</f>
        <v>1-2'</v>
      </c>
      <c r="F274" s="25">
        <f ca="1">'Landscape Trees '!G132</f>
        <v>3</v>
      </c>
      <c r="G274" s="23">
        <f ca="1">'Landscape Trees '!H132</f>
        <v>0</v>
      </c>
      <c r="H274" s="26">
        <f ca="1">'Landscape Trees '!I132</f>
        <v>30</v>
      </c>
    </row>
    <row r="275" spans="1:8" ht="12.75">
      <c r="A275" s="23" t="str">
        <f ca="1">'Landscape Trees '!A133</f>
        <v>Hypericum calycinum 'Fiesta'</v>
      </c>
      <c r="B275" s="23" t="str">
        <f ca="1">'Landscape Trees '!C133</f>
        <v>Fiesta St. John's wort</v>
      </c>
      <c r="C275" s="23" t="str">
        <f ca="1">'Landscape Trees '!D133</f>
        <v>#5</v>
      </c>
      <c r="D275" s="27" t="str">
        <f ca="1">'Landscape Trees '!E133</f>
        <v>Multi</v>
      </c>
      <c r="E275" s="23" t="str">
        <f ca="1">'Landscape Trees '!F133</f>
        <v>0.5-1'</v>
      </c>
      <c r="F275" s="25">
        <f ca="1">'Landscape Trees '!G133</f>
        <v>4</v>
      </c>
      <c r="G275" s="23">
        <f ca="1">'Landscape Trees '!H133</f>
        <v>0</v>
      </c>
      <c r="H275" s="26">
        <f ca="1">'Landscape Trees '!I133</f>
        <v>30</v>
      </c>
    </row>
    <row r="276" spans="1:8" ht="12.75">
      <c r="A276" s="23" t="str">
        <f ca="1">'Landscape Trees '!A134</f>
        <v>Ilex opaca</v>
      </c>
      <c r="B276" s="23" t="str">
        <f ca="1">'Landscape Trees '!C134</f>
        <v>Satyr Hill American Holly</v>
      </c>
      <c r="C276" s="23" t="str">
        <f ca="1">'Landscape Trees '!D134</f>
        <v>#7</v>
      </c>
      <c r="D276" s="24" t="str">
        <f ca="1">'Landscape Trees '!E134</f>
        <v>1-1"</v>
      </c>
      <c r="E276" s="23" t="str">
        <f ca="1">'Landscape Trees '!F134</f>
        <v>7-7'</v>
      </c>
      <c r="F276" s="25">
        <f ca="1">'Landscape Trees '!G134</f>
        <v>1</v>
      </c>
      <c r="G276" s="23">
        <f ca="1">'Landscape Trees '!H134</f>
        <v>0</v>
      </c>
      <c r="H276" s="26">
        <f ca="1">'Landscape Trees '!I134</f>
        <v>85</v>
      </c>
    </row>
    <row r="277" spans="1:8" ht="12.75">
      <c r="A277" s="23" t="str">
        <f ca="1">'Landscape Trees '!A135</f>
        <v>Ilex verticillata 'Southern Gentleman'</v>
      </c>
      <c r="B277" s="23" t="str">
        <f ca="1">'Landscape Trees '!C135</f>
        <v>Southern Gentleman Winterberry Holly</v>
      </c>
      <c r="C277" s="23" t="str">
        <f ca="1">'Landscape Trees '!D135</f>
        <v>#5</v>
      </c>
      <c r="D277" s="24" t="str">
        <f ca="1">'Landscape Trees '!E135</f>
        <v>Multi</v>
      </c>
      <c r="E277" s="23" t="str">
        <f ca="1">'Landscape Trees '!F135</f>
        <v>1-2'</v>
      </c>
      <c r="F277" s="25">
        <f ca="1">'Landscape Trees '!G135</f>
        <v>0</v>
      </c>
      <c r="G277" s="23">
        <f ca="1">'Landscape Trees '!H135</f>
        <v>50</v>
      </c>
      <c r="H277" s="26">
        <f ca="1">'Landscape Trees '!I135</f>
        <v>30</v>
      </c>
    </row>
    <row r="278" spans="1:8" ht="12.75">
      <c r="A278" s="23" t="str">
        <f ca="1">'Landscape Trees '!A136</f>
        <v>Ilex verticillata 'Winter Gold'</v>
      </c>
      <c r="B278" s="23" t="str">
        <f ca="1">'Landscape Trees '!C136</f>
        <v>Winter Gold Holly</v>
      </c>
      <c r="C278" s="23" t="str">
        <f ca="1">'Landscape Trees '!D136</f>
        <v>#2</v>
      </c>
      <c r="D278" s="27" t="str">
        <f ca="1">'Landscape Trees '!E136</f>
        <v>Multi</v>
      </c>
      <c r="E278" s="23" t="str">
        <f ca="1">'Landscape Trees '!F136</f>
        <v>2-3'</v>
      </c>
      <c r="F278" s="25">
        <f ca="1">'Landscape Trees '!G136</f>
        <v>2</v>
      </c>
      <c r="G278" s="23">
        <f ca="1">'Landscape Trees '!H136</f>
        <v>50</v>
      </c>
      <c r="H278" s="26">
        <f ca="1">'Landscape Trees '!I136</f>
        <v>15</v>
      </c>
    </row>
    <row r="279" spans="1:8" ht="12.75">
      <c r="A279" s="23" t="str">
        <f ca="1">'Landscape Trees '!A137</f>
        <v>Ilex verticillata 'Winter Red'</v>
      </c>
      <c r="B279" s="23" t="str">
        <f ca="1">'Landscape Trees '!C137</f>
        <v>Winter Red Winterberry Holly</v>
      </c>
      <c r="C279" s="23" t="str">
        <f ca="1">'Landscape Trees '!D137</f>
        <v>#5</v>
      </c>
      <c r="D279" s="24" t="str">
        <f ca="1">'Landscape Trees '!E137</f>
        <v>Multi</v>
      </c>
      <c r="E279" s="23" t="str">
        <f ca="1">'Landscape Trees '!F137</f>
        <v>2-2'</v>
      </c>
      <c r="F279" s="25">
        <f ca="1">'Landscape Trees '!G137</f>
        <v>17</v>
      </c>
      <c r="G279" s="23">
        <f ca="1">'Landscape Trees '!H137</f>
        <v>100</v>
      </c>
      <c r="H279" s="26">
        <f ca="1">'Landscape Trees '!I137</f>
        <v>30</v>
      </c>
    </row>
    <row r="280" spans="1:8" ht="12.75">
      <c r="A280" s="23" t="str">
        <f ca="1">'Landscape Trees '!A138</f>
        <v>Juglans cinerea</v>
      </c>
      <c r="B280" s="23" t="str">
        <f ca="1">'Landscape Trees '!C138</f>
        <v>Butternut</v>
      </c>
      <c r="C280" s="23" t="str">
        <f ca="1">'Landscape Trees '!D138</f>
        <v>#5</v>
      </c>
      <c r="D280" s="24" t="str">
        <f ca="1">'Landscape Trees '!E138</f>
        <v>0.5-0.75"</v>
      </c>
      <c r="E280" s="23" t="str">
        <f ca="1">'Landscape Trees '!F138</f>
        <v>3-5'</v>
      </c>
      <c r="F280" s="25">
        <f ca="1">'Landscape Trees '!G138</f>
        <v>62</v>
      </c>
      <c r="G280" s="23">
        <f ca="1">'Landscape Trees '!H138</f>
        <v>0</v>
      </c>
      <c r="H280" s="26">
        <f ca="1">'Landscape Trees '!I138</f>
        <v>35</v>
      </c>
    </row>
    <row r="281" spans="1:8" ht="12.75">
      <c r="A281" s="23" t="str">
        <f ca="1">'Landscape Trees '!A139</f>
        <v>Juglans nigra</v>
      </c>
      <c r="B281" s="23" t="str">
        <f ca="1">'Landscape Trees '!C139</f>
        <v>Black Walnut</v>
      </c>
      <c r="C281" s="23" t="str">
        <f ca="1">'Landscape Trees '!D139</f>
        <v>#15</v>
      </c>
      <c r="D281" s="24" t="str">
        <f ca="1">'Landscape Trees '!E139</f>
        <v>1.25-1.75"</v>
      </c>
      <c r="E281" s="23" t="str">
        <f ca="1">'Landscape Trees '!F139</f>
        <v>8-9'</v>
      </c>
      <c r="F281" s="25">
        <f ca="1">'Landscape Trees '!G139</f>
        <v>2</v>
      </c>
      <c r="G281" s="23">
        <f ca="1">'Landscape Trees '!H139</f>
        <v>0</v>
      </c>
      <c r="H281" s="26">
        <f ca="1">'Landscape Trees '!I139</f>
        <v>110</v>
      </c>
    </row>
    <row r="282" spans="1:8" ht="12.75">
      <c r="A282" s="23" t="str">
        <f ca="1">'Landscape Trees '!A140</f>
        <v>Koelreuteria paniculata</v>
      </c>
      <c r="B282" s="23" t="str">
        <f ca="1">'Landscape Trees '!C140</f>
        <v>Golden Rain Tree</v>
      </c>
      <c r="C282" s="23" t="str">
        <f ca="1">'Landscape Trees '!D140</f>
        <v>#5</v>
      </c>
      <c r="D282" s="24" t="str">
        <f ca="1">'Landscape Trees '!E140</f>
        <v>0.75-1"</v>
      </c>
      <c r="E282" s="23" t="str">
        <f ca="1">'Landscape Trees '!F140</f>
        <v>6-9'</v>
      </c>
      <c r="F282" s="25">
        <f ca="1">'Landscape Trees '!G140</f>
        <v>16</v>
      </c>
      <c r="G282" s="23">
        <f ca="1">'Landscape Trees '!H140</f>
        <v>0</v>
      </c>
      <c r="H282" s="26">
        <f ca="1">'Landscape Trees '!I140</f>
        <v>35</v>
      </c>
    </row>
    <row r="283" spans="1:8" ht="12.75">
      <c r="A283" s="23" t="str">
        <f ca="1">'Landscape Trees '!A141</f>
        <v>Laburnum anagyroides</v>
      </c>
      <c r="B283" s="23" t="str">
        <f ca="1">'Landscape Trees '!C141</f>
        <v>Golden Chain Tree</v>
      </c>
      <c r="C283" s="23" t="str">
        <f ca="1">'Landscape Trees '!D141</f>
        <v>#5</v>
      </c>
      <c r="D283" s="27" t="str">
        <f ca="1">'Landscape Trees '!E141</f>
        <v>Multi</v>
      </c>
      <c r="E283" s="23" t="str">
        <f ca="1">'Landscape Trees '!F141</f>
        <v>2-7'</v>
      </c>
      <c r="F283" s="25">
        <f ca="1">'Landscape Trees '!G141</f>
        <v>36</v>
      </c>
      <c r="G283" s="23">
        <f ca="1">'Landscape Trees '!H141</f>
        <v>0</v>
      </c>
      <c r="H283" s="26">
        <f ca="1">'Landscape Trees '!I141</f>
        <v>40</v>
      </c>
    </row>
    <row r="284" spans="1:8" ht="12.75">
      <c r="A284" s="23" t="str">
        <f ca="1">'Landscape Trees '!A142</f>
        <v>Lindera benzoin</v>
      </c>
      <c r="B284" s="23" t="str">
        <f ca="1">'Landscape Trees '!C142</f>
        <v>Spice Bush</v>
      </c>
      <c r="C284" s="23" t="str">
        <f ca="1">'Landscape Trees '!D142</f>
        <v>#5</v>
      </c>
      <c r="D284" s="24" t="str">
        <f ca="1">'Landscape Trees '!E142</f>
        <v>Multi</v>
      </c>
      <c r="E284" s="23" t="str">
        <f ca="1">'Landscape Trees '!F142</f>
        <v>1-2'</v>
      </c>
      <c r="F284" s="25">
        <f ca="1">'Landscape Trees '!G142</f>
        <v>0</v>
      </c>
      <c r="G284" s="23">
        <f ca="1">'Landscape Trees '!H142</f>
        <v>300</v>
      </c>
      <c r="H284" s="26">
        <f ca="1">'Landscape Trees '!I142</f>
        <v>30</v>
      </c>
    </row>
    <row r="285" spans="1:8" ht="12.75">
      <c r="A285" s="23" t="str">
        <f ca="1">'Landscape Trees '!A143</f>
        <v>Liquidambar styraciflua</v>
      </c>
      <c r="B285" s="23" t="str">
        <f ca="1">'Landscape Trees '!C143</f>
        <v>Sweet Gum</v>
      </c>
      <c r="C285" s="23" t="str">
        <f ca="1">'Landscape Trees '!D143</f>
        <v>#5</v>
      </c>
      <c r="D285" s="24" t="str">
        <f ca="1">'Landscape Trees '!E143</f>
        <v>0.25-1"</v>
      </c>
      <c r="E285" s="23" t="str">
        <f ca="1">'Landscape Trees '!F143</f>
        <v>2-6.5'</v>
      </c>
      <c r="F285" s="25">
        <f ca="1">'Landscape Trees '!G143</f>
        <v>78</v>
      </c>
      <c r="G285" s="23">
        <f ca="1">'Landscape Trees '!H143</f>
        <v>0</v>
      </c>
      <c r="H285" s="26">
        <f ca="1">'Landscape Trees '!I143</f>
        <v>35</v>
      </c>
    </row>
    <row r="286" spans="1:8" ht="12.75">
      <c r="A286" s="23" t="str">
        <f ca="1">'Landscape Trees '!A144</f>
        <v>Liquidambar styraciflua</v>
      </c>
      <c r="B286" s="23" t="str">
        <f ca="1">'Landscape Trees '!C144</f>
        <v>Sweet Gum</v>
      </c>
      <c r="C286" s="23" t="str">
        <f ca="1">'Landscape Trees '!D144</f>
        <v>#7</v>
      </c>
      <c r="D286" s="24" t="str">
        <f ca="1">'Landscape Trees '!E144</f>
        <v>0.5-0.5"</v>
      </c>
      <c r="E286" s="23" t="str">
        <f ca="1">'Landscape Trees '!F144</f>
        <v>3-4'</v>
      </c>
      <c r="F286" s="25">
        <f ca="1">'Landscape Trees '!G144</f>
        <v>8</v>
      </c>
      <c r="G286" s="23">
        <f ca="1">'Landscape Trees '!H144</f>
        <v>0</v>
      </c>
      <c r="H286" s="26">
        <f ca="1">'Landscape Trees '!I144</f>
        <v>45</v>
      </c>
    </row>
    <row r="287" spans="1:8" ht="12.75">
      <c r="A287" s="23" t="str">
        <f ca="1">'Landscape Trees '!A145</f>
        <v>Liquidambar styraciflua 'Rotundaloba'</v>
      </c>
      <c r="B287" s="23" t="str">
        <f ca="1">'Landscape Trees '!C145</f>
        <v>Rotundaloba Sweet Gum</v>
      </c>
      <c r="C287" s="23" t="str">
        <f ca="1">'Landscape Trees '!D145</f>
        <v>#7</v>
      </c>
      <c r="D287" s="24" t="str">
        <f ca="1">'Landscape Trees '!E145</f>
        <v>1-1.25"</v>
      </c>
      <c r="E287" s="23" t="str">
        <f ca="1">'Landscape Trees '!F145</f>
        <v>6-8'</v>
      </c>
      <c r="F287" s="25">
        <f ca="1">'Landscape Trees '!G145</f>
        <v>18</v>
      </c>
      <c r="G287" s="23">
        <f ca="1">'Landscape Trees '!H145</f>
        <v>0</v>
      </c>
      <c r="H287" s="26">
        <f ca="1">'Landscape Trees '!I145</f>
        <v>55</v>
      </c>
    </row>
    <row r="288" spans="1:8" ht="12.75">
      <c r="A288" s="23" t="str">
        <f ca="1">'Landscape Trees '!A146</f>
        <v>Liquidambar styraciflua 'Slender Silhouette'</v>
      </c>
      <c r="B288" s="23" t="str">
        <f ca="1">'Landscape Trees '!C146</f>
        <v>Slender Silhouette Sweet Gum</v>
      </c>
      <c r="C288" s="23" t="str">
        <f ca="1">'Landscape Trees '!D146</f>
        <v>#15</v>
      </c>
      <c r="D288" s="24" t="str">
        <f ca="1">'Landscape Trees '!E146</f>
        <v>2.25-2.25"</v>
      </c>
      <c r="E288" s="23" t="str">
        <f ca="1">'Landscape Trees '!F146</f>
        <v>10-10'</v>
      </c>
      <c r="F288" s="25">
        <f ca="1">'Landscape Trees '!G146</f>
        <v>1</v>
      </c>
      <c r="G288" s="23">
        <f ca="1">'Landscape Trees '!H146</f>
        <v>0</v>
      </c>
      <c r="H288" s="26">
        <f ca="1">'Landscape Trees '!I146</f>
        <v>110</v>
      </c>
    </row>
    <row r="289" spans="1:8" ht="12.75">
      <c r="A289" s="23" t="str">
        <f ca="1">'Landscape Trees '!A147</f>
        <v>Liriodendron tulipifera</v>
      </c>
      <c r="B289" s="23" t="str">
        <f ca="1">'Landscape Trees '!C147</f>
        <v>Tulip Poplar</v>
      </c>
      <c r="C289" s="23" t="str">
        <f ca="1">'Landscape Trees '!D147</f>
        <v>#5</v>
      </c>
      <c r="D289" s="24" t="str">
        <f ca="1">'Landscape Trees '!E147</f>
        <v>0.5-1.25"</v>
      </c>
      <c r="E289" s="23" t="str">
        <f ca="1">'Landscape Trees '!F147</f>
        <v>5-10'</v>
      </c>
      <c r="F289" s="25">
        <f ca="1">'Landscape Trees '!G147</f>
        <v>42</v>
      </c>
      <c r="G289" s="23">
        <f ca="1">'Landscape Trees '!H147</f>
        <v>50</v>
      </c>
      <c r="H289" s="26">
        <f ca="1">'Landscape Trees '!I147</f>
        <v>35</v>
      </c>
    </row>
    <row r="290" spans="1:8" ht="12.75">
      <c r="A290" s="23" t="str">
        <f ca="1">'Landscape Trees '!A148</f>
        <v>Liriodendron tulipifera</v>
      </c>
      <c r="B290" s="23" t="str">
        <f ca="1">'Landscape Trees '!C148</f>
        <v>Tulip Poplar</v>
      </c>
      <c r="C290" s="23" t="str">
        <f ca="1">'Landscape Trees '!D148</f>
        <v>#15</v>
      </c>
      <c r="D290" s="24" t="str">
        <f ca="1">'Landscape Trees '!E148</f>
        <v>0.75-1"</v>
      </c>
      <c r="E290" s="23" t="str">
        <f ca="1">'Landscape Trees '!F148</f>
        <v>5-8'</v>
      </c>
      <c r="F290" s="25">
        <f ca="1">'Landscape Trees '!G148</f>
        <v>5</v>
      </c>
      <c r="G290" s="23">
        <f ca="1">'Landscape Trees '!H148</f>
        <v>10</v>
      </c>
      <c r="H290" s="26">
        <f ca="1">'Landscape Trees '!I148</f>
        <v>110</v>
      </c>
    </row>
    <row r="291" spans="1:8" ht="12.75">
      <c r="A291" s="23" t="str">
        <f ca="1">'Landscape Trees '!A149</f>
        <v>Maackia amurensis</v>
      </c>
      <c r="B291" s="23" t="str">
        <f ca="1">'Landscape Trees '!C149</f>
        <v>Amur Maackia</v>
      </c>
      <c r="C291" s="23" t="str">
        <f ca="1">'Landscape Trees '!D149</f>
        <v>#5</v>
      </c>
      <c r="D291" s="24" t="str">
        <f ca="1">'Landscape Trees '!E149</f>
        <v>0.25-1"</v>
      </c>
      <c r="E291" s="23" t="str">
        <f ca="1">'Landscape Trees '!F149</f>
        <v>2-9'</v>
      </c>
      <c r="F291" s="25">
        <f ca="1">'Landscape Trees '!G149</f>
        <v>70</v>
      </c>
      <c r="G291" s="23">
        <f ca="1">'Landscape Trees '!H149</f>
        <v>0</v>
      </c>
      <c r="H291" s="26">
        <f ca="1">'Landscape Trees '!I149</f>
        <v>35</v>
      </c>
    </row>
    <row r="292" spans="1:8" ht="12.75">
      <c r="A292" s="23" t="str">
        <f ca="1">'Landscape Trees '!A150</f>
        <v>Maackia amurensis</v>
      </c>
      <c r="B292" s="23" t="str">
        <f ca="1">'Landscape Trees '!C150</f>
        <v>Amur Maackia</v>
      </c>
      <c r="C292" s="23" t="str">
        <f ca="1">'Landscape Trees '!D150</f>
        <v>#15</v>
      </c>
      <c r="D292" s="24" t="str">
        <f ca="1">'Landscape Trees '!E150</f>
        <v>1.25-1.25"</v>
      </c>
      <c r="E292" s="23" t="str">
        <f ca="1">'Landscape Trees '!F150</f>
        <v>11-11'</v>
      </c>
      <c r="F292" s="25">
        <f ca="1">'Landscape Trees '!G150</f>
        <v>2</v>
      </c>
      <c r="G292" s="23">
        <f ca="1">'Landscape Trees '!H150</f>
        <v>0</v>
      </c>
      <c r="H292" s="26">
        <f ca="1">'Landscape Trees '!I150</f>
        <v>110</v>
      </c>
    </row>
    <row r="293" spans="1:8" ht="12.75">
      <c r="A293" s="23" t="str">
        <f ca="1">'Landscape Trees '!A151</f>
        <v>Magnolia 'Black Tulip'</v>
      </c>
      <c r="B293" s="23" t="str">
        <f ca="1">'Landscape Trees '!C151</f>
        <v>Black Tulip Magnolia</v>
      </c>
      <c r="C293" s="23" t="str">
        <f ca="1">'Landscape Trees '!D151</f>
        <v>#5</v>
      </c>
      <c r="D293" s="24" t="str">
        <f ca="1">'Landscape Trees '!E151</f>
        <v>0.5-0.75"</v>
      </c>
      <c r="E293" s="23" t="str">
        <f ca="1">'Landscape Trees '!F151</f>
        <v>3-4.5'</v>
      </c>
      <c r="F293" s="25">
        <f ca="1">'Landscape Trees '!G151</f>
        <v>13</v>
      </c>
      <c r="G293" s="23">
        <f ca="1">'Landscape Trees '!H151</f>
        <v>0</v>
      </c>
      <c r="H293" s="26">
        <f ca="1">'Landscape Trees '!I151</f>
        <v>50</v>
      </c>
    </row>
    <row r="294" spans="1:8" ht="12.75">
      <c r="A294" s="23" t="str">
        <f ca="1">'Landscape Trees '!A152</f>
        <v>Magnolia 'Galaxy'</v>
      </c>
      <c r="B294" s="23" t="str">
        <f ca="1">'Landscape Trees '!C152</f>
        <v>Galaxy Magnolia</v>
      </c>
      <c r="C294" s="23" t="str">
        <f ca="1">'Landscape Trees '!D152</f>
        <v>#5</v>
      </c>
      <c r="D294" s="27" t="str">
        <f ca="1">'Landscape Trees '!E152</f>
        <v>Multi</v>
      </c>
      <c r="E294" s="23" t="str">
        <f ca="1">'Landscape Trees '!F152</f>
        <v>4-5'</v>
      </c>
      <c r="F294" s="25">
        <f ca="1">'Landscape Trees '!G152</f>
        <v>28</v>
      </c>
      <c r="G294" s="23">
        <f ca="1">'Landscape Trees '!H152</f>
        <v>20</v>
      </c>
      <c r="H294" s="26">
        <f ca="1">'Landscape Trees '!I152</f>
        <v>50</v>
      </c>
    </row>
    <row r="295" spans="1:8" ht="12.75">
      <c r="A295" s="23" t="str">
        <f ca="1">'Landscape Trees '!A153</f>
        <v>Magnolia 'Leonard Messel'</v>
      </c>
      <c r="B295" s="23" t="str">
        <f ca="1">'Landscape Trees '!C153</f>
        <v>Leonard Messel Magnolia</v>
      </c>
      <c r="C295" s="23" t="str">
        <f ca="1">'Landscape Trees '!D153</f>
        <v>#15</v>
      </c>
      <c r="D295" s="27" t="str">
        <f ca="1">'Landscape Trees '!E153</f>
        <v>Multi</v>
      </c>
      <c r="E295" s="23" t="str">
        <f ca="1">'Landscape Trees '!F153</f>
        <v>5-6'</v>
      </c>
      <c r="F295" s="25">
        <f ca="1">'Landscape Trees '!G153</f>
        <v>3</v>
      </c>
      <c r="G295" s="23">
        <f ca="1">'Landscape Trees '!H153</f>
        <v>0</v>
      </c>
      <c r="H295" s="26">
        <f ca="1">'Landscape Trees '!I153</f>
        <v>110</v>
      </c>
    </row>
    <row r="296" spans="1:8" ht="12.75">
      <c r="A296" s="23" t="str">
        <f ca="1">'Landscape Trees '!A154</f>
        <v>Magnolia 'Northern Belle'</v>
      </c>
      <c r="B296" s="23" t="str">
        <f ca="1">'Landscape Trees '!C154</f>
        <v>Northern Belle Magnolia</v>
      </c>
      <c r="C296" s="23" t="str">
        <f ca="1">'Landscape Trees '!D154</f>
        <v>#5</v>
      </c>
      <c r="D296" s="24" t="str">
        <f ca="1">'Landscape Trees '!E154</f>
        <v>0.25-0.5"</v>
      </c>
      <c r="E296" s="23" t="str">
        <f ca="1">'Landscape Trees '!F154</f>
        <v>3-4'</v>
      </c>
      <c r="F296" s="25">
        <f ca="1">'Landscape Trees '!G154</f>
        <v>10</v>
      </c>
      <c r="G296" s="23">
        <f ca="1">'Landscape Trees '!H154</f>
        <v>0</v>
      </c>
      <c r="H296" s="26">
        <f ca="1">'Landscape Trees '!I154</f>
        <v>50</v>
      </c>
    </row>
    <row r="297" spans="1:8" ht="12.75">
      <c r="A297" s="23" t="str">
        <f ca="1">'Landscape Trees '!A155</f>
        <v>Magnolia 'Sunsation'</v>
      </c>
      <c r="B297" s="23" t="str">
        <f ca="1">'Landscape Trees '!C155</f>
        <v>Sunsation Magnolia</v>
      </c>
      <c r="C297" s="23" t="str">
        <f ca="1">'Landscape Trees '!D155</f>
        <v>#5</v>
      </c>
      <c r="D297" s="24" t="str">
        <f ca="1">'Landscape Trees '!E155</f>
        <v>Multi</v>
      </c>
      <c r="E297" s="23" t="str">
        <f ca="1">'Landscape Trees '!F155</f>
        <v>3-4.5'</v>
      </c>
      <c r="F297" s="25">
        <f ca="1">'Landscape Trees '!G155</f>
        <v>8</v>
      </c>
      <c r="G297" s="23">
        <f ca="1">'Landscape Trees '!H155</f>
        <v>0</v>
      </c>
      <c r="H297" s="26">
        <f ca="1">'Landscape Trees '!I155</f>
        <v>45</v>
      </c>
    </row>
    <row r="298" spans="1:8" ht="12.75">
      <c r="A298" s="23" t="str">
        <f ca="1">'Landscape Trees '!A156</f>
        <v>Magnolia 'Yellow Bird'</v>
      </c>
      <c r="B298" s="23" t="str">
        <f ca="1">'Landscape Trees '!C156</f>
        <v>Yellow Bird Magnolia</v>
      </c>
      <c r="C298" s="23" t="str">
        <f ca="1">'Landscape Trees '!D156</f>
        <v>#5</v>
      </c>
      <c r="D298" s="27" t="str">
        <f ca="1">'Landscape Trees '!E156</f>
        <v>Multi</v>
      </c>
      <c r="E298" s="23" t="str">
        <f ca="1">'Landscape Trees '!F156</f>
        <v>4-5'</v>
      </c>
      <c r="F298" s="25">
        <f ca="1">'Landscape Trees '!G156</f>
        <v>25</v>
      </c>
      <c r="G298" s="23">
        <f ca="1">'Landscape Trees '!H156</f>
        <v>0</v>
      </c>
      <c r="H298" s="26">
        <f ca="1">'Landscape Trees '!I156</f>
        <v>50</v>
      </c>
    </row>
    <row r="299" spans="1:8" ht="12.75">
      <c r="A299" s="23" t="str">
        <f ca="1">'Landscape Trees '!A157</f>
        <v>Magnolia ashei</v>
      </c>
      <c r="B299" s="23" t="str">
        <f ca="1">'Landscape Trees '!C157</f>
        <v>Ashe's Magnolia</v>
      </c>
      <c r="C299" s="23" t="str">
        <f ca="1">'Landscape Trees '!D157</f>
        <v>#5</v>
      </c>
      <c r="D299" s="24" t="str">
        <f ca="1">'Landscape Trees '!E157</f>
        <v>0.25-0.5"</v>
      </c>
      <c r="E299" s="23" t="str">
        <f ca="1">'Landscape Trees '!F157</f>
        <v>2-3'</v>
      </c>
      <c r="F299" s="25">
        <f ca="1">'Landscape Trees '!G157</f>
        <v>30</v>
      </c>
      <c r="G299" s="23">
        <f ca="1">'Landscape Trees '!H157</f>
        <v>50</v>
      </c>
      <c r="H299" s="26">
        <f ca="1">'Landscape Trees '!I157</f>
        <v>35</v>
      </c>
    </row>
    <row r="300" spans="1:8" ht="12.75">
      <c r="A300" s="23" t="str">
        <f ca="1">'Landscape Trees '!A158</f>
        <v>Magnolia virginiana</v>
      </c>
      <c r="B300" s="23" t="str">
        <f ca="1">'Landscape Trees '!C158</f>
        <v>Sweet Bay Magnolia</v>
      </c>
      <c r="C300" s="23" t="str">
        <f ca="1">'Landscape Trees '!D158</f>
        <v>#5</v>
      </c>
      <c r="D300" s="24" t="str">
        <f ca="1">'Landscape Trees '!E158</f>
        <v>0.25-0.5"</v>
      </c>
      <c r="E300" s="23" t="str">
        <f ca="1">'Landscape Trees '!F158</f>
        <v>2-3'</v>
      </c>
      <c r="F300" s="25">
        <f ca="1">'Landscape Trees '!G158</f>
        <v>180</v>
      </c>
      <c r="G300" s="23">
        <f ca="1">'Landscape Trees '!H158</f>
        <v>200</v>
      </c>
      <c r="H300" s="26">
        <f ca="1">'Landscape Trees '!I158</f>
        <v>35</v>
      </c>
    </row>
    <row r="301" spans="1:8" ht="12.75">
      <c r="A301" s="23" t="str">
        <f ca="1">'Landscape Trees '!A159</f>
        <v>Magnolia virginiana</v>
      </c>
      <c r="B301" s="23" t="str">
        <f ca="1">'Landscape Trees '!C159</f>
        <v>Sweet Bay Magnolia</v>
      </c>
      <c r="C301" s="23" t="str">
        <f ca="1">'Landscape Trees '!D159</f>
        <v>#15</v>
      </c>
      <c r="D301" s="24" t="str">
        <f ca="1">'Landscape Trees '!E159</f>
        <v>Multi</v>
      </c>
      <c r="E301" s="23" t="str">
        <f ca="1">'Landscape Trees '!F159</f>
        <v>3-7'</v>
      </c>
      <c r="F301" s="25">
        <f ca="1">'Landscape Trees '!G159</f>
        <v>25</v>
      </c>
      <c r="G301" s="23">
        <f ca="1">'Landscape Trees '!H159</f>
        <v>0</v>
      </c>
      <c r="H301" s="26">
        <f ca="1">'Landscape Trees '!I159</f>
        <v>115</v>
      </c>
    </row>
    <row r="302" spans="1:8" ht="12.75">
      <c r="A302" s="23" t="str">
        <f ca="1">'Landscape Trees '!A160</f>
        <v>Magnolia virginiana</v>
      </c>
      <c r="B302" s="23" t="str">
        <f ca="1">'Landscape Trees '!C160</f>
        <v>Sweet Bay Magnolia (Single Stem)</v>
      </c>
      <c r="C302" s="23" t="str">
        <f ca="1">'Landscape Trees '!D160</f>
        <v>#15</v>
      </c>
      <c r="D302" s="24" t="str">
        <f ca="1">'Landscape Trees '!E160</f>
        <v>1-1.25"</v>
      </c>
      <c r="E302" s="23" t="str">
        <f ca="1">'Landscape Trees '!F160</f>
        <v>7-7'</v>
      </c>
      <c r="F302" s="25">
        <f ca="1">'Landscape Trees '!G160</f>
        <v>2</v>
      </c>
      <c r="G302" s="23">
        <f ca="1">'Landscape Trees '!H160</f>
        <v>0</v>
      </c>
      <c r="H302" s="26">
        <f ca="1">'Landscape Trees '!I160</f>
        <v>115</v>
      </c>
    </row>
    <row r="303" spans="1:8" ht="12.75">
      <c r="A303" s="23" t="str">
        <f ca="1">'Landscape Trees '!A161</f>
        <v>Magnolia virginiana 'Moonglow'</v>
      </c>
      <c r="B303" s="23" t="str">
        <f ca="1">'Landscape Trees '!C161</f>
        <v>Moonglow Magnolia</v>
      </c>
      <c r="C303" s="23" t="str">
        <f ca="1">'Landscape Trees '!D161</f>
        <v>#5</v>
      </c>
      <c r="D303" s="24" t="str">
        <f ca="1">'Landscape Trees '!E161</f>
        <v>0.25-0.5"</v>
      </c>
      <c r="E303" s="23" t="str">
        <f ca="1">'Landscape Trees '!F161</f>
        <v>3-4'</v>
      </c>
      <c r="F303" s="25">
        <f ca="1">'Landscape Trees '!G161</f>
        <v>70</v>
      </c>
      <c r="G303" s="23">
        <f ca="1">'Landscape Trees '!H161</f>
        <v>100</v>
      </c>
      <c r="H303" s="26">
        <f ca="1">'Landscape Trees '!I161</f>
        <v>35</v>
      </c>
    </row>
    <row r="304" spans="1:8" ht="12.75">
      <c r="A304" s="23" t="str">
        <f ca="1">'Landscape Trees '!A162</f>
        <v>Magnolia x 'Ann'</v>
      </c>
      <c r="B304" s="23" t="str">
        <f ca="1">'Landscape Trees '!C162</f>
        <v>Ann Magnolia</v>
      </c>
      <c r="C304" s="23" t="str">
        <f ca="1">'Landscape Trees '!D162</f>
        <v>#5</v>
      </c>
      <c r="D304" s="27" t="str">
        <f ca="1">'Landscape Trees '!E162</f>
        <v>Multi</v>
      </c>
      <c r="E304" s="23" t="str">
        <f ca="1">'Landscape Trees '!F162</f>
        <v>2-3'</v>
      </c>
      <c r="F304" s="25">
        <f ca="1">'Landscape Trees '!G162</f>
        <v>25</v>
      </c>
      <c r="G304" s="23">
        <f ca="1">'Landscape Trees '!H162</f>
        <v>0</v>
      </c>
      <c r="H304" s="26">
        <f ca="1">'Landscape Trees '!I162</f>
        <v>45</v>
      </c>
    </row>
    <row r="305" spans="1:8" ht="12.75">
      <c r="A305" s="23" t="str">
        <f ca="1">'Landscape Trees '!A163</f>
        <v>Magnolia x 'Jane'</v>
      </c>
      <c r="B305" s="23" t="str">
        <f ca="1">'Landscape Trees '!C163</f>
        <v>Jane Magnolia</v>
      </c>
      <c r="C305" s="23" t="str">
        <f ca="1">'Landscape Trees '!D163</f>
        <v>#5</v>
      </c>
      <c r="D305" s="24" t="str">
        <f ca="1">'Landscape Trees '!E163</f>
        <v>0.25-0.5"</v>
      </c>
      <c r="E305" s="23" t="str">
        <f ca="1">'Landscape Trees '!F163</f>
        <v>2-3.5'</v>
      </c>
      <c r="F305" s="25">
        <f ca="1">'Landscape Trees '!G163</f>
        <v>19</v>
      </c>
      <c r="G305" s="23">
        <f ca="1">'Landscape Trees '!H163</f>
        <v>0</v>
      </c>
      <c r="H305" s="26">
        <f ca="1">'Landscape Trees '!I163</f>
        <v>45</v>
      </c>
    </row>
    <row r="306" spans="1:8" ht="12.75">
      <c r="A306" s="23" t="str">
        <f ca="1">'Landscape Trees '!A164</f>
        <v>Malus 'Prariefire'</v>
      </c>
      <c r="B306" s="23" t="str">
        <f ca="1">'Landscape Trees '!C164</f>
        <v>Prairifire Crabapple</v>
      </c>
      <c r="C306" s="23" t="str">
        <f ca="1">'Landscape Trees '!D164</f>
        <v>#5</v>
      </c>
      <c r="D306" s="24" t="str">
        <f ca="1">'Landscape Trees '!E164</f>
        <v>0.5-0.75"</v>
      </c>
      <c r="E306" s="23" t="str">
        <f ca="1">'Landscape Trees '!F164</f>
        <v>5-6'</v>
      </c>
      <c r="F306" s="25">
        <f ca="1">'Landscape Trees '!G164</f>
        <v>47</v>
      </c>
      <c r="G306" s="23">
        <f ca="1">'Landscape Trees '!H164</f>
        <v>100</v>
      </c>
      <c r="H306" s="26">
        <f ca="1">'Landscape Trees '!I164</f>
        <v>35</v>
      </c>
    </row>
    <row r="307" spans="1:8" ht="12.75">
      <c r="A307" s="23" t="str">
        <f ca="1">'Landscape Trees '!A165</f>
        <v>Malus 'Prariefire'</v>
      </c>
      <c r="B307" s="23" t="str">
        <f ca="1">'Landscape Trees '!C165</f>
        <v>Prairifire Crabapple</v>
      </c>
      <c r="C307" s="23" t="str">
        <f ca="1">'Landscape Trees '!D165</f>
        <v>#7</v>
      </c>
      <c r="D307" s="24" t="str">
        <f ca="1">'Landscape Trees '!E165</f>
        <v>0.5-0.75"</v>
      </c>
      <c r="E307" s="23" t="str">
        <f ca="1">'Landscape Trees '!F165</f>
        <v>5-6'</v>
      </c>
      <c r="F307" s="25">
        <f ca="1">'Landscape Trees '!G165</f>
        <v>41</v>
      </c>
      <c r="G307" s="23">
        <f ca="1">'Landscape Trees '!H165</f>
        <v>0</v>
      </c>
      <c r="H307" s="26">
        <f ca="1">'Landscape Trees '!I165</f>
        <v>55</v>
      </c>
    </row>
    <row r="308" spans="1:8" ht="12.75">
      <c r="A308" s="23" t="str">
        <f ca="1">'Landscape Trees '!A166</f>
        <v>Malus 'Prariefire'</v>
      </c>
      <c r="B308" s="23" t="str">
        <f ca="1">'Landscape Trees '!C166</f>
        <v>Prairifire Crabapple</v>
      </c>
      <c r="C308" s="23" t="str">
        <f ca="1">'Landscape Trees '!D166</f>
        <v>#15</v>
      </c>
      <c r="D308" s="24" t="str">
        <f ca="1">'Landscape Trees '!E166</f>
        <v>1-1"</v>
      </c>
      <c r="E308" s="23" t="str">
        <f ca="1">'Landscape Trees '!F166</f>
        <v>10-10'</v>
      </c>
      <c r="F308" s="25">
        <f ca="1">'Landscape Trees '!G166</f>
        <v>1</v>
      </c>
      <c r="G308" s="23">
        <f ca="1">'Landscape Trees '!H166</f>
        <v>30</v>
      </c>
      <c r="H308" s="26">
        <f ca="1">'Landscape Trees '!I166</f>
        <v>110</v>
      </c>
    </row>
    <row r="309" spans="1:8" ht="12.75">
      <c r="A309" s="23" t="str">
        <f ca="1">'Landscape Trees '!A167</f>
        <v>Malus 'Sargent Tina'</v>
      </c>
      <c r="B309" s="23" t="str">
        <f ca="1">'Landscape Trees '!C167</f>
        <v>Sargent Tina Crabapple</v>
      </c>
      <c r="C309" s="23" t="str">
        <f ca="1">'Landscape Trees '!D167</f>
        <v>#15</v>
      </c>
      <c r="D309" s="24" t="str">
        <f ca="1">'Landscape Trees '!E167</f>
        <v>1-1.25"</v>
      </c>
      <c r="E309" s="23" t="str">
        <f ca="1">'Landscape Trees '!F167</f>
        <v>5-6'</v>
      </c>
      <c r="F309" s="25">
        <f ca="1">'Landscape Trees '!G167</f>
        <v>2</v>
      </c>
      <c r="G309" s="23">
        <f ca="1">'Landscape Trees '!H167</f>
        <v>0</v>
      </c>
      <c r="H309" s="26">
        <f ca="1">'Landscape Trees '!I167</f>
        <v>110</v>
      </c>
    </row>
    <row r="310" spans="1:8" ht="12.75">
      <c r="A310" s="23" t="str">
        <f ca="1">'Landscape Trees '!A168</f>
        <v>Malus 'Snowdrift'</v>
      </c>
      <c r="B310" s="23" t="str">
        <f ca="1">'Landscape Trees '!C168</f>
        <v>Snowdrift Crabapple</v>
      </c>
      <c r="C310" s="23" t="str">
        <f ca="1">'Landscape Trees '!D168</f>
        <v>#5</v>
      </c>
      <c r="D310" s="24" t="str">
        <f ca="1">'Landscape Trees '!E168</f>
        <v>0.75-1"</v>
      </c>
      <c r="E310" s="23" t="str">
        <f ca="1">'Landscape Trees '!F168</f>
        <v>5-6'</v>
      </c>
      <c r="F310" s="25">
        <f ca="1">'Landscape Trees '!G168</f>
        <v>27</v>
      </c>
      <c r="G310" s="23">
        <f ca="1">'Landscape Trees '!H168</f>
        <v>0</v>
      </c>
      <c r="H310" s="26">
        <f ca="1">'Landscape Trees '!I168</f>
        <v>35</v>
      </c>
    </row>
    <row r="311" spans="1:8" ht="12.75">
      <c r="A311" s="23" t="str">
        <f ca="1">'Landscape Trees '!A169</f>
        <v>Malus dolgo</v>
      </c>
      <c r="B311" s="23" t="str">
        <f ca="1">'Landscape Trees '!C169</f>
        <v>Dolgo Crabapple</v>
      </c>
      <c r="C311" s="23" t="str">
        <f ca="1">'Landscape Trees '!D169</f>
        <v>#5</v>
      </c>
      <c r="D311" s="27" t="str">
        <f ca="1">'Landscape Trees '!E169</f>
        <v>Multi</v>
      </c>
      <c r="E311" s="23" t="str">
        <f ca="1">'Landscape Trees '!F169</f>
        <v>4-5'</v>
      </c>
      <c r="F311" s="25">
        <f ca="1">'Landscape Trees '!G169</f>
        <v>5</v>
      </c>
      <c r="G311" s="23">
        <f ca="1">'Landscape Trees '!H169</f>
        <v>0</v>
      </c>
      <c r="H311" s="26">
        <f ca="1">'Landscape Trees '!I169</f>
        <v>35</v>
      </c>
    </row>
    <row r="312" spans="1:8" ht="12.75">
      <c r="A312" s="23" t="str">
        <f ca="1">'Landscape Trees '!A170</f>
        <v>Malus domestica</v>
      </c>
      <c r="B312" s="23" t="str">
        <f ca="1">'Landscape Trees '!C170</f>
        <v>Common Apple</v>
      </c>
      <c r="C312" s="23" t="str">
        <f ca="1">'Landscape Trees '!D170</f>
        <v>#5</v>
      </c>
      <c r="D312" s="24" t="str">
        <f ca="1">'Landscape Trees '!E170</f>
        <v>0.75-0.5"</v>
      </c>
      <c r="E312" s="23" t="str">
        <f ca="1">'Landscape Trees '!F170</f>
        <v>4-5'</v>
      </c>
      <c r="F312" s="25">
        <f ca="1">'Landscape Trees '!G170</f>
        <v>38</v>
      </c>
      <c r="G312" s="23">
        <f ca="1">'Landscape Trees '!H170</f>
        <v>0</v>
      </c>
      <c r="H312" s="26">
        <f ca="1">'Landscape Trees '!I170</f>
        <v>30</v>
      </c>
    </row>
    <row r="313" spans="1:8" ht="12.75">
      <c r="A313" s="23" t="str">
        <f ca="1">'Landscape Trees '!A171</f>
        <v>Metasequoia glyptostroboides</v>
      </c>
      <c r="B313" s="23" t="str">
        <f ca="1">'Landscape Trees '!C171</f>
        <v>Dawn Redwood</v>
      </c>
      <c r="C313" s="23" t="str">
        <f ca="1">'Landscape Trees '!D171</f>
        <v>#5</v>
      </c>
      <c r="D313" s="24" t="str">
        <f ca="1">'Landscape Trees '!E171</f>
        <v>0.5-1.5"</v>
      </c>
      <c r="E313" s="23" t="str">
        <f ca="1">'Landscape Trees '!F171</f>
        <v>4-10'</v>
      </c>
      <c r="F313" s="25">
        <f ca="1">'Landscape Trees '!G171</f>
        <v>59</v>
      </c>
      <c r="G313" s="23">
        <f ca="1">'Landscape Trees '!H171</f>
        <v>50</v>
      </c>
      <c r="H313" s="26">
        <f ca="1">'Landscape Trees '!I171</f>
        <v>35</v>
      </c>
    </row>
    <row r="314" spans="1:8" ht="12.75">
      <c r="A314" s="23" t="str">
        <f ca="1">'Landscape Trees '!A172</f>
        <v>Myrica pennsylvanica</v>
      </c>
      <c r="B314" s="23" t="str">
        <f ca="1">'Landscape Trees '!C172</f>
        <v>Bayberry</v>
      </c>
      <c r="C314" s="23" t="str">
        <f ca="1">'Landscape Trees '!D172</f>
        <v>#5</v>
      </c>
      <c r="D314" s="27" t="str">
        <f ca="1">'Landscape Trees '!E172</f>
        <v>Multi</v>
      </c>
      <c r="E314" s="23" t="str">
        <f ca="1">'Landscape Trees '!F172</f>
        <v>0-2'</v>
      </c>
      <c r="F314" s="25">
        <f ca="1">'Landscape Trees '!G172</f>
        <v>0</v>
      </c>
      <c r="G314" s="23">
        <f ca="1">'Landscape Trees '!H172</f>
        <v>100</v>
      </c>
      <c r="H314" s="26">
        <f ca="1">'Landscape Trees '!I172</f>
        <v>30</v>
      </c>
    </row>
    <row r="315" spans="1:8" ht="12.75">
      <c r="A315" s="23" t="str">
        <f ca="1">'Landscape Trees '!A173</f>
        <v>Nandina domestica</v>
      </c>
      <c r="B315" s="23" t="str">
        <f ca="1">'Landscape Trees '!C173</f>
        <v>Nandina</v>
      </c>
      <c r="C315" s="23" t="str">
        <f ca="1">'Landscape Trees '!D173</f>
        <v>#5</v>
      </c>
      <c r="D315" s="24" t="str">
        <f ca="1">'Landscape Trees '!E173</f>
        <v>Multi</v>
      </c>
      <c r="E315" s="23" t="str">
        <f ca="1">'Landscape Trees '!F173</f>
        <v>0.25-1'</v>
      </c>
      <c r="F315" s="25">
        <f ca="1">'Landscape Trees '!G173</f>
        <v>14</v>
      </c>
      <c r="G315" s="23">
        <f ca="1">'Landscape Trees '!H173</f>
        <v>0</v>
      </c>
      <c r="H315" s="26">
        <f ca="1">'Landscape Trees '!I173</f>
        <v>30</v>
      </c>
    </row>
    <row r="316" spans="1:8" ht="12.75">
      <c r="A316" s="23" t="str">
        <f ca="1">'Landscape Trees '!A174</f>
        <v>Nyssa sylvatica</v>
      </c>
      <c r="B316" s="23" t="str">
        <f ca="1">'Landscape Trees '!C174</f>
        <v>Black Gum</v>
      </c>
      <c r="C316" s="23" t="str">
        <f ca="1">'Landscape Trees '!D174</f>
        <v>#7</v>
      </c>
      <c r="D316" s="24" t="str">
        <f ca="1">'Landscape Trees '!E174</f>
        <v>0.5-0.75"</v>
      </c>
      <c r="E316" s="23" t="str">
        <f ca="1">'Landscape Trees '!F174</f>
        <v>4-5'</v>
      </c>
      <c r="F316" s="25">
        <f ca="1">'Landscape Trees '!G174</f>
        <v>80</v>
      </c>
      <c r="G316" s="23">
        <f ca="1">'Landscape Trees '!H174</f>
        <v>0</v>
      </c>
      <c r="H316" s="26">
        <f ca="1">'Landscape Trees '!I174</f>
        <v>40</v>
      </c>
    </row>
    <row r="317" spans="1:8" ht="12.75">
      <c r="A317" s="23" t="str">
        <f ca="1">'Landscape Trees '!A175</f>
        <v>Nyssa sylvatica 'Green Gable'</v>
      </c>
      <c r="B317" s="23" t="str">
        <f ca="1">'Landscape Trees '!C175</f>
        <v>Green Gable Black Gum</v>
      </c>
      <c r="C317" s="23" t="str">
        <f ca="1">'Landscape Trees '!D175</f>
        <v>#5</v>
      </c>
      <c r="D317" s="24" t="str">
        <f ca="1">'Landscape Trees '!E175</f>
        <v>0.5-0.5"</v>
      </c>
      <c r="E317" s="23" t="str">
        <f ca="1">'Landscape Trees '!F175</f>
        <v>3-5'</v>
      </c>
      <c r="F317" s="25">
        <f ca="1">'Landscape Trees '!G175</f>
        <v>7</v>
      </c>
      <c r="G317" s="23">
        <f ca="1">'Landscape Trees '!H175</f>
        <v>10</v>
      </c>
      <c r="H317" s="26">
        <f ca="1">'Landscape Trees '!I175</f>
        <v>45</v>
      </c>
    </row>
    <row r="318" spans="1:8" ht="12.75">
      <c r="A318" s="23" t="str">
        <f ca="1">'Landscape Trees '!A176</f>
        <v>Nyssa sylvatica 'Tupelo Tower'</v>
      </c>
      <c r="B318" s="23" t="str">
        <f ca="1">'Landscape Trees '!C176</f>
        <v>Tupelo Tower Black Gum</v>
      </c>
      <c r="C318" s="23" t="str">
        <f ca="1">'Landscape Trees '!D176</f>
        <v>#5</v>
      </c>
      <c r="D318" s="24" t="str">
        <f ca="1">'Landscape Trees '!E176</f>
        <v>0.5-0.5"</v>
      </c>
      <c r="E318" s="23" t="str">
        <f ca="1">'Landscape Trees '!F176</f>
        <v>3-5'</v>
      </c>
      <c r="F318" s="25">
        <f ca="1">'Landscape Trees '!G176</f>
        <v>5</v>
      </c>
      <c r="G318" s="23">
        <f ca="1">'Landscape Trees '!H176</f>
        <v>0</v>
      </c>
      <c r="H318" s="26">
        <f ca="1">'Landscape Trees '!I176</f>
        <v>45</v>
      </c>
    </row>
    <row r="319" spans="1:8" ht="12.75">
      <c r="A319" s="23" t="str">
        <f ca="1">'Landscape Trees '!A177</f>
        <v>Nyssa sylvatica 'Wildfire'</v>
      </c>
      <c r="B319" s="23" t="str">
        <f ca="1">'Landscape Trees '!C177</f>
        <v>Wildfire Black Gum</v>
      </c>
      <c r="C319" s="23" t="str">
        <f ca="1">'Landscape Trees '!D177</f>
        <v>#5</v>
      </c>
      <c r="D319" s="24" t="str">
        <f ca="1">'Landscape Trees '!E177</f>
        <v>0.5-0.5"</v>
      </c>
      <c r="E319" s="23" t="str">
        <f ca="1">'Landscape Trees '!F177</f>
        <v>4.5-4.5'</v>
      </c>
      <c r="F319" s="25">
        <f ca="1">'Landscape Trees '!G177</f>
        <v>1</v>
      </c>
      <c r="G319" s="23">
        <f ca="1">'Landscape Trees '!H177</f>
        <v>0</v>
      </c>
      <c r="H319" s="26">
        <f ca="1">'Landscape Trees '!I177</f>
        <v>50</v>
      </c>
    </row>
    <row r="320" spans="1:8" ht="12.75">
      <c r="A320" s="23" t="str">
        <f ca="1">'Landscape Trees '!A178</f>
        <v>Ostrya virginiana</v>
      </c>
      <c r="B320" s="23" t="str">
        <f ca="1">'Landscape Trees '!C178</f>
        <v>American Hophornbeam</v>
      </c>
      <c r="C320" s="23" t="str">
        <f ca="1">'Landscape Trees '!D178</f>
        <v>#5</v>
      </c>
      <c r="D320" s="24" t="str">
        <f ca="1">'Landscape Trees '!E178</f>
        <v>0.125-1"</v>
      </c>
      <c r="E320" s="23" t="str">
        <f ca="1">'Landscape Trees '!F178</f>
        <v>2-8'</v>
      </c>
      <c r="F320" s="25">
        <f ca="1">'Landscape Trees '!G178</f>
        <v>69</v>
      </c>
      <c r="G320" s="23">
        <f ca="1">'Landscape Trees '!H178</f>
        <v>100</v>
      </c>
      <c r="H320" s="26">
        <f ca="1">'Landscape Trees '!I178</f>
        <v>35</v>
      </c>
    </row>
    <row r="321" spans="1:8" ht="12.75">
      <c r="A321" s="23" t="str">
        <f ca="1">'Landscape Trees '!A179</f>
        <v>Ostrya virginiana</v>
      </c>
      <c r="B321" s="23" t="str">
        <f ca="1">'Landscape Trees '!C179</f>
        <v>American Hophornbeam</v>
      </c>
      <c r="C321" s="23" t="str">
        <f ca="1">'Landscape Trees '!D179</f>
        <v>#15</v>
      </c>
      <c r="D321" s="24" t="str">
        <f ca="1">'Landscape Trees '!E179</f>
        <v>1-1"</v>
      </c>
      <c r="E321" s="23" t="str">
        <f ca="1">'Landscape Trees '!F179</f>
        <v>10-12'</v>
      </c>
      <c r="F321" s="25">
        <f ca="1">'Landscape Trees '!G179</f>
        <v>4</v>
      </c>
      <c r="G321" s="23">
        <f ca="1">'Landscape Trees '!H179</f>
        <v>0</v>
      </c>
      <c r="H321" s="26">
        <f ca="1">'Landscape Trees '!I179</f>
        <v>110</v>
      </c>
    </row>
    <row r="322" spans="1:8" ht="12.75">
      <c r="A322" s="23" t="str">
        <f ca="1">'Landscape Trees '!A180</f>
        <v>Oxydendrum arboreum</v>
      </c>
      <c r="B322" s="23" t="str">
        <f ca="1">'Landscape Trees '!C180</f>
        <v>Sourwood</v>
      </c>
      <c r="C322" s="23" t="str">
        <f ca="1">'Landscape Trees '!D180</f>
        <v>#7</v>
      </c>
      <c r="D322" s="24" t="str">
        <f ca="1">'Landscape Trees '!E180</f>
        <v>Multi</v>
      </c>
      <c r="E322" s="23" t="str">
        <f ca="1">'Landscape Trees '!F180</f>
        <v>1-2'</v>
      </c>
      <c r="F322" s="25">
        <f ca="1">'Landscape Trees '!G180</f>
        <v>0</v>
      </c>
      <c r="G322" s="23">
        <f ca="1">'Landscape Trees '!H180</f>
        <v>20</v>
      </c>
      <c r="H322" s="26">
        <f ca="1">'Landscape Trees '!I180</f>
        <v>45</v>
      </c>
    </row>
    <row r="323" spans="1:8" ht="12.75">
      <c r="A323" s="23" t="str">
        <f ca="1">'Landscape Trees '!A181</f>
        <v>Parrotia persica</v>
      </c>
      <c r="B323" s="23" t="str">
        <f ca="1">'Landscape Trees '!C181</f>
        <v>Persian Parrotia</v>
      </c>
      <c r="C323" s="23" t="str">
        <f ca="1">'Landscape Trees '!D181</f>
        <v>#5</v>
      </c>
      <c r="D323" s="24" t="str">
        <f ca="1">'Landscape Trees '!E181</f>
        <v>0.25-0.5"</v>
      </c>
      <c r="E323" s="23" t="str">
        <f ca="1">'Landscape Trees '!F181</f>
        <v>1-4'</v>
      </c>
      <c r="F323" s="25">
        <f ca="1">'Landscape Trees '!G181</f>
        <v>39</v>
      </c>
      <c r="G323" s="23">
        <f ca="1">'Landscape Trees '!H181</f>
        <v>0</v>
      </c>
      <c r="H323" s="26">
        <f ca="1">'Landscape Trees '!I181</f>
        <v>35</v>
      </c>
    </row>
    <row r="324" spans="1:8" ht="12.75">
      <c r="A324" s="23" t="str">
        <f ca="1">'Landscape Trees '!A182</f>
        <v>Parrotia persica</v>
      </c>
      <c r="B324" s="23" t="str">
        <f ca="1">'Landscape Trees '!C182</f>
        <v>Persian Parrotia</v>
      </c>
      <c r="C324" s="23" t="str">
        <f ca="1">'Landscape Trees '!D182</f>
        <v>#15</v>
      </c>
      <c r="D324" s="24" t="str">
        <f ca="1">'Landscape Trees '!E182</f>
        <v>0.75-1"</v>
      </c>
      <c r="E324" s="23" t="str">
        <f ca="1">'Landscape Trees '!F182</f>
        <v>5-7'</v>
      </c>
      <c r="F324" s="25">
        <f ca="1">'Landscape Trees '!G182</f>
        <v>6</v>
      </c>
      <c r="G324" s="23">
        <f ca="1">'Landscape Trees '!H182</f>
        <v>0</v>
      </c>
      <c r="H324" s="26">
        <f ca="1">'Landscape Trees '!I182</f>
        <v>110</v>
      </c>
    </row>
    <row r="325" spans="1:8" ht="12.75">
      <c r="A325" s="23" t="str">
        <f ca="1">'Landscape Trees '!A183</f>
        <v>Parrotia persica</v>
      </c>
      <c r="B325" s="23" t="str">
        <f ca="1">'Landscape Trees '!C183</f>
        <v>Persian Parrotia</v>
      </c>
      <c r="C325" s="23" t="str">
        <f ca="1">'Landscape Trees '!D183</f>
        <v>#25</v>
      </c>
      <c r="D325" s="24" t="str">
        <f ca="1">'Landscape Trees '!E183</f>
        <v>0.75-1"</v>
      </c>
      <c r="E325" s="23" t="str">
        <f ca="1">'Landscape Trees '!F183</f>
        <v>7-8'</v>
      </c>
      <c r="F325" s="25">
        <f ca="1">'Landscape Trees '!G183</f>
        <v>2</v>
      </c>
      <c r="G325" s="23">
        <f ca="1">'Landscape Trees '!H183</f>
        <v>0</v>
      </c>
      <c r="H325" s="26">
        <f ca="1">'Landscape Trees '!I183</f>
        <v>135</v>
      </c>
    </row>
    <row r="326" spans="1:8" ht="12.75">
      <c r="A326" s="23" t="str">
        <f ca="1">'Landscape Trees '!A184</f>
        <v>Physocarpus opulifolius</v>
      </c>
      <c r="B326" s="23" t="str">
        <f ca="1">'Landscape Trees '!C184</f>
        <v>Eastern Ninebark</v>
      </c>
      <c r="C326" s="23" t="str">
        <f ca="1">'Landscape Trees '!D184</f>
        <v>#5</v>
      </c>
      <c r="D326" s="27" t="str">
        <f ca="1">'Landscape Trees '!E184</f>
        <v>Multi</v>
      </c>
      <c r="E326" s="23" t="str">
        <f ca="1">'Landscape Trees '!F184</f>
        <v>4-5'</v>
      </c>
      <c r="F326" s="25">
        <f ca="1">'Landscape Trees '!G184</f>
        <v>13</v>
      </c>
      <c r="G326" s="23">
        <f ca="1">'Landscape Trees '!H184</f>
        <v>25</v>
      </c>
      <c r="H326" s="26">
        <f ca="1">'Landscape Trees '!I184</f>
        <v>30</v>
      </c>
    </row>
    <row r="327" spans="1:8" ht="12.75">
      <c r="A327" s="23" t="str">
        <f ca="1">'Landscape Trees '!A185</f>
        <v>Picea abies</v>
      </c>
      <c r="B327" s="23" t="str">
        <f ca="1">'Landscape Trees '!C185</f>
        <v>Norway Spruce</v>
      </c>
      <c r="C327" s="23" t="str">
        <f ca="1">'Landscape Trees '!D185</f>
        <v>#5</v>
      </c>
      <c r="D327" s="24" t="str">
        <f ca="1">'Landscape Trees '!E185</f>
        <v>0.5-0.75"</v>
      </c>
      <c r="E327" s="23" t="str">
        <f ca="1">'Landscape Trees '!F185</f>
        <v>1-3'</v>
      </c>
      <c r="F327" s="25">
        <f ca="1">'Landscape Trees '!G185</f>
        <v>61</v>
      </c>
      <c r="G327" s="23">
        <f ca="1">'Landscape Trees '!H185</f>
        <v>0</v>
      </c>
      <c r="H327" s="26">
        <f ca="1">'Landscape Trees '!I185</f>
        <v>35</v>
      </c>
    </row>
    <row r="328" spans="1:8" ht="12.75">
      <c r="A328" s="23" t="str">
        <f ca="1">'Landscape Trees '!A186</f>
        <v>Picea omorika</v>
      </c>
      <c r="B328" s="23" t="str">
        <f ca="1">'Landscape Trees '!C186</f>
        <v>Serbian Spruce</v>
      </c>
      <c r="C328" s="23" t="str">
        <f ca="1">'Landscape Trees '!D186</f>
        <v>#5</v>
      </c>
      <c r="D328" s="24" t="str">
        <f ca="1">'Landscape Trees '!E186</f>
        <v>0.5-0.75"</v>
      </c>
      <c r="E328" s="23" t="str">
        <f ca="1">'Landscape Trees '!F186</f>
        <v>3-4'</v>
      </c>
      <c r="F328" s="25">
        <f ca="1">'Landscape Trees '!G186</f>
        <v>20</v>
      </c>
      <c r="G328" s="23">
        <f ca="1">'Landscape Trees '!H186</f>
        <v>0</v>
      </c>
      <c r="H328" s="26">
        <f ca="1">'Landscape Trees '!I186</f>
        <v>35</v>
      </c>
    </row>
    <row r="329" spans="1:8" ht="12.75">
      <c r="A329" s="23" t="str">
        <f ca="1">'Landscape Trees '!A187</f>
        <v>Pinus strobus</v>
      </c>
      <c r="B329" s="23" t="str">
        <f ca="1">'Landscape Trees '!C187</f>
        <v>Eastern White Pine</v>
      </c>
      <c r="C329" s="23" t="str">
        <f ca="1">'Landscape Trees '!D187</f>
        <v>#5</v>
      </c>
      <c r="D329" s="24" t="str">
        <f ca="1">'Landscape Trees '!E187</f>
        <v>0.5-0.75"</v>
      </c>
      <c r="E329" s="23" t="str">
        <f ca="1">'Landscape Trees '!F187</f>
        <v>2-3'</v>
      </c>
      <c r="F329" s="25">
        <f ca="1">'Landscape Trees '!G187</f>
        <v>1</v>
      </c>
      <c r="G329" s="23">
        <f ca="1">'Landscape Trees '!H187</f>
        <v>0</v>
      </c>
      <c r="H329" s="26">
        <f ca="1">'Landscape Trees '!I187</f>
        <v>35</v>
      </c>
    </row>
    <row r="330" spans="1:8" ht="12.75">
      <c r="A330" s="23" t="str">
        <f ca="1">'Landscape Trees '!A188</f>
        <v xml:space="preserve">Pinus virginiana </v>
      </c>
      <c r="B330" s="23" t="str">
        <f ca="1">'Landscape Trees '!C188</f>
        <v>Virginia Pine</v>
      </c>
      <c r="C330" s="23" t="str">
        <f ca="1">'Landscape Trees '!D188</f>
        <v>#5</v>
      </c>
      <c r="D330" s="24" t="str">
        <f ca="1">'Landscape Trees '!E188</f>
        <v>0.25-0.5"</v>
      </c>
      <c r="E330" s="23" t="str">
        <f ca="1">'Landscape Trees '!F188</f>
        <v>1-2'</v>
      </c>
      <c r="F330" s="25">
        <f ca="1">'Landscape Trees '!G188</f>
        <v>0</v>
      </c>
      <c r="G330" s="23">
        <f ca="1">'Landscape Trees '!H188</f>
        <v>25</v>
      </c>
      <c r="H330" s="26">
        <f ca="1">'Landscape Trees '!I188</f>
        <v>35</v>
      </c>
    </row>
    <row r="331" spans="1:8" ht="12.75">
      <c r="A331" s="23" t="str">
        <f ca="1">'Landscape Trees '!A189</f>
        <v>Platanus occidentalis</v>
      </c>
      <c r="B331" s="23" t="str">
        <f ca="1">'Landscape Trees '!C189</f>
        <v>American Sycamore</v>
      </c>
      <c r="C331" s="23" t="str">
        <f ca="1">'Landscape Trees '!D189</f>
        <v>#5</v>
      </c>
      <c r="D331" s="24" t="str">
        <f ca="1">'Landscape Trees '!E189</f>
        <v>0.75-1.25"</v>
      </c>
      <c r="E331" s="23" t="str">
        <f ca="1">'Landscape Trees '!F189</f>
        <v>4-9'</v>
      </c>
      <c r="F331" s="25">
        <f ca="1">'Landscape Trees '!G189</f>
        <v>34</v>
      </c>
      <c r="G331" s="23">
        <f ca="1">'Landscape Trees '!H189</f>
        <v>320</v>
      </c>
      <c r="H331" s="26">
        <f ca="1">'Landscape Trees '!I189</f>
        <v>40</v>
      </c>
    </row>
    <row r="332" spans="1:8" ht="12.75">
      <c r="A332" s="23" t="str">
        <f ca="1">'Landscape Trees '!A190</f>
        <v>Platanus occidentalis</v>
      </c>
      <c r="B332" s="23" t="str">
        <f ca="1">'Landscape Trees '!C190</f>
        <v>American Sycamore</v>
      </c>
      <c r="C332" s="23" t="str">
        <f ca="1">'Landscape Trees '!D190</f>
        <v>#10</v>
      </c>
      <c r="D332" s="24" t="str">
        <f ca="1">'Landscape Trees '!E190</f>
        <v>1-1"</v>
      </c>
      <c r="E332" s="23" t="str">
        <f ca="1">'Landscape Trees '!F190</f>
        <v>5-6'</v>
      </c>
      <c r="F332" s="25">
        <f ca="1">'Landscape Trees '!G190</f>
        <v>0</v>
      </c>
      <c r="G332" s="23">
        <f ca="1">'Landscape Trees '!H190</f>
        <v>20</v>
      </c>
      <c r="H332" s="26">
        <f ca="1">'Landscape Trees '!I190</f>
        <v>85</v>
      </c>
    </row>
    <row r="333" spans="1:8" ht="12.75">
      <c r="A333" s="23" t="str">
        <f ca="1">'Landscape Trees '!A191</f>
        <v>Platanus x acerifolia 'Bloodgood'</v>
      </c>
      <c r="B333" s="23" t="str">
        <f ca="1">'Landscape Trees '!C191</f>
        <v>Bloodgood London Plane Tree</v>
      </c>
      <c r="C333" s="23" t="str">
        <f ca="1">'Landscape Trees '!D191</f>
        <v>#5</v>
      </c>
      <c r="D333" s="24" t="str">
        <f ca="1">'Landscape Trees '!E191</f>
        <v>0.75-1"</v>
      </c>
      <c r="E333" s="23" t="str">
        <f ca="1">'Landscape Trees '!F191</f>
        <v>8-10'</v>
      </c>
      <c r="F333" s="25">
        <f ca="1">'Landscape Trees '!G191</f>
        <v>90</v>
      </c>
      <c r="G333" s="23">
        <f ca="1">'Landscape Trees '!H191</f>
        <v>0</v>
      </c>
      <c r="H333" s="26">
        <f ca="1">'Landscape Trees '!I191</f>
        <v>40</v>
      </c>
    </row>
    <row r="334" spans="1:8" ht="12.75">
      <c r="A334" s="23" t="str">
        <f ca="1">'Landscape Trees '!A192</f>
        <v>Platanus x acerifolia 'Exclamation'</v>
      </c>
      <c r="B334" s="23" t="str">
        <f ca="1">'Landscape Trees '!C192</f>
        <v>Exclamation London Plane Tree</v>
      </c>
      <c r="C334" s="23" t="str">
        <f ca="1">'Landscape Trees '!D192</f>
        <v>#5</v>
      </c>
      <c r="D334" s="24" t="str">
        <f ca="1">'Landscape Trees '!E192</f>
        <v>0.25-0.5"</v>
      </c>
      <c r="E334" s="23" t="str">
        <f ca="1">'Landscape Trees '!F192</f>
        <v>3-4'</v>
      </c>
      <c r="F334" s="25">
        <f ca="1">'Landscape Trees '!G192</f>
        <v>0</v>
      </c>
      <c r="G334" s="23">
        <f ca="1">'Landscape Trees '!H192</f>
        <v>45</v>
      </c>
      <c r="H334" s="26">
        <f ca="1">'Landscape Trees '!I192</f>
        <v>35</v>
      </c>
    </row>
    <row r="335" spans="1:8" ht="12.75">
      <c r="A335" s="23" t="str">
        <f ca="1">'Landscape Trees '!A193</f>
        <v>Platanus x acerifolia 'Exclamation'</v>
      </c>
      <c r="B335" s="23" t="str">
        <f ca="1">'Landscape Trees '!C193</f>
        <v>Exclamation London Plane Tree</v>
      </c>
      <c r="C335" s="23" t="str">
        <f ca="1">'Landscape Trees '!D193</f>
        <v>#15</v>
      </c>
      <c r="D335" s="24" t="str">
        <f ca="1">'Landscape Trees '!E193</f>
        <v>1-1.25"</v>
      </c>
      <c r="E335" s="23" t="str">
        <f ca="1">'Landscape Trees '!F193</f>
        <v>9-12'</v>
      </c>
      <c r="F335" s="25">
        <f ca="1">'Landscape Trees '!G193</f>
        <v>7</v>
      </c>
      <c r="G335" s="23">
        <f ca="1">'Landscape Trees '!H193</f>
        <v>20</v>
      </c>
      <c r="H335" s="26">
        <f ca="1">'Landscape Trees '!I193</f>
        <v>110</v>
      </c>
    </row>
    <row r="336" spans="1:8" ht="12.75">
      <c r="A336" s="23" t="str">
        <f ca="1">'Landscape Trees '!A194</f>
        <v>Populus tremuloides</v>
      </c>
      <c r="B336" s="23" t="str">
        <f ca="1">'Landscape Trees '!C194</f>
        <v>Quaking Aspen</v>
      </c>
      <c r="C336" s="23" t="str">
        <f ca="1">'Landscape Trees '!D194</f>
        <v>#5</v>
      </c>
      <c r="D336" s="24" t="str">
        <f ca="1">'Landscape Trees '!E194</f>
        <v>0.25-1"</v>
      </c>
      <c r="E336" s="23" t="str">
        <f ca="1">'Landscape Trees '!F194</f>
        <v>4-6'</v>
      </c>
      <c r="F336" s="25">
        <f ca="1">'Landscape Trees '!G194</f>
        <v>3</v>
      </c>
      <c r="G336" s="23">
        <f ca="1">'Landscape Trees '!H194</f>
        <v>50</v>
      </c>
      <c r="H336" s="26">
        <f ca="1">'Landscape Trees '!I194</f>
        <v>35</v>
      </c>
    </row>
    <row r="337" spans="1:8" ht="12.75">
      <c r="A337" s="23" t="str">
        <f ca="1">'Landscape Trees '!A195</f>
        <v>Populus tremuloides</v>
      </c>
      <c r="B337" s="23" t="str">
        <f ca="1">'Landscape Trees '!C195</f>
        <v>Quaking Aspen</v>
      </c>
      <c r="C337" s="23" t="str">
        <f ca="1">'Landscape Trees '!D195</f>
        <v>#15</v>
      </c>
      <c r="D337" s="24" t="str">
        <f ca="1">'Landscape Trees '!E195</f>
        <v>1-1'</v>
      </c>
      <c r="E337" s="23" t="str">
        <f ca="1">'Landscape Trees '!F195</f>
        <v>7-8'</v>
      </c>
      <c r="F337" s="25">
        <f ca="1">'Landscape Trees '!G195</f>
        <v>0</v>
      </c>
      <c r="G337" s="23">
        <f ca="1">'Landscape Trees '!H195</f>
        <v>10</v>
      </c>
      <c r="H337" s="26">
        <f ca="1">'Landscape Trees '!I195</f>
        <v>110</v>
      </c>
    </row>
    <row r="338" spans="1:8" ht="12.75">
      <c r="A338" s="23" t="str">
        <f ca="1">'Landscape Trees '!A196</f>
        <v>Prunus 'Autumnalis'</v>
      </c>
      <c r="B338" s="23" t="str">
        <f ca="1">'Landscape Trees '!C196</f>
        <v>Autumnalis cherry</v>
      </c>
      <c r="C338" s="23" t="str">
        <f ca="1">'Landscape Trees '!D196</f>
        <v>#5</v>
      </c>
      <c r="D338" s="24" t="str">
        <f ca="1">'Landscape Trees '!E196</f>
        <v>1-1.25"</v>
      </c>
      <c r="E338" s="23" t="str">
        <f ca="1">'Landscape Trees '!F196</f>
        <v>11-12'</v>
      </c>
      <c r="F338" s="25">
        <f ca="1">'Landscape Trees '!G196</f>
        <v>28</v>
      </c>
      <c r="G338" s="23">
        <f ca="1">'Landscape Trees '!H196</f>
        <v>0</v>
      </c>
      <c r="H338" s="26">
        <f ca="1">'Landscape Trees '!I196</f>
        <v>35</v>
      </c>
    </row>
    <row r="339" spans="1:8" ht="12.75">
      <c r="A339" s="23" t="str">
        <f ca="1">'Landscape Trees '!A197</f>
        <v>Prunus 'Autumnalis'</v>
      </c>
      <c r="B339" s="23" t="str">
        <f ca="1">'Landscape Trees '!C197</f>
        <v>Autumnalis Cherry</v>
      </c>
      <c r="C339" s="23" t="str">
        <f ca="1">'Landscape Trees '!D197</f>
        <v>#7</v>
      </c>
      <c r="D339" s="24" t="str">
        <f ca="1">'Landscape Trees '!E197</f>
        <v>0.75-1"</v>
      </c>
      <c r="E339" s="23" t="str">
        <f ca="1">'Landscape Trees '!F197</f>
        <v>5-6'</v>
      </c>
      <c r="F339" s="25">
        <f ca="1">'Landscape Trees '!G197</f>
        <v>0</v>
      </c>
      <c r="G339" s="23">
        <f ca="1">'Landscape Trees '!H197</f>
        <v>20</v>
      </c>
      <c r="H339" s="26">
        <f ca="1">'Landscape Trees '!I197</f>
        <v>55</v>
      </c>
    </row>
    <row r="340" spans="1:8" ht="12.75">
      <c r="A340" s="23" t="str">
        <f ca="1">'Landscape Trees '!A198</f>
        <v>Prunus 'Autumnalis'</v>
      </c>
      <c r="B340" s="23" t="str">
        <f ca="1">'Landscape Trees '!C198</f>
        <v>Autumnalis cherry</v>
      </c>
      <c r="C340" s="23" t="str">
        <f ca="1">'Landscape Trees '!D198</f>
        <v>#15</v>
      </c>
      <c r="D340" s="24" t="str">
        <f ca="1">'Landscape Trees '!E198</f>
        <v>1-1.5"</v>
      </c>
      <c r="E340" s="23" t="str">
        <f ca="1">'Landscape Trees '!F198</f>
        <v>8-11'</v>
      </c>
      <c r="F340" s="25">
        <f ca="1">'Landscape Trees '!G198</f>
        <v>12</v>
      </c>
      <c r="G340" s="23">
        <f ca="1">'Landscape Trees '!H198</f>
        <v>5</v>
      </c>
      <c r="H340" s="26">
        <f ca="1">'Landscape Trees '!I198</f>
        <v>110</v>
      </c>
    </row>
    <row r="341" spans="1:8" ht="12.75">
      <c r="A341" s="23" t="str">
        <f ca="1">'Landscape Trees '!A199</f>
        <v>Prunus 'Okame'</v>
      </c>
      <c r="B341" s="23" t="str">
        <f ca="1">'Landscape Trees '!C199</f>
        <v>Okame Cherry</v>
      </c>
      <c r="C341" s="23" t="str">
        <f ca="1">'Landscape Trees '!D199</f>
        <v>#5</v>
      </c>
      <c r="D341" s="24" t="str">
        <f ca="1">'Landscape Trees '!E199</f>
        <v>0.75-1"</v>
      </c>
      <c r="E341" s="23" t="str">
        <f ca="1">'Landscape Trees '!F199</f>
        <v>7-9'</v>
      </c>
      <c r="F341" s="25">
        <f ca="1">'Landscape Trees '!G199</f>
        <v>9</v>
      </c>
      <c r="G341" s="23">
        <f ca="1">'Landscape Trees '!H199</f>
        <v>0</v>
      </c>
      <c r="H341" s="26">
        <f ca="1">'Landscape Trees '!I199</f>
        <v>35</v>
      </c>
    </row>
    <row r="342" spans="1:8" ht="12.75">
      <c r="A342" s="23" t="str">
        <f ca="1">'Landscape Trees '!A200</f>
        <v>Prunus 'Okame'</v>
      </c>
      <c r="B342" s="23" t="str">
        <f ca="1">'Landscape Trees '!C200</f>
        <v>Okame Cherry</v>
      </c>
      <c r="C342" s="23" t="str">
        <f ca="1">'Landscape Trees '!D200</f>
        <v>#7</v>
      </c>
      <c r="D342" s="24" t="str">
        <f ca="1">'Landscape Trees '!E200</f>
        <v>0.75-1"</v>
      </c>
      <c r="E342" s="23" t="str">
        <f ca="1">'Landscape Trees '!F200</f>
        <v>6-7'</v>
      </c>
      <c r="F342" s="25">
        <f ca="1">'Landscape Trees '!G200</f>
        <v>0</v>
      </c>
      <c r="G342" s="23">
        <f ca="1">'Landscape Trees '!H200</f>
        <v>30</v>
      </c>
      <c r="H342" s="26">
        <f ca="1">'Landscape Trees '!I200</f>
        <v>55</v>
      </c>
    </row>
    <row r="343" spans="1:8" ht="12.75">
      <c r="A343" s="23" t="str">
        <f ca="1">'Landscape Trees '!A201</f>
        <v>Prunus 'Okame'</v>
      </c>
      <c r="B343" s="23" t="str">
        <f ca="1">'Landscape Trees '!C201</f>
        <v>Okame Cherry</v>
      </c>
      <c r="C343" s="23" t="str">
        <f ca="1">'Landscape Trees '!D201</f>
        <v>#15</v>
      </c>
      <c r="D343" s="24" t="str">
        <f ca="1">'Landscape Trees '!E201</f>
        <v>1-1"</v>
      </c>
      <c r="E343" s="23" t="str">
        <f ca="1">'Landscape Trees '!F201</f>
        <v>10-11'</v>
      </c>
      <c r="F343" s="25">
        <f ca="1">'Landscape Trees '!G201</f>
        <v>4</v>
      </c>
      <c r="G343" s="23">
        <f ca="1">'Landscape Trees '!H201</f>
        <v>10</v>
      </c>
      <c r="H343" s="26">
        <f ca="1">'Landscape Trees '!I201</f>
        <v>110</v>
      </c>
    </row>
    <row r="344" spans="1:8" ht="12.75">
      <c r="A344" s="23" t="str">
        <f ca="1">'Landscape Trees '!A202</f>
        <v>Prunus 'Okame'</v>
      </c>
      <c r="B344" s="23" t="str">
        <f ca="1">'Landscape Trees '!C202</f>
        <v>Okame Cherry</v>
      </c>
      <c r="C344" s="23" t="str">
        <f ca="1">'Landscape Trees '!D202</f>
        <v>#25</v>
      </c>
      <c r="D344" s="24" t="str">
        <f ca="1">'Landscape Trees '!E202</f>
        <v>1-1"</v>
      </c>
      <c r="E344" s="23" t="str">
        <f ca="1">'Landscape Trees '!F202</f>
        <v>10-10'</v>
      </c>
      <c r="F344" s="25">
        <f ca="1">'Landscape Trees '!G202</f>
        <v>1</v>
      </c>
      <c r="G344" s="23">
        <f ca="1">'Landscape Trees '!H202</f>
        <v>0</v>
      </c>
      <c r="H344" s="26">
        <f ca="1">'Landscape Trees '!I202</f>
        <v>135</v>
      </c>
    </row>
    <row r="345" spans="1:8" ht="12.75">
      <c r="A345" s="23" t="str">
        <f ca="1">'Landscape Trees '!A203</f>
        <v>Prunus × yedoensis</v>
      </c>
      <c r="B345" s="23" t="str">
        <f ca="1">'Landscape Trees '!C203</f>
        <v>Yoshino Cherry</v>
      </c>
      <c r="C345" s="23" t="str">
        <f ca="1">'Landscape Trees '!D203</f>
        <v>#15</v>
      </c>
      <c r="D345" s="24" t="str">
        <f ca="1">'Landscape Trees '!E203</f>
        <v>1.25-1.25"</v>
      </c>
      <c r="E345" s="23" t="str">
        <f ca="1">'Landscape Trees '!F203</f>
        <v>10-10'</v>
      </c>
      <c r="F345" s="25">
        <f ca="1">'Landscape Trees '!G203</f>
        <v>1</v>
      </c>
      <c r="G345" s="23">
        <f ca="1">'Landscape Trees '!H203</f>
        <v>10</v>
      </c>
      <c r="H345" s="26">
        <f ca="1">'Landscape Trees '!I203</f>
        <v>110</v>
      </c>
    </row>
    <row r="346" spans="1:8" ht="12.75">
      <c r="A346" s="23" t="str">
        <f ca="1">'Landscape Trees '!A204</f>
        <v>Prunus × yedoensis</v>
      </c>
      <c r="B346" s="23" t="str">
        <f ca="1">'Landscape Trees '!C204</f>
        <v>Yoshino Cherry</v>
      </c>
      <c r="C346" s="23" t="str">
        <f ca="1">'Landscape Trees '!D204</f>
        <v>#25</v>
      </c>
      <c r="D346" s="24" t="str">
        <f ca="1">'Landscape Trees '!E204</f>
        <v>1.25-1.25"</v>
      </c>
      <c r="E346" s="23" t="str">
        <f ca="1">'Landscape Trees '!F204</f>
        <v>10-10'</v>
      </c>
      <c r="F346" s="25">
        <f ca="1">'Landscape Trees '!G204</f>
        <v>1</v>
      </c>
      <c r="G346" s="23">
        <f ca="1">'Landscape Trees '!H204</f>
        <v>0</v>
      </c>
      <c r="H346" s="26">
        <f ca="1">'Landscape Trees '!I204</f>
        <v>135</v>
      </c>
    </row>
    <row r="347" spans="1:8" ht="12.75">
      <c r="A347" s="23" t="str">
        <f ca="1">'Landscape Trees '!A205</f>
        <v>Prunus americana</v>
      </c>
      <c r="B347" s="23" t="str">
        <f ca="1">'Landscape Trees '!C205</f>
        <v>American Plum</v>
      </c>
      <c r="C347" s="23" t="str">
        <f ca="1">'Landscape Trees '!D205</f>
        <v>#5</v>
      </c>
      <c r="D347" s="24" t="str">
        <f ca="1">'Landscape Trees '!E205</f>
        <v>0.25-0.75"</v>
      </c>
      <c r="E347" s="23" t="str">
        <f ca="1">'Landscape Trees '!F205</f>
        <v>4-7'</v>
      </c>
      <c r="F347" s="25">
        <f ca="1">'Landscape Trees '!G205</f>
        <v>176</v>
      </c>
      <c r="G347" s="23">
        <f ca="1">'Landscape Trees '!H205</f>
        <v>50</v>
      </c>
      <c r="H347" s="26">
        <f ca="1">'Landscape Trees '!I205</f>
        <v>35</v>
      </c>
    </row>
    <row r="348" spans="1:8" ht="12.75">
      <c r="A348" s="23" t="str">
        <f ca="1">'Landscape Trees '!A206</f>
        <v>Prunus cerasifera 'Thundercloud'</v>
      </c>
      <c r="B348" s="23" t="str">
        <f ca="1">'Landscape Trees '!C206</f>
        <v>Thundercloud Plum</v>
      </c>
      <c r="C348" s="23" t="str">
        <f ca="1">'Landscape Trees '!D206</f>
        <v>#15</v>
      </c>
      <c r="D348" s="24" t="str">
        <f ca="1">'Landscape Trees '!E206</f>
        <v>1.25-1.5"</v>
      </c>
      <c r="E348" s="23" t="str">
        <f ca="1">'Landscape Trees '!F206</f>
        <v>11-11'</v>
      </c>
      <c r="F348" s="25">
        <f ca="1">'Landscape Trees '!G206</f>
        <v>2</v>
      </c>
      <c r="G348" s="23">
        <f ca="1">'Landscape Trees '!H206</f>
        <v>10</v>
      </c>
      <c r="H348" s="26">
        <f ca="1">'Landscape Trees '!I206</f>
        <v>110</v>
      </c>
    </row>
    <row r="349" spans="1:8" ht="12.75">
      <c r="A349" s="23" t="str">
        <f ca="1">'Landscape Trees '!A207</f>
        <v>Prunus serotina</v>
      </c>
      <c r="B349" s="23" t="str">
        <f ca="1">'Landscape Trees '!C207</f>
        <v>Black Cherry</v>
      </c>
      <c r="C349" s="23" t="str">
        <f ca="1">'Landscape Trees '!D207</f>
        <v>#5</v>
      </c>
      <c r="D349" s="24" t="str">
        <f ca="1">'Landscape Trees '!E207</f>
        <v>0.25-0.5"</v>
      </c>
      <c r="E349" s="23" t="str">
        <f ca="1">'Landscape Trees '!F207</f>
        <v>1-2'</v>
      </c>
      <c r="F349" s="25">
        <f ca="1">'Landscape Trees '!G207</f>
        <v>0</v>
      </c>
      <c r="G349" s="23">
        <f ca="1">'Landscape Trees '!H207</f>
        <v>50</v>
      </c>
      <c r="H349" s="26">
        <f ca="1">'Landscape Trees '!I207</f>
        <v>35</v>
      </c>
    </row>
    <row r="350" spans="1:8" ht="12.75">
      <c r="A350" s="23" t="str">
        <f ca="1">'Landscape Trees '!A208</f>
        <v>Prunus serrulata 'Kwanzan'</v>
      </c>
      <c r="B350" s="23" t="str">
        <f ca="1">'Landscape Trees '!C208</f>
        <v>Kwanzan Cherry</v>
      </c>
      <c r="C350" s="23" t="str">
        <f ca="1">'Landscape Trees '!D208</f>
        <v>#5</v>
      </c>
      <c r="D350" s="24" t="str">
        <f ca="1">'Landscape Trees '!E208</f>
        <v>0.5-1"</v>
      </c>
      <c r="E350" s="23" t="str">
        <f ca="1">'Landscape Trees '!F208</f>
        <v>5-7'</v>
      </c>
      <c r="F350" s="25">
        <f ca="1">'Landscape Trees '!G208</f>
        <v>6</v>
      </c>
      <c r="G350" s="23">
        <f ca="1">'Landscape Trees '!H208</f>
        <v>25</v>
      </c>
      <c r="H350" s="26">
        <f ca="1">'Landscape Trees '!I208</f>
        <v>35</v>
      </c>
    </row>
    <row r="351" spans="1:8" ht="12.75">
      <c r="A351" s="23" t="str">
        <f ca="1">'Landscape Trees '!A209</f>
        <v>Prunus serrulata 'Kwanzan'</v>
      </c>
      <c r="B351" s="23" t="str">
        <f ca="1">'Landscape Trees '!C209</f>
        <v>Kwanzan Cherry</v>
      </c>
      <c r="C351" s="23" t="str">
        <f ca="1">'Landscape Trees '!D209</f>
        <v>#10</v>
      </c>
      <c r="D351" s="24" t="str">
        <f ca="1">'Landscape Trees '!E209</f>
        <v>1-1.5"</v>
      </c>
      <c r="E351" s="23" t="str">
        <f ca="1">'Landscape Trees '!F209</f>
        <v>9-10'</v>
      </c>
      <c r="F351" s="25">
        <f ca="1">'Landscape Trees '!G209</f>
        <v>4</v>
      </c>
      <c r="G351" s="23">
        <f ca="1">'Landscape Trees '!H209</f>
        <v>30</v>
      </c>
      <c r="H351" s="26">
        <f ca="1">'Landscape Trees '!I209</f>
        <v>95</v>
      </c>
    </row>
    <row r="352" spans="1:8" ht="12.75">
      <c r="A352" s="23" t="str">
        <f ca="1">'Landscape Trees '!A210</f>
        <v>Prunus serrulata 'Kwanzan'</v>
      </c>
      <c r="B352" s="23" t="str">
        <f ca="1">'Landscape Trees '!C210</f>
        <v>Kwanzan Cherry</v>
      </c>
      <c r="C352" s="23" t="str">
        <f ca="1">'Landscape Trees '!D210</f>
        <v>#15</v>
      </c>
      <c r="D352" s="24" t="str">
        <f ca="1">'Landscape Trees '!E210</f>
        <v>1-1"</v>
      </c>
      <c r="E352" s="23" t="str">
        <f ca="1">'Landscape Trees '!F210</f>
        <v>8-9'</v>
      </c>
      <c r="F352" s="25">
        <f ca="1">'Landscape Trees '!G210</f>
        <v>0</v>
      </c>
      <c r="G352" s="23">
        <f ca="1">'Landscape Trees '!H210</f>
        <v>20</v>
      </c>
      <c r="H352" s="26">
        <f ca="1">'Landscape Trees '!I210</f>
        <v>110</v>
      </c>
    </row>
    <row r="353" spans="1:8" ht="12.75">
      <c r="A353" s="23" t="str">
        <f ca="1">'Landscape Trees '!A211</f>
        <v>Prunus subhirtella 'Snow Fountains'</v>
      </c>
      <c r="B353" s="23" t="str">
        <f ca="1">'Landscape Trees '!C211</f>
        <v>Snow Fountains Cherry</v>
      </c>
      <c r="C353" s="23" t="str">
        <f ca="1">'Landscape Trees '!D211</f>
        <v>#15</v>
      </c>
      <c r="D353" s="24" t="str">
        <f ca="1">'Landscape Trees '!E211</f>
        <v>1.25-1.25"</v>
      </c>
      <c r="E353" s="23" t="str">
        <f ca="1">'Landscape Trees '!F211</f>
        <v>6.5-6.5'</v>
      </c>
      <c r="F353" s="25">
        <f ca="1">'Landscape Trees '!G211</f>
        <v>6</v>
      </c>
      <c r="G353" s="23">
        <f ca="1">'Landscape Trees '!H211</f>
        <v>15</v>
      </c>
      <c r="H353" s="26">
        <f ca="1">'Landscape Trees '!I211</f>
        <v>115</v>
      </c>
    </row>
    <row r="354" spans="1:8" ht="12.75">
      <c r="A354" s="23" t="str">
        <f ca="1">'Landscape Trees '!A212</f>
        <v>Prunus subhirtella 'Snow Fountains'</v>
      </c>
      <c r="B354" s="23" t="str">
        <f ca="1">'Landscape Trees '!C212</f>
        <v>Snow Fountains Cherry</v>
      </c>
      <c r="C354" s="23" t="str">
        <f ca="1">'Landscape Trees '!D212</f>
        <v>#25</v>
      </c>
      <c r="D354" s="24" t="str">
        <f ca="1">'Landscape Trees '!E212</f>
        <v>1-1.25"</v>
      </c>
      <c r="E354" s="23" t="str">
        <f ca="1">'Landscape Trees '!F212</f>
        <v>6.5-6.5'</v>
      </c>
      <c r="F354" s="25">
        <f ca="1">'Landscape Trees '!G212</f>
        <v>3</v>
      </c>
      <c r="G354" s="23">
        <f ca="1">'Landscape Trees '!H212</f>
        <v>0</v>
      </c>
      <c r="H354" s="26">
        <f ca="1">'Landscape Trees '!I212</f>
        <v>135</v>
      </c>
    </row>
    <row r="355" spans="1:8" ht="12.75">
      <c r="A355" s="23" t="str">
        <f ca="1">'Landscape Trees '!A213</f>
        <v>Prunus subhirtella 'Snow Goose'</v>
      </c>
      <c r="B355" s="23" t="str">
        <f ca="1">'Landscape Trees '!C213</f>
        <v>Snow Goose Cherry</v>
      </c>
      <c r="C355" s="23" t="str">
        <f ca="1">'Landscape Trees '!D213</f>
        <v>#15</v>
      </c>
      <c r="D355" s="24" t="str">
        <f ca="1">'Landscape Trees '!E213</f>
        <v>1-1.75"</v>
      </c>
      <c r="E355" s="23" t="str">
        <f ca="1">'Landscape Trees '!F213</f>
        <v>9-10'</v>
      </c>
      <c r="F355" s="25">
        <f ca="1">'Landscape Trees '!G213</f>
        <v>5</v>
      </c>
      <c r="G355" s="23">
        <f ca="1">'Landscape Trees '!H213</f>
        <v>0</v>
      </c>
      <c r="H355" s="26">
        <f ca="1">'Landscape Trees '!I213</f>
        <v>110</v>
      </c>
    </row>
    <row r="356" spans="1:8" ht="12.75">
      <c r="A356" s="23" t="str">
        <f ca="1">'Landscape Trees '!A214</f>
        <v>Prunus subhirtella 'Snow Goose'</v>
      </c>
      <c r="B356" s="23" t="str">
        <f ca="1">'Landscape Trees '!C214</f>
        <v>Snow Goose Cherry</v>
      </c>
      <c r="C356" s="23" t="str">
        <f ca="1">'Landscape Trees '!D214</f>
        <v>#25</v>
      </c>
      <c r="D356" s="24" t="str">
        <f ca="1">'Landscape Trees '!E214</f>
        <v>1.25-1.25"</v>
      </c>
      <c r="E356" s="23" t="str">
        <f ca="1">'Landscape Trees '!F214</f>
        <v>9-10'</v>
      </c>
      <c r="F356" s="25">
        <f ca="1">'Landscape Trees '!G214</f>
        <v>2</v>
      </c>
      <c r="G356" s="23">
        <f ca="1">'Landscape Trees '!H214</f>
        <v>0</v>
      </c>
      <c r="H356" s="26">
        <f ca="1">'Landscape Trees '!I214</f>
        <v>135</v>
      </c>
    </row>
    <row r="357" spans="1:8" ht="12.75">
      <c r="A357" s="23" t="str">
        <f ca="1">'Landscape Trees '!A215</f>
        <v>Prunus subhirtella "Pendula plena rosea"</v>
      </c>
      <c r="B357" s="23" t="str">
        <f ca="1">'Landscape Trees '!C215</f>
        <v>Double Pink Weeping Cherry</v>
      </c>
      <c r="C357" s="23" t="str">
        <f ca="1">'Landscape Trees '!D215</f>
        <v>#15</v>
      </c>
      <c r="D357" s="24" t="str">
        <f ca="1">'Landscape Trees '!E215</f>
        <v>1.25-1.5"</v>
      </c>
      <c r="E357" s="23" t="str">
        <f ca="1">'Landscape Trees '!F215</f>
        <v>6.5-6.5'</v>
      </c>
      <c r="F357" s="25">
        <f ca="1">'Landscape Trees '!G215</f>
        <v>4</v>
      </c>
      <c r="G357" s="23">
        <f ca="1">'Landscape Trees '!H215</f>
        <v>15</v>
      </c>
      <c r="H357" s="26">
        <f ca="1">'Landscape Trees '!I215</f>
        <v>115</v>
      </c>
    </row>
    <row r="358" spans="1:8" ht="12.75">
      <c r="A358" s="23" t="str">
        <f ca="1">'Landscape Trees '!A216</f>
        <v>Prunus virginiana</v>
      </c>
      <c r="B358" s="23" t="str">
        <f ca="1">'Landscape Trees '!C216</f>
        <v>Chokecherry</v>
      </c>
      <c r="C358" s="23" t="str">
        <f ca="1">'Landscape Trees '!D216</f>
        <v>#5</v>
      </c>
      <c r="D358" s="27" t="str">
        <f ca="1">'Landscape Trees '!E216</f>
        <v>Multi</v>
      </c>
      <c r="E358" s="23" t="str">
        <f ca="1">'Landscape Trees '!F216</f>
        <v>1-6.5'</v>
      </c>
      <c r="F358" s="25">
        <f ca="1">'Landscape Trees '!G216</f>
        <v>58</v>
      </c>
      <c r="G358" s="23">
        <f ca="1">'Landscape Trees '!H216</f>
        <v>10</v>
      </c>
      <c r="H358" s="26">
        <f ca="1">'Landscape Trees '!I216</f>
        <v>30</v>
      </c>
    </row>
    <row r="359" spans="1:8" ht="12.75">
      <c r="A359" s="23" t="str">
        <f ca="1">'Landscape Trees '!A217</f>
        <v>Prunus x cistena</v>
      </c>
      <c r="B359" s="23" t="str">
        <f ca="1">'Landscape Trees '!C217</f>
        <v>Purple Sand Cherry</v>
      </c>
      <c r="C359" s="23" t="str">
        <f ca="1">'Landscape Trees '!D217</f>
        <v>#5</v>
      </c>
      <c r="D359" s="27" t="str">
        <f ca="1">'Landscape Trees '!E217</f>
        <v>Multi</v>
      </c>
      <c r="E359" s="23" t="str">
        <f ca="1">'Landscape Trees '!F217</f>
        <v>4-5'</v>
      </c>
      <c r="F359" s="25">
        <f ca="1">'Landscape Trees '!G217</f>
        <v>3</v>
      </c>
      <c r="G359" s="23">
        <f ca="1">'Landscape Trees '!H217</f>
        <v>0</v>
      </c>
      <c r="H359" s="26">
        <f ca="1">'Landscape Trees '!I217</f>
        <v>35</v>
      </c>
    </row>
    <row r="360" spans="1:8" ht="12.75">
      <c r="A360" s="23" t="str">
        <f ca="1">'Landscape Trees '!A218</f>
        <v>Quercus 'Kindred Spirit'</v>
      </c>
      <c r="B360" s="23" t="str">
        <f ca="1">'Landscape Trees '!C218</f>
        <v>Kindred Spirit Oak</v>
      </c>
      <c r="C360" s="23" t="str">
        <f ca="1">'Landscape Trees '!D218</f>
        <v>#7</v>
      </c>
      <c r="D360" s="24" t="str">
        <f ca="1">'Landscape Trees '!E218</f>
        <v>0.75-0.5"</v>
      </c>
      <c r="E360" s="23" t="str">
        <f ca="1">'Landscape Trees '!F218</f>
        <v>4-5'</v>
      </c>
      <c r="F360" s="25">
        <f ca="1">'Landscape Trees '!G218</f>
        <v>10</v>
      </c>
      <c r="G360" s="23">
        <f ca="1">'Landscape Trees '!H218</f>
        <v>10</v>
      </c>
      <c r="H360" s="26">
        <f ca="1">'Landscape Trees '!I218</f>
        <v>45</v>
      </c>
    </row>
    <row r="361" spans="1:8" ht="12.75">
      <c r="A361" s="23" t="str">
        <f ca="1">'Landscape Trees '!A219</f>
        <v>Quercus alba</v>
      </c>
      <c r="B361" s="23" t="str">
        <f ca="1">'Landscape Trees '!C219</f>
        <v>White Oak</v>
      </c>
      <c r="C361" s="23" t="str">
        <f ca="1">'Landscape Trees '!D219</f>
        <v>#5</v>
      </c>
      <c r="D361" s="24" t="str">
        <f ca="1">'Landscape Trees '!E219</f>
        <v>0.5-0.75"</v>
      </c>
      <c r="E361" s="23" t="str">
        <f ca="1">'Landscape Trees '!F219</f>
        <v>3-4'</v>
      </c>
      <c r="F361" s="25">
        <f ca="1">'Landscape Trees '!G219</f>
        <v>80</v>
      </c>
      <c r="G361" s="23">
        <f ca="1">'Landscape Trees '!H219</f>
        <v>200</v>
      </c>
      <c r="H361" s="26">
        <f ca="1">'Landscape Trees '!I219</f>
        <v>40</v>
      </c>
    </row>
    <row r="362" spans="1:8" ht="12.75">
      <c r="A362" s="23" t="str">
        <f ca="1">'Landscape Trees '!A220</f>
        <v>Quercus alba</v>
      </c>
      <c r="B362" s="23" t="str">
        <f ca="1">'Landscape Trees '!C220</f>
        <v>White Oak</v>
      </c>
      <c r="C362" s="23" t="str">
        <f ca="1">'Landscape Trees '!D220</f>
        <v>#7</v>
      </c>
      <c r="D362" s="24" t="str">
        <f ca="1">'Landscape Trees '!E220</f>
        <v>0.5-0.75"</v>
      </c>
      <c r="E362" s="23" t="str">
        <f ca="1">'Landscape Trees '!F220</f>
        <v>3-4'</v>
      </c>
      <c r="F362" s="25">
        <f ca="1">'Landscape Trees '!G220</f>
        <v>42</v>
      </c>
      <c r="G362" s="23">
        <f ca="1">'Landscape Trees '!H220</f>
        <v>150</v>
      </c>
      <c r="H362" s="26">
        <f ca="1">'Landscape Trees '!I220</f>
        <v>50</v>
      </c>
    </row>
    <row r="363" spans="1:8" ht="12.75">
      <c r="A363" s="23" t="str">
        <f ca="1">'Landscape Trees '!A221</f>
        <v>Quercus alba</v>
      </c>
      <c r="B363" s="23" t="str">
        <f ca="1">'Landscape Trees '!C221</f>
        <v>White Oak</v>
      </c>
      <c r="C363" s="23" t="str">
        <f ca="1">'Landscape Trees '!D221</f>
        <v>#10</v>
      </c>
      <c r="D363" s="24" t="str">
        <f ca="1">'Landscape Trees '!E221</f>
        <v>0.25-0.75"</v>
      </c>
      <c r="E363" s="23" t="str">
        <f ca="1">'Landscape Trees '!F221</f>
        <v>3-4'</v>
      </c>
      <c r="F363" s="25">
        <f ca="1">'Landscape Trees '!G221</f>
        <v>0</v>
      </c>
      <c r="G363" s="23">
        <f ca="1">'Landscape Trees '!H221</f>
        <v>30</v>
      </c>
      <c r="H363" s="26">
        <f ca="1">'Landscape Trees '!I221</f>
        <v>80</v>
      </c>
    </row>
    <row r="364" spans="1:8" ht="12.75">
      <c r="A364" s="23" t="str">
        <f ca="1">'Landscape Trees '!A222</f>
        <v>Quercus alba</v>
      </c>
      <c r="B364" s="23" t="str">
        <f ca="1">'Landscape Trees '!C222</f>
        <v>White Oak</v>
      </c>
      <c r="C364" s="23" t="str">
        <f ca="1">'Landscape Trees '!D222</f>
        <v>#15</v>
      </c>
      <c r="D364" s="24" t="str">
        <f ca="1">'Landscape Trees '!E222</f>
        <v>1-2"</v>
      </c>
      <c r="E364" s="23" t="str">
        <f ca="1">'Landscape Trees '!F222</f>
        <v>7-9'</v>
      </c>
      <c r="F364" s="25">
        <f ca="1">'Landscape Trees '!G222</f>
        <v>28</v>
      </c>
      <c r="G364" s="23">
        <f ca="1">'Landscape Trees '!H222</f>
        <v>0</v>
      </c>
      <c r="H364" s="26">
        <f ca="1">'Landscape Trees '!I222</f>
        <v>125</v>
      </c>
    </row>
    <row r="365" spans="1:8" ht="12.75">
      <c r="A365" s="23" t="str">
        <f ca="1">'Landscape Trees '!A223</f>
        <v>Quercus bicolor</v>
      </c>
      <c r="B365" s="23" t="str">
        <f ca="1">'Landscape Trees '!C223</f>
        <v>Swamp White Oak</v>
      </c>
      <c r="C365" s="23" t="str">
        <f ca="1">'Landscape Trees '!D223</f>
        <v>#5</v>
      </c>
      <c r="D365" s="24" t="str">
        <f ca="1">'Landscape Trees '!E223</f>
        <v>0.25-1"</v>
      </c>
      <c r="E365" s="23" t="str">
        <f ca="1">'Landscape Trees '!F223</f>
        <v>2-6'</v>
      </c>
      <c r="F365" s="25">
        <f ca="1">'Landscape Trees '!G223</f>
        <v>212</v>
      </c>
      <c r="G365" s="23">
        <f ca="1">'Landscape Trees '!H223</f>
        <v>200</v>
      </c>
      <c r="H365" s="26">
        <f ca="1">'Landscape Trees '!I223</f>
        <v>35</v>
      </c>
    </row>
    <row r="366" spans="1:8" ht="12.75">
      <c r="A366" s="23" t="str">
        <f ca="1">'Landscape Trees '!A224</f>
        <v>Quercus bicolor</v>
      </c>
      <c r="B366" s="23" t="str">
        <f ca="1">'Landscape Trees '!C224</f>
        <v>Swamp White Oak</v>
      </c>
      <c r="C366" s="23" t="str">
        <f ca="1">'Landscape Trees '!D224</f>
        <v>#15</v>
      </c>
      <c r="D366" s="24" t="str">
        <f ca="1">'Landscape Trees '!E224</f>
        <v>1-1.25"</v>
      </c>
      <c r="E366" s="23" t="str">
        <f ca="1">'Landscape Trees '!F224</f>
        <v>9-9'</v>
      </c>
      <c r="F366" s="25">
        <f ca="1">'Landscape Trees '!G224</f>
        <v>1</v>
      </c>
      <c r="G366" s="23">
        <f ca="1">'Landscape Trees '!H224</f>
        <v>20</v>
      </c>
      <c r="H366" s="26">
        <f ca="1">'Landscape Trees '!I224</f>
        <v>110</v>
      </c>
    </row>
    <row r="367" spans="1:8" ht="12.75">
      <c r="A367" s="23" t="str">
        <f ca="1">'Landscape Trees '!A225</f>
        <v>Quercus bicolor</v>
      </c>
      <c r="B367" s="23" t="str">
        <f ca="1">'Landscape Trees '!C225</f>
        <v>Swamp White Oak</v>
      </c>
      <c r="C367" s="23" t="str">
        <f ca="1">'Landscape Trees '!D225</f>
        <v>#15</v>
      </c>
      <c r="D367" s="24" t="str">
        <f ca="1">'Landscape Trees '!E225</f>
        <v>1-1"</v>
      </c>
      <c r="E367" s="23" t="str">
        <f ca="1">'Landscape Trees '!F225</f>
        <v>8-9'</v>
      </c>
      <c r="F367" s="25">
        <f ca="1">'Landscape Trees '!G225</f>
        <v>0</v>
      </c>
      <c r="G367" s="23">
        <f ca="1">'Landscape Trees '!H225</f>
        <v>20</v>
      </c>
      <c r="H367" s="26">
        <f ca="1">'Landscape Trees '!I225</f>
        <v>110</v>
      </c>
    </row>
    <row r="368" spans="1:8" ht="12.75">
      <c r="A368" s="23" t="str">
        <f ca="1">'Landscape Trees '!A226</f>
        <v>Quercus bicolor</v>
      </c>
      <c r="B368" s="23" t="str">
        <f ca="1">'Landscape Trees '!C226</f>
        <v>Swamp White Oak</v>
      </c>
      <c r="C368" s="23" t="str">
        <f ca="1">'Landscape Trees '!D226</f>
        <v>#25</v>
      </c>
      <c r="D368" s="24" t="str">
        <f ca="1">'Landscape Trees '!E226</f>
        <v>1-1.25"</v>
      </c>
      <c r="E368" s="23" t="str">
        <f ca="1">'Landscape Trees '!F226</f>
        <v>9-9'</v>
      </c>
      <c r="F368" s="25">
        <f ca="1">'Landscape Trees '!G226</f>
        <v>4</v>
      </c>
      <c r="G368" s="23">
        <f ca="1">'Landscape Trees '!H226</f>
        <v>5</v>
      </c>
      <c r="H368" s="26">
        <f ca="1">'Landscape Trees '!I226</f>
        <v>135</v>
      </c>
    </row>
    <row r="369" spans="1:8" ht="12.75">
      <c r="A369" s="23" t="str">
        <f ca="1">'Landscape Trees '!A227</f>
        <v>Quercus coccinea</v>
      </c>
      <c r="B369" s="23" t="str">
        <f ca="1">'Landscape Trees '!C227</f>
        <v>Scarlet Oak</v>
      </c>
      <c r="C369" s="23" t="str">
        <f ca="1">'Landscape Trees '!D227</f>
        <v>#5</v>
      </c>
      <c r="D369" s="24" t="str">
        <f ca="1">'Landscape Trees '!E227</f>
        <v>0.5-0.75"</v>
      </c>
      <c r="E369" s="23" t="str">
        <f ca="1">'Landscape Trees '!F227</f>
        <v>4-6'</v>
      </c>
      <c r="F369" s="25">
        <f ca="1">'Landscape Trees '!G227</f>
        <v>67</v>
      </c>
      <c r="G369" s="23">
        <f ca="1">'Landscape Trees '!H227</f>
        <v>50</v>
      </c>
      <c r="H369" s="26">
        <f ca="1">'Landscape Trees '!I227</f>
        <v>35</v>
      </c>
    </row>
    <row r="370" spans="1:8" ht="12.75">
      <c r="A370" s="23" t="str">
        <f ca="1">'Landscape Trees '!A228</f>
        <v>Quercus coccinea</v>
      </c>
      <c r="B370" s="23" t="str">
        <f ca="1">'Landscape Trees '!C228</f>
        <v>Scarlet Oak</v>
      </c>
      <c r="C370" s="23" t="str">
        <f ca="1">'Landscape Trees '!D228</f>
        <v>#7</v>
      </c>
      <c r="D370" s="24" t="str">
        <f ca="1">'Landscape Trees '!E228</f>
        <v>0.5-0.75"</v>
      </c>
      <c r="E370" s="23" t="str">
        <f ca="1">'Landscape Trees '!F228</f>
        <v>4-4'</v>
      </c>
      <c r="F370" s="25">
        <f ca="1">'Landscape Trees '!G228</f>
        <v>4</v>
      </c>
      <c r="G370" s="23">
        <f ca="1">'Landscape Trees '!H228</f>
        <v>0</v>
      </c>
      <c r="H370" s="26">
        <f ca="1">'Landscape Trees '!I228</f>
        <v>50</v>
      </c>
    </row>
    <row r="371" spans="1:8" ht="12.75">
      <c r="A371" s="23" t="str">
        <f ca="1">'Landscape Trees '!A229</f>
        <v>Quercus coccinea</v>
      </c>
      <c r="B371" s="23" t="str">
        <f ca="1">'Landscape Trees '!C229</f>
        <v>Scarlet Oak</v>
      </c>
      <c r="C371" s="23" t="str">
        <f ca="1">'Landscape Trees '!D229</f>
        <v>#15</v>
      </c>
      <c r="D371" s="24" t="str">
        <f ca="1">'Landscape Trees '!E229</f>
        <v>1.25-1.25"</v>
      </c>
      <c r="E371" s="23" t="str">
        <f ca="1">'Landscape Trees '!F229</f>
        <v>10-12'</v>
      </c>
      <c r="F371" s="25">
        <f ca="1">'Landscape Trees '!G229</f>
        <v>2</v>
      </c>
      <c r="G371" s="23">
        <f ca="1">'Landscape Trees '!H229</f>
        <v>10</v>
      </c>
      <c r="H371" s="26">
        <f ca="1">'Landscape Trees '!I229</f>
        <v>110</v>
      </c>
    </row>
    <row r="372" spans="1:8" ht="12.75">
      <c r="A372" s="23" t="str">
        <f ca="1">'Landscape Trees '!A230</f>
        <v>Quercus imbricaria</v>
      </c>
      <c r="B372" s="23" t="str">
        <f ca="1">'Landscape Trees '!C230</f>
        <v>Shingle Oak</v>
      </c>
      <c r="C372" s="23" t="str">
        <f ca="1">'Landscape Trees '!D230</f>
        <v>#5</v>
      </c>
      <c r="D372" s="24" t="str">
        <f ca="1">'Landscape Trees '!E230</f>
        <v>0.25-0.5"</v>
      </c>
      <c r="E372" s="23" t="str">
        <f ca="1">'Landscape Trees '!F230</f>
        <v>2-4'</v>
      </c>
      <c r="F372" s="25">
        <f ca="1">'Landscape Trees '!G230</f>
        <v>5</v>
      </c>
      <c r="G372" s="23">
        <f ca="1">'Landscape Trees '!H230</f>
        <v>25</v>
      </c>
      <c r="H372" s="26">
        <f ca="1">'Landscape Trees '!I230</f>
        <v>35</v>
      </c>
    </row>
    <row r="373" spans="1:8" ht="12.75">
      <c r="A373" s="23" t="str">
        <f ca="1">'Landscape Trees '!A231</f>
        <v>Quercus imbricaria</v>
      </c>
      <c r="B373" s="23" t="str">
        <f ca="1">'Landscape Trees '!C231</f>
        <v>Shingle Oak</v>
      </c>
      <c r="C373" s="23" t="str">
        <f ca="1">'Landscape Trees '!D231</f>
        <v>#25</v>
      </c>
      <c r="D373" s="24" t="str">
        <f ca="1">'Landscape Trees '!E231</f>
        <v>1.5-1.5"</v>
      </c>
      <c r="E373" s="23" t="str">
        <f ca="1">'Landscape Trees '!F231</f>
        <v>11-11'</v>
      </c>
      <c r="F373" s="25">
        <f ca="1">'Landscape Trees '!G231</f>
        <v>1</v>
      </c>
      <c r="G373" s="23">
        <f ca="1">'Landscape Trees '!H231</f>
        <v>0</v>
      </c>
      <c r="H373" s="26">
        <f ca="1">'Landscape Trees '!I231</f>
        <v>140</v>
      </c>
    </row>
    <row r="374" spans="1:8" ht="12.75">
      <c r="A374" s="23" t="str">
        <f ca="1">'Landscape Trees '!A232</f>
        <v>Quercus lyrata</v>
      </c>
      <c r="B374" s="23" t="str">
        <f ca="1">'Landscape Trees '!C232</f>
        <v>Overcup Oak</v>
      </c>
      <c r="C374" s="23" t="str">
        <f ca="1">'Landscape Trees '!D232</f>
        <v>#5</v>
      </c>
      <c r="D374" s="24" t="str">
        <f ca="1">'Landscape Trees '!E232</f>
        <v>0.25-0.5"</v>
      </c>
      <c r="E374" s="23" t="str">
        <f ca="1">'Landscape Trees '!F232</f>
        <v>2-4'</v>
      </c>
      <c r="F374" s="25">
        <f ca="1">'Landscape Trees '!G232</f>
        <v>24</v>
      </c>
      <c r="G374" s="23">
        <f ca="1">'Landscape Trees '!H232</f>
        <v>0</v>
      </c>
      <c r="H374" s="26">
        <f ca="1">'Landscape Trees '!I232</f>
        <v>35</v>
      </c>
    </row>
    <row r="375" spans="1:8" ht="12.75">
      <c r="A375" s="23" t="str">
        <f ca="1">'Landscape Trees '!A233</f>
        <v>Quercus macrocarpa</v>
      </c>
      <c r="B375" s="23" t="str">
        <f ca="1">'Landscape Trees '!C233</f>
        <v>Bur Oak</v>
      </c>
      <c r="C375" s="23" t="str">
        <f ca="1">'Landscape Trees '!D233</f>
        <v>#5</v>
      </c>
      <c r="D375" s="24" t="str">
        <f ca="1">'Landscape Trees '!E233</f>
        <v>0.25-0.5"</v>
      </c>
      <c r="E375" s="23" t="str">
        <f ca="1">'Landscape Trees '!F233</f>
        <v>2-4'</v>
      </c>
      <c r="F375" s="25">
        <f ca="1">'Landscape Trees '!G233</f>
        <v>170</v>
      </c>
      <c r="G375" s="23">
        <f ca="1">'Landscape Trees '!H233</f>
        <v>0</v>
      </c>
      <c r="H375" s="26">
        <f ca="1">'Landscape Trees '!I233</f>
        <v>30</v>
      </c>
    </row>
    <row r="376" spans="1:8" ht="12.75">
      <c r="A376" s="23" t="str">
        <f ca="1">'Landscape Trees '!A234</f>
        <v>Quercus macrocarpa</v>
      </c>
      <c r="B376" s="23" t="str">
        <f ca="1">'Landscape Trees '!C234</f>
        <v>Bur Oak</v>
      </c>
      <c r="C376" s="23" t="str">
        <f ca="1">'Landscape Trees '!D234</f>
        <v>#15</v>
      </c>
      <c r="D376" s="24" t="str">
        <f ca="1">'Landscape Trees '!E234</f>
        <v>0.75-1"</v>
      </c>
      <c r="E376" s="23" t="str">
        <f ca="1">'Landscape Trees '!F234</f>
        <v>8-10'</v>
      </c>
      <c r="F376" s="25">
        <f ca="1">'Landscape Trees '!G234</f>
        <v>4</v>
      </c>
      <c r="G376" s="23">
        <f ca="1">'Landscape Trees '!H234</f>
        <v>25</v>
      </c>
      <c r="H376" s="26">
        <f ca="1">'Landscape Trees '!I234</f>
        <v>110</v>
      </c>
    </row>
    <row r="377" spans="1:8" ht="12.75">
      <c r="A377" s="23" t="str">
        <f ca="1">'Landscape Trees '!A235</f>
        <v>Quercus muehlenbergii</v>
      </c>
      <c r="B377" s="23" t="str">
        <f ca="1">'Landscape Trees '!C235</f>
        <v>Chinkapin Oak</v>
      </c>
      <c r="C377" s="23" t="str">
        <f ca="1">'Landscape Trees '!D235</f>
        <v>#5</v>
      </c>
      <c r="D377" s="24" t="str">
        <f ca="1">'Landscape Trees '!E235</f>
        <v>0.5-0.75"</v>
      </c>
      <c r="E377" s="23" t="str">
        <f ca="1">'Landscape Trees '!F235</f>
        <v>4-5'</v>
      </c>
      <c r="F377" s="25">
        <f ca="1">'Landscape Trees '!G235</f>
        <v>9</v>
      </c>
      <c r="G377" s="23">
        <f ca="1">'Landscape Trees '!H235</f>
        <v>0</v>
      </c>
      <c r="H377" s="26">
        <f ca="1">'Landscape Trees '!I235</f>
        <v>35</v>
      </c>
    </row>
    <row r="378" spans="1:8" ht="12.75">
      <c r="A378" s="23" t="str">
        <f ca="1">'Landscape Trees '!A236</f>
        <v>Quercus muehlenbergii</v>
      </c>
      <c r="B378" s="23" t="str">
        <f ca="1">'Landscape Trees '!C236</f>
        <v>Chinkapin Oak</v>
      </c>
      <c r="C378" s="23" t="str">
        <f ca="1">'Landscape Trees '!D236</f>
        <v>#15</v>
      </c>
      <c r="D378" s="24" t="str">
        <f ca="1">'Landscape Trees '!E236</f>
        <v>1-1"</v>
      </c>
      <c r="E378" s="23" t="str">
        <f ca="1">'Landscape Trees '!F236</f>
        <v>7-10'</v>
      </c>
      <c r="F378" s="25">
        <f ca="1">'Landscape Trees '!G236</f>
        <v>10</v>
      </c>
      <c r="G378" s="23">
        <f ca="1">'Landscape Trees '!H236</f>
        <v>0</v>
      </c>
      <c r="H378" s="26">
        <f ca="1">'Landscape Trees '!I236</f>
        <v>110</v>
      </c>
    </row>
    <row r="379" spans="1:8" ht="12.75">
      <c r="A379" s="23" t="str">
        <f ca="1">'Landscape Trees '!A237</f>
        <v>Quercus muehlenbergii</v>
      </c>
      <c r="B379" s="23" t="str">
        <f ca="1">'Landscape Trees '!C237</f>
        <v>Chinkapin Oak</v>
      </c>
      <c r="C379" s="23" t="str">
        <f ca="1">'Landscape Trees '!D237</f>
        <v>#25</v>
      </c>
      <c r="D379" s="24" t="str">
        <f ca="1">'Landscape Trees '!E237</f>
        <v>1-1"</v>
      </c>
      <c r="E379" s="23" t="str">
        <f ca="1">'Landscape Trees '!F237</f>
        <v>10-10'</v>
      </c>
      <c r="F379" s="25">
        <f ca="1">'Landscape Trees '!G237</f>
        <v>2</v>
      </c>
      <c r="G379" s="23">
        <f ca="1">'Landscape Trees '!H237</f>
        <v>0</v>
      </c>
      <c r="H379" s="26">
        <f ca="1">'Landscape Trees '!I237</f>
        <v>135</v>
      </c>
    </row>
    <row r="380" spans="1:8" ht="12.75">
      <c r="A380" s="23" t="str">
        <f ca="1">'Landscape Trees '!A238</f>
        <v>Quercus palustris</v>
      </c>
      <c r="B380" s="23" t="str">
        <f ca="1">'Landscape Trees '!C238</f>
        <v>Pin Oak</v>
      </c>
      <c r="C380" s="23" t="str">
        <f ca="1">'Landscape Trees '!D238</f>
        <v>#5</v>
      </c>
      <c r="D380" s="24" t="str">
        <f ca="1">'Landscape Trees '!E238</f>
        <v>0.5-1"</v>
      </c>
      <c r="E380" s="23" t="str">
        <f ca="1">'Landscape Trees '!F238</f>
        <v>3-6'</v>
      </c>
      <c r="F380" s="25">
        <f ca="1">'Landscape Trees '!G238</f>
        <v>12</v>
      </c>
      <c r="G380" s="23">
        <f ca="1">'Landscape Trees '!H238</f>
        <v>50</v>
      </c>
      <c r="H380" s="26">
        <f ca="1">'Landscape Trees '!I238</f>
        <v>35</v>
      </c>
    </row>
    <row r="381" spans="1:8" ht="12.75">
      <c r="A381" s="23" t="str">
        <f ca="1">'Landscape Trees '!A239</f>
        <v>Quercus palustris</v>
      </c>
      <c r="B381" s="23" t="str">
        <f ca="1">'Landscape Trees '!C239</f>
        <v>Pin Oak</v>
      </c>
      <c r="C381" s="23" t="str">
        <f ca="1">'Landscape Trees '!D239</f>
        <v>#15</v>
      </c>
      <c r="D381" s="24" t="str">
        <f ca="1">'Landscape Trees '!E239</f>
        <v>1-1"</v>
      </c>
      <c r="E381" s="23" t="str">
        <f ca="1">'Landscape Trees '!F239</f>
        <v>8-9'</v>
      </c>
      <c r="F381" s="25">
        <f ca="1">'Landscape Trees '!G239</f>
        <v>0</v>
      </c>
      <c r="G381" s="23">
        <f ca="1">'Landscape Trees '!H239</f>
        <v>10</v>
      </c>
      <c r="H381" s="26">
        <f ca="1">'Landscape Trees '!I239</f>
        <v>110</v>
      </c>
    </row>
    <row r="382" spans="1:8" ht="12.75">
      <c r="A382" s="23" t="str">
        <f ca="1">'Landscape Trees '!A240</f>
        <v>Quercus palustris</v>
      </c>
      <c r="B382" s="23" t="str">
        <f ca="1">'Landscape Trees '!C240</f>
        <v>Pin Oak</v>
      </c>
      <c r="C382" s="23" t="str">
        <f ca="1">'Landscape Trees '!D240</f>
        <v>#25</v>
      </c>
      <c r="D382" s="24" t="str">
        <f ca="1">'Landscape Trees '!E240</f>
        <v>1.25-1.25"</v>
      </c>
      <c r="E382" s="23" t="str">
        <f ca="1">'Landscape Trees '!F240</f>
        <v>8-8'</v>
      </c>
      <c r="F382" s="25">
        <f ca="1">'Landscape Trees '!G240</f>
        <v>1</v>
      </c>
      <c r="G382" s="23">
        <f ca="1">'Landscape Trees '!H240</f>
        <v>5</v>
      </c>
      <c r="H382" s="26">
        <f ca="1">'Landscape Trees '!I240</f>
        <v>135</v>
      </c>
    </row>
    <row r="383" spans="1:8" ht="12.75">
      <c r="A383" s="23" t="str">
        <f ca="1">'Landscape Trees '!A241</f>
        <v>Quercus palustris 'Green Pillar'</v>
      </c>
      <c r="B383" s="23" t="str">
        <f ca="1">'Landscape Trees '!C241</f>
        <v>Green Pillar Pin Oak</v>
      </c>
      <c r="C383" s="23" t="str">
        <f ca="1">'Landscape Trees '!D241</f>
        <v>#25</v>
      </c>
      <c r="D383" s="24" t="str">
        <f ca="1">'Landscape Trees '!E241</f>
        <v>1-1.25"</v>
      </c>
      <c r="E383" s="23" t="str">
        <f ca="1">'Landscape Trees '!F241</f>
        <v>7-9'</v>
      </c>
      <c r="F383" s="25">
        <f ca="1">'Landscape Trees '!G241</f>
        <v>10</v>
      </c>
      <c r="G383" s="23">
        <f ca="1">'Landscape Trees '!H241</f>
        <v>0</v>
      </c>
      <c r="H383" s="26">
        <f ca="1">'Landscape Trees '!I241</f>
        <v>135</v>
      </c>
    </row>
    <row r="384" spans="1:8" ht="12.75">
      <c r="A384" s="23" t="str">
        <f ca="1">'Landscape Trees '!A242</f>
        <v>Quercus phellos</v>
      </c>
      <c r="B384" s="23" t="str">
        <f ca="1">'Landscape Trees '!C242</f>
        <v>Willow Oak</v>
      </c>
      <c r="C384" s="23" t="str">
        <f ca="1">'Landscape Trees '!D242</f>
        <v>#5</v>
      </c>
      <c r="D384" s="24" t="str">
        <f ca="1">'Landscape Trees '!E242</f>
        <v>0.5-0.75"</v>
      </c>
      <c r="E384" s="23" t="str">
        <f ca="1">'Landscape Trees '!F242</f>
        <v>2-5'</v>
      </c>
      <c r="F384" s="25">
        <f ca="1">'Landscape Trees '!G242</f>
        <v>142</v>
      </c>
      <c r="G384" s="23">
        <f ca="1">'Landscape Trees '!H242</f>
        <v>100</v>
      </c>
      <c r="H384" s="26">
        <f ca="1">'Landscape Trees '!I242</f>
        <v>35</v>
      </c>
    </row>
    <row r="385" spans="1:8" ht="12.75">
      <c r="A385" s="23" t="str">
        <f ca="1">'Landscape Trees '!A243</f>
        <v>Quercus prinus</v>
      </c>
      <c r="B385" s="23" t="str">
        <f ca="1">'Landscape Trees '!C243</f>
        <v>Chestnut Oak</v>
      </c>
      <c r="C385" s="23" t="str">
        <f ca="1">'Landscape Trees '!D243</f>
        <v>#5</v>
      </c>
      <c r="D385" s="24" t="str">
        <f ca="1">'Landscape Trees '!E243</f>
        <v>0.5-1.25"</v>
      </c>
      <c r="E385" s="23" t="str">
        <f ca="1">'Landscape Trees '!F243</f>
        <v>3-8'</v>
      </c>
      <c r="F385" s="25">
        <f ca="1">'Landscape Trees '!G243</f>
        <v>93</v>
      </c>
      <c r="G385" s="23">
        <f ca="1">'Landscape Trees '!H243</f>
        <v>0</v>
      </c>
      <c r="H385" s="26">
        <f ca="1">'Landscape Trees '!I243</f>
        <v>35</v>
      </c>
    </row>
    <row r="386" spans="1:8" ht="12.75">
      <c r="A386" s="23" t="str">
        <f ca="1">'Landscape Trees '!A244</f>
        <v>Quercus rubra</v>
      </c>
      <c r="B386" s="23" t="str">
        <f ca="1">'Landscape Trees '!C244</f>
        <v>Red Oak</v>
      </c>
      <c r="C386" s="23" t="str">
        <f ca="1">'Landscape Trees '!D244</f>
        <v>#5</v>
      </c>
      <c r="D386" s="24" t="str">
        <f ca="1">'Landscape Trees '!E244</f>
        <v>0.5-0.75"</v>
      </c>
      <c r="E386" s="23" t="str">
        <f ca="1">'Landscape Trees '!F244</f>
        <v>3-6'</v>
      </c>
      <c r="F386" s="25">
        <f ca="1">'Landscape Trees '!G244</f>
        <v>150</v>
      </c>
      <c r="G386" s="23">
        <f ca="1">'Landscape Trees '!H244</f>
        <v>50</v>
      </c>
      <c r="H386" s="26">
        <f ca="1">'Landscape Trees '!I244</f>
        <v>35</v>
      </c>
    </row>
    <row r="387" spans="1:8" ht="12.75">
      <c r="A387" s="23" t="str">
        <f ca="1">'Landscape Trees '!A245</f>
        <v>Quercus rubra</v>
      </c>
      <c r="B387" s="23" t="str">
        <f ca="1">'Landscape Trees '!C245</f>
        <v>Red Oak</v>
      </c>
      <c r="C387" s="23" t="str">
        <f ca="1">'Landscape Trees '!D245</f>
        <v>#7</v>
      </c>
      <c r="D387" s="24" t="str">
        <f ca="1">'Landscape Trees '!E245</f>
        <v>0.5-0.5"</v>
      </c>
      <c r="E387" s="23" t="str">
        <f ca="1">'Landscape Trees '!F245</f>
        <v>5-5'</v>
      </c>
      <c r="F387" s="25">
        <f ca="1">'Landscape Trees '!G245</f>
        <v>5</v>
      </c>
      <c r="G387" s="23">
        <f ca="1">'Landscape Trees '!H245</f>
        <v>20</v>
      </c>
      <c r="H387" s="26">
        <f ca="1">'Landscape Trees '!I245</f>
        <v>50</v>
      </c>
    </row>
    <row r="388" spans="1:8" ht="12.75">
      <c r="A388" s="23" t="str">
        <f ca="1">'Landscape Trees '!A246</f>
        <v>Quercus rubra</v>
      </c>
      <c r="B388" s="23" t="str">
        <f ca="1">'Landscape Trees '!C246</f>
        <v>Red Oak</v>
      </c>
      <c r="C388" s="23" t="str">
        <f ca="1">'Landscape Trees '!D246</f>
        <v>#15</v>
      </c>
      <c r="D388" s="24" t="str">
        <f ca="1">'Landscape Trees '!E246</f>
        <v>1-1.25"</v>
      </c>
      <c r="E388" s="23" t="str">
        <f ca="1">'Landscape Trees '!F246</f>
        <v>9-11'</v>
      </c>
      <c r="F388" s="25">
        <f ca="1">'Landscape Trees '!G246</f>
        <v>5</v>
      </c>
      <c r="G388" s="23">
        <f ca="1">'Landscape Trees '!H246</f>
        <v>10</v>
      </c>
      <c r="H388" s="26">
        <f ca="1">'Landscape Trees '!I246</f>
        <v>110</v>
      </c>
    </row>
    <row r="389" spans="1:8" ht="12.75">
      <c r="A389" s="23" t="str">
        <f ca="1">'Landscape Trees '!A247</f>
        <v>Quercus shumardii</v>
      </c>
      <c r="B389" s="23" t="str">
        <f ca="1">'Landscape Trees '!C247</f>
        <v>Shumard Oak</v>
      </c>
      <c r="C389" s="23" t="str">
        <f ca="1">'Landscape Trees '!D247</f>
        <v>#25</v>
      </c>
      <c r="D389" s="24" t="str">
        <f ca="1">'Landscape Trees '!E247</f>
        <v>1-1.75"</v>
      </c>
      <c r="E389" s="23" t="str">
        <f ca="1">'Landscape Trees '!F247</f>
        <v>10-12'</v>
      </c>
      <c r="F389" s="25">
        <f ca="1">'Landscape Trees '!G247</f>
        <v>9</v>
      </c>
      <c r="G389" s="23">
        <f ca="1">'Landscape Trees '!H247</f>
        <v>0</v>
      </c>
      <c r="H389" s="26">
        <f ca="1">'Landscape Trees '!I247</f>
        <v>135</v>
      </c>
    </row>
    <row r="390" spans="1:8" ht="12.75">
      <c r="A390" s="23" t="str">
        <f ca="1">'Landscape Trees '!A248</f>
        <v>Quercus velutina</v>
      </c>
      <c r="B390" s="23" t="str">
        <f ca="1">'Landscape Trees '!C248</f>
        <v>Black Oak</v>
      </c>
      <c r="C390" s="23" t="str">
        <f ca="1">'Landscape Trees '!D248</f>
        <v>#5</v>
      </c>
      <c r="D390" s="24" t="str">
        <f ca="1">'Landscape Trees '!E248</f>
        <v>0.5-0.75"</v>
      </c>
      <c r="E390" s="23" t="str">
        <f ca="1">'Landscape Trees '!F248</f>
        <v>4-5'</v>
      </c>
      <c r="F390" s="25">
        <f ca="1">'Landscape Trees '!G248</f>
        <v>10</v>
      </c>
      <c r="G390" s="23">
        <f ca="1">'Landscape Trees '!H248</f>
        <v>40</v>
      </c>
      <c r="H390" s="26">
        <f ca="1">'Landscape Trees '!I248</f>
        <v>35</v>
      </c>
    </row>
    <row r="391" spans="1:8" ht="12.75">
      <c r="A391" s="23" t="str">
        <f ca="1">'Landscape Trees '!A249</f>
        <v>Quercus velutina</v>
      </c>
      <c r="B391" s="23" t="str">
        <f ca="1">'Landscape Trees '!C249</f>
        <v>Black Oak</v>
      </c>
      <c r="C391" s="23" t="str">
        <f ca="1">'Landscape Trees '!D249</f>
        <v>#7</v>
      </c>
      <c r="D391" s="24" t="str">
        <f ca="1">'Landscape Trees '!E249</f>
        <v>0.5-0.75"</v>
      </c>
      <c r="E391" s="23" t="str">
        <f ca="1">'Landscape Trees '!F249</f>
        <v>4-5'</v>
      </c>
      <c r="F391" s="25">
        <f ca="1">'Landscape Trees '!G249</f>
        <v>12</v>
      </c>
      <c r="G391" s="23">
        <f ca="1">'Landscape Trees '!H249</f>
        <v>0</v>
      </c>
      <c r="H391" s="26">
        <f ca="1">'Landscape Trees '!I249</f>
        <v>50</v>
      </c>
    </row>
    <row r="392" spans="1:8" ht="12.75">
      <c r="A392" s="23" t="str">
        <f ca="1">'Landscape Trees '!A250</f>
        <v>Quercus x warei 'Regal Prince'</v>
      </c>
      <c r="B392" s="23" t="str">
        <f ca="1">'Landscape Trees '!C250</f>
        <v>Regal Prince Oak</v>
      </c>
      <c r="C392" s="23" t="str">
        <f ca="1">'Landscape Trees '!D250</f>
        <v>#5</v>
      </c>
      <c r="D392" s="24" t="str">
        <f ca="1">'Landscape Trees '!E250</f>
        <v>0.5-0.75"</v>
      </c>
      <c r="E392" s="23" t="str">
        <f ca="1">'Landscape Trees '!F250</f>
        <v>4-5'</v>
      </c>
      <c r="F392" s="25">
        <f ca="1">'Landscape Trees '!G250</f>
        <v>27</v>
      </c>
      <c r="G392" s="23">
        <f ca="1">'Landscape Trees '!H250</f>
        <v>0</v>
      </c>
      <c r="H392" s="26">
        <f ca="1">'Landscape Trees '!I250</f>
        <v>40</v>
      </c>
    </row>
    <row r="393" spans="1:8" ht="12.75">
      <c r="A393" s="23" t="str">
        <f ca="1">'Landscape Trees '!A251</f>
        <v>Quercus x warei 'Regal Prince'</v>
      </c>
      <c r="B393" s="23" t="str">
        <f ca="1">'Landscape Trees '!C251</f>
        <v>Regal Prince Oak</v>
      </c>
      <c r="C393" s="23" t="str">
        <f ca="1">'Landscape Trees '!D251</f>
        <v>#7</v>
      </c>
      <c r="D393" s="24" t="str">
        <f ca="1">'Landscape Trees '!E251</f>
        <v>0.25-0.5"</v>
      </c>
      <c r="E393" s="23" t="str">
        <f ca="1">'Landscape Trees '!F251</f>
        <v>2-3'</v>
      </c>
      <c r="F393" s="25">
        <f ca="1">'Landscape Trees '!G251</f>
        <v>0</v>
      </c>
      <c r="G393" s="23">
        <f ca="1">'Landscape Trees '!H251</f>
        <v>10</v>
      </c>
      <c r="H393" s="26">
        <f ca="1">'Landscape Trees '!I251</f>
        <v>50</v>
      </c>
    </row>
    <row r="394" spans="1:8" ht="12.75">
      <c r="A394" s="23" t="str">
        <f ca="1">'Landscape Trees '!A252</f>
        <v>Quercus x warei 'Regal Prince'</v>
      </c>
      <c r="B394" s="23" t="str">
        <f ca="1">'Landscape Trees '!C252</f>
        <v>Regal Prince Oak</v>
      </c>
      <c r="C394" s="23" t="str">
        <f ca="1">'Landscape Trees '!D252</f>
        <v>#15</v>
      </c>
      <c r="D394" s="24" t="str">
        <f ca="1">'Landscape Trees '!E252</f>
        <v>1-1.5"</v>
      </c>
      <c r="E394" s="23" t="str">
        <f ca="1">'Landscape Trees '!F252</f>
        <v>8-11'</v>
      </c>
      <c r="F394" s="25">
        <f ca="1">'Landscape Trees '!G252</f>
        <v>4</v>
      </c>
      <c r="G394" s="23">
        <f ca="1">'Landscape Trees '!H252</f>
        <v>5</v>
      </c>
      <c r="H394" s="26">
        <f ca="1">'Landscape Trees '!I252</f>
        <v>110</v>
      </c>
    </row>
    <row r="395" spans="1:8" ht="12.75">
      <c r="A395" s="23" t="str">
        <f ca="1">'Landscape Trees '!A253</f>
        <v>Quercus x warei 'Regal Prince'</v>
      </c>
      <c r="B395" s="23" t="str">
        <f ca="1">'Landscape Trees '!C253</f>
        <v>Regal Prince Oak</v>
      </c>
      <c r="C395" s="23" t="str">
        <f ca="1">'Landscape Trees '!D253</f>
        <v>#25</v>
      </c>
      <c r="D395" s="24" t="str">
        <f ca="1">'Landscape Trees '!E253</f>
        <v>1-1.5"</v>
      </c>
      <c r="E395" s="23" t="str">
        <f ca="1">'Landscape Trees '!F253</f>
        <v>8-11'</v>
      </c>
      <c r="F395" s="25">
        <f ca="1">'Landscape Trees '!G253</f>
        <v>9</v>
      </c>
      <c r="G395" s="23">
        <f ca="1">'Landscape Trees '!H253</f>
        <v>0</v>
      </c>
      <c r="H395" s="26">
        <f ca="1">'Landscape Trees '!I253</f>
        <v>135</v>
      </c>
    </row>
    <row r="396" spans="1:8" ht="12.75">
      <c r="A396" s="23" t="str">
        <f ca="1">'Landscape Trees '!A254</f>
        <v>Rhus aromatica</v>
      </c>
      <c r="B396" s="23" t="str">
        <f ca="1">'Landscape Trees '!C254</f>
        <v>Fragrant Sumac</v>
      </c>
      <c r="C396" s="23" t="str">
        <f ca="1">'Landscape Trees '!D254</f>
        <v>#5</v>
      </c>
      <c r="D396" s="27" t="str">
        <f ca="1">'Landscape Trees '!E254</f>
        <v>Multi</v>
      </c>
      <c r="E396" s="23" t="str">
        <f ca="1">'Landscape Trees '!F254</f>
        <v>2-5'</v>
      </c>
      <c r="F396" s="25">
        <f ca="1">'Landscape Trees '!G254</f>
        <v>22</v>
      </c>
      <c r="G396" s="23">
        <f ca="1">'Landscape Trees '!H254</f>
        <v>50</v>
      </c>
      <c r="H396" s="26">
        <f ca="1">'Landscape Trees '!I254</f>
        <v>30</v>
      </c>
    </row>
    <row r="397" spans="1:8" ht="12.75">
      <c r="A397" s="23" t="str">
        <f ca="1">'Landscape Trees '!A255</f>
        <v>Rhus glabra</v>
      </c>
      <c r="B397" s="23" t="str">
        <f ca="1">'Landscape Trees '!C255</f>
        <v>Smooth Sumac</v>
      </c>
      <c r="C397" s="23" t="str">
        <f ca="1">'Landscape Trees '!D255</f>
        <v>#5</v>
      </c>
      <c r="D397" s="24" t="str">
        <f ca="1">'Landscape Trees '!E255</f>
        <v>1-1"</v>
      </c>
      <c r="E397" s="23" t="str">
        <f ca="1">'Landscape Trees '!F255</f>
        <v>8-8'</v>
      </c>
      <c r="F397" s="25">
        <f ca="1">'Landscape Trees '!G255</f>
        <v>2</v>
      </c>
      <c r="G397" s="23">
        <f ca="1">'Landscape Trees '!H255</f>
        <v>50</v>
      </c>
      <c r="H397" s="26">
        <f ca="1">'Landscape Trees '!I255</f>
        <v>35</v>
      </c>
    </row>
    <row r="398" spans="1:8" ht="12.75">
      <c r="A398" s="23" t="str">
        <f ca="1">'Landscape Trees '!A256</f>
        <v>Rhus typhina</v>
      </c>
      <c r="B398" s="23" t="str">
        <f ca="1">'Landscape Trees '!C256</f>
        <v>Staghorn Sumac</v>
      </c>
      <c r="C398" s="23" t="str">
        <f ca="1">'Landscape Trees '!D256</f>
        <v>#5</v>
      </c>
      <c r="D398" s="24" t="str">
        <f ca="1">'Landscape Trees '!E256</f>
        <v>1-1.25"</v>
      </c>
      <c r="E398" s="23" t="str">
        <f ca="1">'Landscape Trees '!F256</f>
        <v>3-4.5'</v>
      </c>
      <c r="F398" s="25">
        <f ca="1">'Landscape Trees '!G256</f>
        <v>2</v>
      </c>
      <c r="G398" s="23">
        <f ca="1">'Landscape Trees '!H256</f>
        <v>50</v>
      </c>
      <c r="H398" s="26">
        <f ca="1">'Landscape Trees '!I256</f>
        <v>35</v>
      </c>
    </row>
    <row r="399" spans="1:8" ht="12.75">
      <c r="A399" s="23" t="str">
        <f ca="1">'Landscape Trees '!A257</f>
        <v xml:space="preserve">Ribies </v>
      </c>
      <c r="B399" s="23" t="str">
        <f ca="1">'Landscape Trees '!C257</f>
        <v>King Edward Flowering Currant</v>
      </c>
      <c r="C399" s="23" t="str">
        <f ca="1">'Landscape Trees '!D257</f>
        <v>#5</v>
      </c>
      <c r="D399" s="24" t="str">
        <f ca="1">'Landscape Trees '!E257</f>
        <v>Multi</v>
      </c>
      <c r="E399" s="23" t="str">
        <f ca="1">'Landscape Trees '!F257</f>
        <v>1-2.5'</v>
      </c>
      <c r="F399" s="25">
        <f ca="1">'Landscape Trees '!G257</f>
        <v>23</v>
      </c>
      <c r="G399" s="23">
        <f ca="1">'Landscape Trees '!H257</f>
        <v>0</v>
      </c>
      <c r="H399" s="26">
        <f ca="1">'Landscape Trees '!I257</f>
        <v>30</v>
      </c>
    </row>
    <row r="400" spans="1:8" ht="12.75">
      <c r="A400" s="23" t="str">
        <f ca="1">'Landscape Trees '!A258</f>
        <v>Robinia 'Purple Robe'</v>
      </c>
      <c r="B400" s="23" t="str">
        <f ca="1">'Landscape Trees '!C258</f>
        <v>Purple Robe Black Locust</v>
      </c>
      <c r="C400" s="23" t="str">
        <f ca="1">'Landscape Trees '!D258</f>
        <v>#15</v>
      </c>
      <c r="D400" s="24" t="str">
        <f ca="1">'Landscape Trees '!E258</f>
        <v>1.25-1.25"</v>
      </c>
      <c r="E400" s="23" t="str">
        <f ca="1">'Landscape Trees '!F258</f>
        <v>9-11'</v>
      </c>
      <c r="F400" s="25">
        <f ca="1">'Landscape Trees '!G258</f>
        <v>4</v>
      </c>
      <c r="G400" s="23">
        <f ca="1">'Landscape Trees '!H258</f>
        <v>0</v>
      </c>
      <c r="H400" s="26">
        <f ca="1">'Landscape Trees '!I258</f>
        <v>110</v>
      </c>
    </row>
    <row r="401" spans="1:8" ht="12.75">
      <c r="A401" s="23" t="str">
        <f ca="1">'Landscape Trees '!A259</f>
        <v>Robinia pseudoacacia</v>
      </c>
      <c r="B401" s="23" t="str">
        <f ca="1">'Landscape Trees '!C259</f>
        <v>Black Locust</v>
      </c>
      <c r="C401" s="23" t="str">
        <f ca="1">'Landscape Trees '!D259</f>
        <v>#5</v>
      </c>
      <c r="D401" s="24" t="str">
        <f ca="1">'Landscape Trees '!E259</f>
        <v>0.5-1"</v>
      </c>
      <c r="E401" s="23" t="str">
        <f ca="1">'Landscape Trees '!F259</f>
        <v>5-8'</v>
      </c>
      <c r="F401" s="25">
        <f ca="1">'Landscape Trees '!G259</f>
        <v>19</v>
      </c>
      <c r="G401" s="23">
        <f ca="1">'Landscape Trees '!H259</f>
        <v>0</v>
      </c>
      <c r="H401" s="26">
        <f ca="1">'Landscape Trees '!I259</f>
        <v>35</v>
      </c>
    </row>
    <row r="402" spans="1:8" ht="12.75">
      <c r="A402" s="23" t="str">
        <f ca="1">'Landscape Trees '!A260</f>
        <v>Salix babylonica</v>
      </c>
      <c r="B402" s="23" t="str">
        <f ca="1">'Landscape Trees '!C260</f>
        <v>Weeping Willow</v>
      </c>
      <c r="C402" s="23" t="str">
        <f ca="1">'Landscape Trees '!D260</f>
        <v>#5</v>
      </c>
      <c r="D402" s="24" t="str">
        <f ca="1">'Landscape Trees '!E260</f>
        <v>0.25-0.5"</v>
      </c>
      <c r="E402" s="23" t="str">
        <f ca="1">'Landscape Trees '!F260</f>
        <v>1-2'</v>
      </c>
      <c r="F402" s="25">
        <f ca="1">'Landscape Trees '!G260</f>
        <v>0</v>
      </c>
      <c r="G402" s="23">
        <f ca="1">'Landscape Trees '!H260</f>
        <v>100</v>
      </c>
      <c r="H402" s="26">
        <f ca="1">'Landscape Trees '!I260</f>
        <v>35</v>
      </c>
    </row>
    <row r="403" spans="1:8" ht="12.75">
      <c r="A403" s="23" t="str">
        <f ca="1">'Landscape Trees '!A261</f>
        <v>Salix babylonica</v>
      </c>
      <c r="B403" s="23" t="str">
        <f ca="1">'Landscape Trees '!C261</f>
        <v>Weeping Willow</v>
      </c>
      <c r="C403" s="23" t="str">
        <f ca="1">'Landscape Trees '!D261</f>
        <v>#7</v>
      </c>
      <c r="D403" s="24" t="str">
        <f ca="1">'Landscape Trees '!E261</f>
        <v>0.75-1"</v>
      </c>
      <c r="E403" s="23" t="str">
        <f ca="1">'Landscape Trees '!F261</f>
        <v>7-9'</v>
      </c>
      <c r="F403" s="25">
        <f ca="1">'Landscape Trees '!G261</f>
        <v>54</v>
      </c>
      <c r="G403" s="23">
        <f ca="1">'Landscape Trees '!H261</f>
        <v>0</v>
      </c>
      <c r="H403" s="26">
        <f ca="1">'Landscape Trees '!I261</f>
        <v>50</v>
      </c>
    </row>
    <row r="404" spans="1:8" ht="12.75">
      <c r="A404" s="23" t="str">
        <f ca="1">'Landscape Trees '!A262</f>
        <v>Sambucus canadensis</v>
      </c>
      <c r="B404" s="23" t="str">
        <f ca="1">'Landscape Trees '!C262</f>
        <v>Elderberry</v>
      </c>
      <c r="C404" s="23" t="str">
        <f ca="1">'Landscape Trees '!D262</f>
        <v>#5</v>
      </c>
      <c r="D404" s="24" t="str">
        <f ca="1">'Landscape Trees '!E262</f>
        <v>Multi</v>
      </c>
      <c r="E404" s="23" t="str">
        <f ca="1">'Landscape Trees '!F262</f>
        <v>2-3'</v>
      </c>
      <c r="F404" s="25">
        <f ca="1">'Landscape Trees '!G262</f>
        <v>3</v>
      </c>
      <c r="G404" s="23">
        <f ca="1">'Landscape Trees '!H262</f>
        <v>300</v>
      </c>
      <c r="H404" s="26">
        <f ca="1">'Landscape Trees '!I262</f>
        <v>30</v>
      </c>
    </row>
    <row r="405" spans="1:8" ht="12.75">
      <c r="A405" s="23" t="str">
        <f ca="1">'Landscape Trees '!A263</f>
        <v>Sassafras albidum</v>
      </c>
      <c r="B405" s="23" t="str">
        <f ca="1">'Landscape Trees '!C263</f>
        <v>Sassafras</v>
      </c>
      <c r="C405" s="23" t="str">
        <f ca="1">'Landscape Trees '!D263</f>
        <v>#5</v>
      </c>
      <c r="D405" s="24" t="str">
        <f ca="1">'Landscape Trees '!E263</f>
        <v>0.125-0.75"</v>
      </c>
      <c r="E405" s="23" t="str">
        <f ca="1">'Landscape Trees '!F263</f>
        <v>1-7'</v>
      </c>
      <c r="F405" s="25">
        <f ca="1">'Landscape Trees '!G263</f>
        <v>4</v>
      </c>
      <c r="G405" s="23">
        <f ca="1">'Landscape Trees '!H263</f>
        <v>100</v>
      </c>
      <c r="H405" s="26">
        <f ca="1">'Landscape Trees '!I263</f>
        <v>40</v>
      </c>
    </row>
    <row r="406" spans="1:8" ht="12.75">
      <c r="A406" s="23" t="str">
        <f ca="1">'Landscape Trees '!A264</f>
        <v>Stewartia pseudocamellia</v>
      </c>
      <c r="B406" s="23" t="str">
        <f ca="1">'Landscape Trees '!C264</f>
        <v>Stewartia</v>
      </c>
      <c r="C406" s="23" t="str">
        <f ca="1">'Landscape Trees '!D264</f>
        <v>#5</v>
      </c>
      <c r="D406" s="27" t="str">
        <f ca="1">'Landscape Trees '!E264</f>
        <v>Multi</v>
      </c>
      <c r="E406" s="23" t="str">
        <f ca="1">'Landscape Trees '!F264</f>
        <v>5-7'</v>
      </c>
      <c r="F406" s="25">
        <f ca="1">'Landscape Trees '!G264</f>
        <v>27</v>
      </c>
      <c r="G406" s="23">
        <f ca="1">'Landscape Trees '!H264</f>
        <v>0</v>
      </c>
      <c r="H406" s="26">
        <f ca="1">'Landscape Trees '!I264</f>
        <v>45</v>
      </c>
    </row>
    <row r="407" spans="1:8" ht="12.75">
      <c r="A407" s="23" t="str">
        <f ca="1">'Landscape Trees '!A265</f>
        <v>Styrax japonicus</v>
      </c>
      <c r="B407" s="23" t="str">
        <f ca="1">'Landscape Trees '!C265</f>
        <v>Japanese Snowbell</v>
      </c>
      <c r="C407" s="23" t="str">
        <f ca="1">'Landscape Trees '!D265</f>
        <v>#5</v>
      </c>
      <c r="D407" s="27" t="str">
        <f ca="1">'Landscape Trees '!E265</f>
        <v>Multi</v>
      </c>
      <c r="E407" s="23" t="str">
        <f ca="1">'Landscape Trees '!F265</f>
        <v>5-6'</v>
      </c>
      <c r="F407" s="25">
        <f ca="1">'Landscape Trees '!G265</f>
        <v>35</v>
      </c>
      <c r="G407" s="23">
        <f ca="1">'Landscape Trees '!H265</f>
        <v>0</v>
      </c>
      <c r="H407" s="26">
        <f ca="1">'Landscape Trees '!I265</f>
        <v>35</v>
      </c>
    </row>
    <row r="408" spans="1:8" ht="12.75">
      <c r="A408" s="23" t="str">
        <f ca="1">'Landscape Trees '!A266</f>
        <v>Styrax obassia</v>
      </c>
      <c r="B408" s="23" t="str">
        <f ca="1">'Landscape Trees '!C266</f>
        <v>Fragrant Snowbell</v>
      </c>
      <c r="C408" s="23" t="str">
        <f ca="1">'Landscape Trees '!D266</f>
        <v>#5</v>
      </c>
      <c r="D408" s="24" t="str">
        <f ca="1">'Landscape Trees '!E266</f>
        <v>0.375-0.5"</v>
      </c>
      <c r="E408" s="23" t="str">
        <f ca="1">'Landscape Trees '!F266</f>
        <v>2-5'</v>
      </c>
      <c r="F408" s="25">
        <f ca="1">'Landscape Trees '!G266</f>
        <v>45</v>
      </c>
      <c r="G408" s="23">
        <f ca="1">'Landscape Trees '!H266</f>
        <v>0</v>
      </c>
      <c r="H408" s="26">
        <f ca="1">'Landscape Trees '!I266</f>
        <v>45</v>
      </c>
    </row>
    <row r="409" spans="1:8" ht="12.75">
      <c r="A409" s="23" t="str">
        <f ca="1">'Landscape Trees '!A267</f>
        <v>Syringa reticulata 'Ivory Silk'</v>
      </c>
      <c r="B409" s="23" t="str">
        <f ca="1">'Landscape Trees '!C267</f>
        <v>Ivory Silk Japanese Tree Lilac</v>
      </c>
      <c r="C409" s="23" t="str">
        <f ca="1">'Landscape Trees '!D267</f>
        <v>#5</v>
      </c>
      <c r="D409" s="24" t="str">
        <f ca="1">'Landscape Trees '!E267</f>
        <v>0.25-0.5"</v>
      </c>
      <c r="E409" s="23" t="str">
        <f ca="1">'Landscape Trees '!F267</f>
        <v>2-4'</v>
      </c>
      <c r="F409" s="25">
        <f ca="1">'Landscape Trees '!G267</f>
        <v>15</v>
      </c>
      <c r="G409" s="23">
        <f ca="1">'Landscape Trees '!H267</f>
        <v>0</v>
      </c>
      <c r="H409" s="26">
        <f ca="1">'Landscape Trees '!I267</f>
        <v>35</v>
      </c>
    </row>
    <row r="410" spans="1:8" ht="12.75">
      <c r="A410" s="23" t="str">
        <f ca="1">'Landscape Trees '!A268</f>
        <v>Syringa reticulata 'Ivory Silk'</v>
      </c>
      <c r="B410" s="23" t="str">
        <f ca="1">'Landscape Trees '!C268</f>
        <v>Ivory Silk Japanese Tree Lilac</v>
      </c>
      <c r="C410" s="23" t="str">
        <f ca="1">'Landscape Trees '!D268</f>
        <v>#10</v>
      </c>
      <c r="D410" s="24" t="str">
        <f ca="1">'Landscape Trees '!E268</f>
        <v>1-1"</v>
      </c>
      <c r="E410" s="23" t="str">
        <f ca="1">'Landscape Trees '!F268</f>
        <v>10-10'</v>
      </c>
      <c r="F410" s="25">
        <f ca="1">'Landscape Trees '!G268</f>
        <v>6</v>
      </c>
      <c r="G410" s="23">
        <f ca="1">'Landscape Trees '!H268</f>
        <v>0</v>
      </c>
      <c r="H410" s="26">
        <f ca="1">'Landscape Trees '!I268</f>
        <v>80</v>
      </c>
    </row>
    <row r="411" spans="1:8" ht="12.75">
      <c r="A411" s="23" t="str">
        <f ca="1">'Landscape Trees '!A269</f>
        <v>Syringa reticulata 'Ivory Silk'</v>
      </c>
      <c r="B411" s="23" t="str">
        <f ca="1">'Landscape Trees '!C269</f>
        <v>Ivory Silk Japanese Tree Lilac</v>
      </c>
      <c r="C411" s="23" t="str">
        <f ca="1">'Landscape Trees '!D269</f>
        <v>#15</v>
      </c>
      <c r="D411" s="24" t="str">
        <f ca="1">'Landscape Trees '!E269</f>
        <v>1-1.25"</v>
      </c>
      <c r="E411" s="23" t="str">
        <f ca="1">'Landscape Trees '!F269</f>
        <v>6-10'</v>
      </c>
      <c r="F411" s="25">
        <f ca="1">'Landscape Trees '!G269</f>
        <v>16</v>
      </c>
      <c r="G411" s="23">
        <f ca="1">'Landscape Trees '!H269</f>
        <v>10</v>
      </c>
      <c r="H411" s="26">
        <f ca="1">'Landscape Trees '!I269</f>
        <v>110</v>
      </c>
    </row>
    <row r="412" spans="1:8" ht="12.75">
      <c r="A412" s="23" t="str">
        <f ca="1">'Landscape Trees '!A270</f>
        <v>Taxodium distichum</v>
      </c>
      <c r="B412" s="23" t="str">
        <f ca="1">'Landscape Trees '!C270</f>
        <v>Bald Cypress</v>
      </c>
      <c r="C412" s="23" t="str">
        <f ca="1">'Landscape Trees '!D270</f>
        <v>#5</v>
      </c>
      <c r="D412" s="24" t="str">
        <f ca="1">'Landscape Trees '!E270</f>
        <v>0.75-1.5"</v>
      </c>
      <c r="E412" s="23" t="str">
        <f ca="1">'Landscape Trees '!F270</f>
        <v>4-7'</v>
      </c>
      <c r="F412" s="25">
        <f ca="1">'Landscape Trees '!G270</f>
        <v>-4</v>
      </c>
      <c r="G412" s="23">
        <f ca="1">'Landscape Trees '!H270</f>
        <v>100</v>
      </c>
      <c r="H412" s="26">
        <f ca="1">'Landscape Trees '!I270</f>
        <v>35</v>
      </c>
    </row>
    <row r="413" spans="1:8" ht="12.75">
      <c r="A413" s="23" t="str">
        <f ca="1">'Landscape Trees '!A271</f>
        <v>Taxodium distichum</v>
      </c>
      <c r="B413" s="23" t="str">
        <f ca="1">'Landscape Trees '!C271</f>
        <v>Bald Cypress</v>
      </c>
      <c r="C413" s="23" t="str">
        <f ca="1">'Landscape Trees '!D271</f>
        <v>#15</v>
      </c>
      <c r="D413" s="24" t="str">
        <f ca="1">'Landscape Trees '!E271</f>
        <v>1.25-1.5"</v>
      </c>
      <c r="E413" s="23" t="str">
        <f ca="1">'Landscape Trees '!F271</f>
        <v>4-6'</v>
      </c>
      <c r="F413" s="25">
        <f ca="1">'Landscape Trees '!G271</f>
        <v>1</v>
      </c>
      <c r="G413" s="23">
        <f ca="1">'Landscape Trees '!H271</f>
        <v>0</v>
      </c>
      <c r="H413" s="26">
        <f ca="1">'Landscape Trees '!I271</f>
        <v>110</v>
      </c>
    </row>
    <row r="414" spans="1:8" ht="12.75">
      <c r="A414" s="23" t="str">
        <f ca="1">'Landscape Trees '!A272</f>
        <v>Taxodium distichum 'Falling Waters'</v>
      </c>
      <c r="B414" s="23" t="str">
        <f ca="1">'Landscape Trees '!C272</f>
        <v>Falling Waters Bald Cypress</v>
      </c>
      <c r="C414" s="23" t="str">
        <f ca="1">'Landscape Trees '!D272</f>
        <v>#7</v>
      </c>
      <c r="D414" s="24" t="str">
        <f ca="1">'Landscape Trees '!E272</f>
        <v>0.75-1"</v>
      </c>
      <c r="E414" s="23" t="str">
        <f ca="1">'Landscape Trees '!F272</f>
        <v>4-5'</v>
      </c>
      <c r="F414" s="25">
        <f ca="1">'Landscape Trees '!G272</f>
        <v>7</v>
      </c>
      <c r="G414" s="23">
        <f ca="1">'Landscape Trees '!H272</f>
        <v>0</v>
      </c>
      <c r="H414" s="26">
        <f ca="1">'Landscape Trees '!I272</f>
        <v>60</v>
      </c>
    </row>
    <row r="415" spans="1:8" ht="12.75">
      <c r="A415" s="23" t="str">
        <f ca="1">'Landscape Trees '!A273</f>
        <v>Taxus × media 'Everlow'</v>
      </c>
      <c r="B415" s="23" t="str">
        <f ca="1">'Landscape Trees '!C273</f>
        <v>Everlow Yew</v>
      </c>
      <c r="C415" s="23" t="str">
        <f ca="1">'Landscape Trees '!D273</f>
        <v>#5</v>
      </c>
      <c r="D415" s="24" t="str">
        <f ca="1">'Landscape Trees '!E273</f>
        <v>Multi</v>
      </c>
      <c r="E415" s="23" t="str">
        <f ca="1">'Landscape Trees '!F273</f>
        <v>1-2'</v>
      </c>
      <c r="F415" s="25">
        <f ca="1">'Landscape Trees '!G273</f>
        <v>8</v>
      </c>
      <c r="G415" s="23">
        <f ca="1">'Landscape Trees '!H273</f>
        <v>0</v>
      </c>
      <c r="H415" s="26">
        <f ca="1">'Landscape Trees '!I273</f>
        <v>30</v>
      </c>
    </row>
    <row r="416" spans="1:8" ht="12.75">
      <c r="A416" s="23" t="str">
        <f ca="1">'Landscape Trees '!A274</f>
        <v>Thuja plicata x standishii 'Green Giant'</v>
      </c>
      <c r="B416" s="23" t="str">
        <f ca="1">'Landscape Trees '!C274</f>
        <v>Green Giant Arborvitae</v>
      </c>
      <c r="C416" s="23" t="str">
        <f ca="1">'Landscape Trees '!D274</f>
        <v>#5</v>
      </c>
      <c r="D416" s="27" t="str">
        <f ca="1">'Landscape Trees '!E274</f>
        <v>Multi</v>
      </c>
      <c r="E416" s="23" t="str">
        <f ca="1">'Landscape Trees '!F274</f>
        <v>2-4'</v>
      </c>
      <c r="F416" s="25">
        <f ca="1">'Landscape Trees '!G274</f>
        <v>101</v>
      </c>
      <c r="G416" s="23">
        <f ca="1">'Landscape Trees '!H274</f>
        <v>0</v>
      </c>
      <c r="H416" s="26">
        <f ca="1">'Landscape Trees '!I274</f>
        <v>20</v>
      </c>
    </row>
    <row r="417" spans="1:8" ht="12.75">
      <c r="A417" s="23" t="str">
        <f ca="1">'Landscape Trees '!A275</f>
        <v>Tilia americana 'Legend'</v>
      </c>
      <c r="B417" s="23" t="str">
        <f ca="1">'Landscape Trees '!C275</f>
        <v>Legend American Linden</v>
      </c>
      <c r="C417" s="23" t="str">
        <f ca="1">'Landscape Trees '!D275</f>
        <v>#15</v>
      </c>
      <c r="D417" s="24" t="str">
        <f ca="1">'Landscape Trees '!E275</f>
        <v>1.25-1.25"</v>
      </c>
      <c r="E417" s="23" t="str">
        <f ca="1">'Landscape Trees '!F275</f>
        <v>8-9'</v>
      </c>
      <c r="F417" s="25">
        <f ca="1">'Landscape Trees '!G275</f>
        <v>1</v>
      </c>
      <c r="G417" s="23">
        <f ca="1">'Landscape Trees '!H275</f>
        <v>0</v>
      </c>
      <c r="H417" s="26">
        <f ca="1">'Landscape Trees '!I275</f>
        <v>110</v>
      </c>
    </row>
    <row r="418" spans="1:8" ht="12.75">
      <c r="A418" s="23" t="str">
        <f ca="1">'Landscape Trees '!A276</f>
        <v>Tilia americana 'Legend'</v>
      </c>
      <c r="B418" s="23" t="str">
        <f ca="1">'Landscape Trees '!C276</f>
        <v>Legend American Linden</v>
      </c>
      <c r="C418" s="23" t="str">
        <f ca="1">'Landscape Trees '!D276</f>
        <v>#25</v>
      </c>
      <c r="D418" s="24" t="str">
        <f ca="1">'Landscape Trees '!E276</f>
        <v>1.25-1.25"</v>
      </c>
      <c r="E418" s="23" t="str">
        <f ca="1">'Landscape Trees '!F276</f>
        <v>8-9'</v>
      </c>
      <c r="F418" s="25">
        <f ca="1">'Landscape Trees '!G276</f>
        <v>1</v>
      </c>
      <c r="G418" s="23">
        <f ca="1">'Landscape Trees '!H276</f>
        <v>0</v>
      </c>
      <c r="H418" s="26">
        <f ca="1">'Landscape Trees '!I276</f>
        <v>135</v>
      </c>
    </row>
    <row r="419" spans="1:8" ht="12.75">
      <c r="A419" s="23" t="str">
        <f ca="1">'Landscape Trees '!A277</f>
        <v>Tilia americana 'Redmond'</v>
      </c>
      <c r="B419" s="23" t="str">
        <f ca="1">'Landscape Trees '!C277</f>
        <v>Redmond American Linden</v>
      </c>
      <c r="C419" s="23" t="str">
        <f ca="1">'Landscape Trees '!D277</f>
        <v>#15</v>
      </c>
      <c r="D419" s="24" t="str">
        <f ca="1">'Landscape Trees '!E277</f>
        <v>1.25-1.5"</v>
      </c>
      <c r="E419" s="23" t="str">
        <f ca="1">'Landscape Trees '!F277</f>
        <v>8-10'</v>
      </c>
      <c r="F419" s="25">
        <f ca="1">'Landscape Trees '!G277</f>
        <v>4</v>
      </c>
      <c r="G419" s="23">
        <f ca="1">'Landscape Trees '!H277</f>
        <v>0</v>
      </c>
      <c r="H419" s="26">
        <f ca="1">'Landscape Trees '!I277</f>
        <v>110</v>
      </c>
    </row>
    <row r="420" spans="1:8" ht="12.75">
      <c r="A420" s="23" t="str">
        <f ca="1">'Landscape Trees '!A278</f>
        <v>Tilia americana 'Redmond'</v>
      </c>
      <c r="B420" s="23" t="str">
        <f ca="1">'Landscape Trees '!C278</f>
        <v>Redmond American Linden</v>
      </c>
      <c r="C420" s="23" t="str">
        <f ca="1">'Landscape Trees '!D278</f>
        <v>#25</v>
      </c>
      <c r="D420" s="24" t="str">
        <f ca="1">'Landscape Trees '!E278</f>
        <v>1.25-1.5"</v>
      </c>
      <c r="E420" s="23" t="str">
        <f ca="1">'Landscape Trees '!F278</f>
        <v>8-10'</v>
      </c>
      <c r="F420" s="25">
        <f ca="1">'Landscape Trees '!G278</f>
        <v>1</v>
      </c>
      <c r="G420" s="23">
        <f ca="1">'Landscape Trees '!H278</f>
        <v>0</v>
      </c>
      <c r="H420" s="26">
        <f ca="1">'Landscape Trees '!I278</f>
        <v>135</v>
      </c>
    </row>
    <row r="421" spans="1:8" ht="12.75">
      <c r="A421" s="23" t="str">
        <f ca="1">'Landscape Trees '!A279</f>
        <v>Tilia cordata</v>
      </c>
      <c r="B421" s="23" t="str">
        <f ca="1">'Landscape Trees '!C279</f>
        <v>Littleleaf Linden</v>
      </c>
      <c r="C421" s="23" t="str">
        <f ca="1">'Landscape Trees '!D279</f>
        <v>#5</v>
      </c>
      <c r="D421" s="24" t="str">
        <f ca="1">'Landscape Trees '!E279</f>
        <v>0.125-0.75"</v>
      </c>
      <c r="E421" s="23" t="str">
        <f ca="1">'Landscape Trees '!F279</f>
        <v>1-5'</v>
      </c>
      <c r="F421" s="25">
        <f ca="1">'Landscape Trees '!G279</f>
        <v>6</v>
      </c>
      <c r="G421" s="23">
        <f ca="1">'Landscape Trees '!H279</f>
        <v>25</v>
      </c>
      <c r="H421" s="26">
        <f ca="1">'Landscape Trees '!I279</f>
        <v>35</v>
      </c>
    </row>
    <row r="422" spans="1:8" ht="12.75">
      <c r="A422" s="23" t="str">
        <f ca="1">'Landscape Trees '!A280</f>
        <v>Tilia cordata</v>
      </c>
      <c r="B422" s="23" t="str">
        <f ca="1">'Landscape Trees '!C280</f>
        <v>Littleleaf Linden</v>
      </c>
      <c r="C422" s="23" t="str">
        <f ca="1">'Landscape Trees '!D280</f>
        <v>#15</v>
      </c>
      <c r="D422" s="24" t="str">
        <f ca="1">'Landscape Trees '!E280</f>
        <v>1.5-1.75"</v>
      </c>
      <c r="E422" s="23" t="str">
        <f ca="1">'Landscape Trees '!F280</f>
        <v>10-12'</v>
      </c>
      <c r="F422" s="25">
        <f ca="1">'Landscape Trees '!G280</f>
        <v>5</v>
      </c>
      <c r="G422" s="23">
        <f ca="1">'Landscape Trees '!H280</f>
        <v>0</v>
      </c>
      <c r="H422" s="26">
        <f ca="1">'Landscape Trees '!I280</f>
        <v>110</v>
      </c>
    </row>
    <row r="423" spans="1:8" ht="12.75">
      <c r="A423" s="23" t="str">
        <f ca="1">'Landscape Trees '!A281</f>
        <v>Tilia tomentosa</v>
      </c>
      <c r="B423" s="23" t="str">
        <f ca="1">'Landscape Trees '!C281</f>
        <v>Silver Linden</v>
      </c>
      <c r="C423" s="23" t="str">
        <f ca="1">'Landscape Trees '!D281</f>
        <v>#5</v>
      </c>
      <c r="D423" s="24" t="str">
        <f ca="1">'Landscape Trees '!E281</f>
        <v>0.25-0.5"</v>
      </c>
      <c r="E423" s="23" t="str">
        <f ca="1">'Landscape Trees '!F281</f>
        <v>3-6'</v>
      </c>
      <c r="F423" s="25">
        <f ca="1">'Landscape Trees '!G281</f>
        <v>20</v>
      </c>
      <c r="G423" s="23">
        <f ca="1">'Landscape Trees '!H281</f>
        <v>0</v>
      </c>
      <c r="H423" s="26">
        <f ca="1">'Landscape Trees '!I281</f>
        <v>35</v>
      </c>
    </row>
    <row r="424" spans="1:8" ht="12.75">
      <c r="A424" s="23" t="str">
        <f ca="1">'Landscape Trees '!A282</f>
        <v>Ulmus 'Homestead'</v>
      </c>
      <c r="B424" s="23" t="str">
        <f ca="1">'Landscape Trees '!C282</f>
        <v>Homestead Elm</v>
      </c>
      <c r="C424" s="23" t="str">
        <f ca="1">'Landscape Trees '!D282</f>
        <v>#15</v>
      </c>
      <c r="D424" s="24" t="str">
        <f ca="1">'Landscape Trees '!E282</f>
        <v>1.75-1.75"</v>
      </c>
      <c r="E424" s="23" t="str">
        <f ca="1">'Landscape Trees '!F282</f>
        <v>12-12'</v>
      </c>
      <c r="F424" s="25">
        <f ca="1">'Landscape Trees '!G282</f>
        <v>1</v>
      </c>
      <c r="G424" s="23">
        <f ca="1">'Landscape Trees '!H282</f>
        <v>0</v>
      </c>
      <c r="H424" s="26">
        <f ca="1">'Landscape Trees '!I282</f>
        <v>110</v>
      </c>
    </row>
    <row r="425" spans="1:8" ht="12.75">
      <c r="A425" s="23" t="str">
        <f ca="1">'Landscape Trees '!A283</f>
        <v>Ulmus 'Homestead'</v>
      </c>
      <c r="B425" s="23" t="str">
        <f ca="1">'Landscape Trees '!C283</f>
        <v>Homestead Elm</v>
      </c>
      <c r="C425" s="23" t="str">
        <f ca="1">'Landscape Trees '!D283</f>
        <v xml:space="preserve">#25 </v>
      </c>
      <c r="D425" s="24" t="str">
        <f ca="1">'Landscape Trees '!E283</f>
        <v>1.75-1.75"</v>
      </c>
      <c r="E425" s="23" t="str">
        <f ca="1">'Landscape Trees '!F283</f>
        <v>12-12'</v>
      </c>
      <c r="F425" s="25">
        <f ca="1">'Landscape Trees '!G283</f>
        <v>1</v>
      </c>
      <c r="G425" s="23">
        <f ca="1">'Landscape Trees '!H283</f>
        <v>0</v>
      </c>
      <c r="H425" s="26">
        <f ca="1">'Landscape Trees '!I283</f>
        <v>135</v>
      </c>
    </row>
    <row r="426" spans="1:8" ht="12.75">
      <c r="A426" s="23" t="str">
        <f ca="1">'Landscape Trees '!A284</f>
        <v>Ulmus 'New Horizon'</v>
      </c>
      <c r="B426" s="23" t="str">
        <f ca="1">'Landscape Trees '!C284</f>
        <v>New Horizon Elm</v>
      </c>
      <c r="C426" s="23" t="str">
        <f ca="1">'Landscape Trees '!D284</f>
        <v>#15</v>
      </c>
      <c r="D426" s="24" t="str">
        <f ca="1">'Landscape Trees '!E284</f>
        <v>1.5-1.5"</v>
      </c>
      <c r="E426" s="23" t="str">
        <f ca="1">'Landscape Trees '!F284</f>
        <v>12-12'</v>
      </c>
      <c r="F426" s="25">
        <f ca="1">'Landscape Trees '!G284</f>
        <v>2</v>
      </c>
      <c r="G426" s="23">
        <f ca="1">'Landscape Trees '!H284</f>
        <v>0</v>
      </c>
      <c r="H426" s="26">
        <f ca="1">'Landscape Trees '!I284</f>
        <v>110</v>
      </c>
    </row>
    <row r="427" spans="1:8" ht="12.75">
      <c r="A427" s="23" t="str">
        <f ca="1">'Landscape Trees '!A285</f>
        <v>Ulmus americana 'Princeton'</v>
      </c>
      <c r="B427" s="23" t="str">
        <f ca="1">'Landscape Trees '!C285</f>
        <v>Princeton Elm</v>
      </c>
      <c r="C427" s="23" t="str">
        <f ca="1">'Landscape Trees '!D285</f>
        <v>#5</v>
      </c>
      <c r="D427" s="24" t="str">
        <f ca="1">'Landscape Trees '!E285</f>
        <v>1-1"</v>
      </c>
      <c r="E427" s="23" t="str">
        <f ca="1">'Landscape Trees '!F285</f>
        <v>7-8'</v>
      </c>
      <c r="F427" s="25">
        <f ca="1">'Landscape Trees '!G285</f>
        <v>2</v>
      </c>
      <c r="G427" s="23">
        <f ca="1">'Landscape Trees '!H285</f>
        <v>125</v>
      </c>
      <c r="H427" s="26">
        <f ca="1">'Landscape Trees '!I285</f>
        <v>35</v>
      </c>
    </row>
    <row r="428" spans="1:8" ht="12.75">
      <c r="A428" s="23" t="str">
        <f ca="1">'Landscape Trees '!A286</f>
        <v>Ulmus americana 'Princeton'</v>
      </c>
      <c r="B428" s="23" t="str">
        <f ca="1">'Landscape Trees '!C286</f>
        <v>Princeton Elm</v>
      </c>
      <c r="C428" s="23" t="str">
        <f ca="1">'Landscape Trees '!D286</f>
        <v>#7</v>
      </c>
      <c r="D428" s="24" t="str">
        <f ca="1">'Landscape Trees '!E286</f>
        <v>0.25-0.5"</v>
      </c>
      <c r="E428" s="23" t="str">
        <f ca="1">'Landscape Trees '!F286</f>
        <v>3-5'</v>
      </c>
      <c r="F428" s="25">
        <f ca="1">'Landscape Trees '!G286</f>
        <v>43</v>
      </c>
      <c r="G428" s="23">
        <f ca="1">'Landscape Trees '!H286</f>
        <v>0</v>
      </c>
      <c r="H428" s="26">
        <f ca="1">'Landscape Trees '!I286</f>
        <v>40</v>
      </c>
    </row>
    <row r="429" spans="1:8" ht="12.75">
      <c r="A429" s="23" t="str">
        <f ca="1">'Landscape Trees '!A287</f>
        <v>Ulmus americana 'Princeton'</v>
      </c>
      <c r="B429" s="23" t="str">
        <f ca="1">'Landscape Trees '!C287</f>
        <v>Princeton Elm</v>
      </c>
      <c r="C429" s="23" t="str">
        <f ca="1">'Landscape Trees '!D287</f>
        <v>#15</v>
      </c>
      <c r="D429" s="24" t="str">
        <f ca="1">'Landscape Trees '!E287</f>
        <v>1-1.25"</v>
      </c>
      <c r="E429" s="23" t="str">
        <f ca="1">'Landscape Trees '!F287</f>
        <v>9-10'</v>
      </c>
      <c r="F429" s="25">
        <f ca="1">'Landscape Trees '!G287</f>
        <v>7</v>
      </c>
      <c r="G429" s="23">
        <f ca="1">'Landscape Trees '!H287</f>
        <v>10</v>
      </c>
      <c r="H429" s="26">
        <f ca="1">'Landscape Trees '!I287</f>
        <v>110</v>
      </c>
    </row>
    <row r="430" spans="1:8" ht="12.75">
      <c r="A430" s="23" t="str">
        <f ca="1">'Landscape Trees '!A288</f>
        <v>Ulmus americana 'Valley Forge'</v>
      </c>
      <c r="B430" s="23" t="str">
        <f ca="1">'Landscape Trees '!C288</f>
        <v>Valley Forge Elm</v>
      </c>
      <c r="C430" s="23" t="str">
        <f ca="1">'Landscape Trees '!D288</f>
        <v>#15</v>
      </c>
      <c r="D430" s="24" t="str">
        <f ca="1">'Landscape Trees '!E288</f>
        <v>1.25-1.25"</v>
      </c>
      <c r="E430" s="23" t="str">
        <f ca="1">'Landscape Trees '!F288</f>
        <v>13-15'</v>
      </c>
      <c r="F430" s="25">
        <f ca="1">'Landscape Trees '!G288</f>
        <v>6</v>
      </c>
      <c r="G430" s="23">
        <f ca="1">'Landscape Trees '!H288</f>
        <v>10</v>
      </c>
      <c r="H430" s="26">
        <f ca="1">'Landscape Trees '!I288</f>
        <v>110</v>
      </c>
    </row>
    <row r="431" spans="1:8" ht="12.75">
      <c r="A431" s="23" t="str">
        <f ca="1">'Landscape Trees '!A289</f>
        <v>Ulmus parvifolia</v>
      </c>
      <c r="B431" s="23" t="str">
        <f ca="1">'Landscape Trees '!C289</f>
        <v>Chinese Elm</v>
      </c>
      <c r="C431" s="23" t="str">
        <f ca="1">'Landscape Trees '!D289</f>
        <v>#5</v>
      </c>
      <c r="D431" s="24" t="str">
        <f ca="1">'Landscape Trees '!E289</f>
        <v>1.25-1.5"</v>
      </c>
      <c r="E431" s="23" t="str">
        <f ca="1">'Landscape Trees '!F289</f>
        <v>9-10'</v>
      </c>
      <c r="F431" s="25">
        <f ca="1">'Landscape Trees '!G289</f>
        <v>5</v>
      </c>
      <c r="G431" s="23">
        <f ca="1">'Landscape Trees '!H289</f>
        <v>0</v>
      </c>
      <c r="H431" s="26">
        <f ca="1">'Landscape Trees '!I289</f>
        <v>40</v>
      </c>
    </row>
    <row r="432" spans="1:8" ht="12.75">
      <c r="A432" s="23" t="str">
        <f ca="1">'Landscape Trees '!A290</f>
        <v>Ulmus parvifolia 'Frontier'</v>
      </c>
      <c r="B432" s="23" t="str">
        <f ca="1">'Landscape Trees '!C290</f>
        <v>Frontier Chinese Elm</v>
      </c>
      <c r="C432" s="23" t="str">
        <f ca="1">'Landscape Trees '!D290</f>
        <v>#5</v>
      </c>
      <c r="D432" s="24" t="str">
        <f ca="1">'Landscape Trees '!E290</f>
        <v>0.75-1"</v>
      </c>
      <c r="E432" s="23" t="str">
        <f ca="1">'Landscape Trees '!F290</f>
        <v>6-8'</v>
      </c>
      <c r="F432" s="25">
        <f ca="1">'Landscape Trees '!G290</f>
        <v>9</v>
      </c>
      <c r="G432" s="23">
        <f ca="1">'Landscape Trees '!H290</f>
        <v>0</v>
      </c>
      <c r="H432" s="26">
        <f ca="1">'Landscape Trees '!I290</f>
        <v>35</v>
      </c>
    </row>
    <row r="433" spans="1:8" ht="12.75">
      <c r="A433" s="23" t="str">
        <f ca="1">'Landscape Trees '!A291</f>
        <v>Ulmus wilsoniana 'Prospector'</v>
      </c>
      <c r="B433" s="23" t="str">
        <f ca="1">'Landscape Trees '!C291</f>
        <v>Prospector Elm</v>
      </c>
      <c r="C433" s="23" t="str">
        <f ca="1">'Landscape Trees '!D291</f>
        <v>#15</v>
      </c>
      <c r="D433" s="24" t="str">
        <f ca="1">'Landscape Trees '!E291</f>
        <v>1-1.5"</v>
      </c>
      <c r="E433" s="23" t="str">
        <f ca="1">'Landscape Trees '!F291</f>
        <v>9-12'</v>
      </c>
      <c r="F433" s="25">
        <f ca="1">'Landscape Trees '!G291</f>
        <v>4</v>
      </c>
      <c r="G433" s="23">
        <f ca="1">'Landscape Trees '!H291</f>
        <v>0</v>
      </c>
      <c r="H433" s="26">
        <f ca="1">'Landscape Trees '!I291</f>
        <v>110</v>
      </c>
    </row>
    <row r="434" spans="1:8" ht="12.75">
      <c r="A434" s="23" t="str">
        <f ca="1">'Landscape Trees '!A292</f>
        <v>Ulmus wilsoniana 'Prospector'</v>
      </c>
      <c r="B434" s="23" t="str">
        <f ca="1">'Landscape Trees '!C292</f>
        <v>Prospector Elm</v>
      </c>
      <c r="C434" s="23" t="str">
        <f ca="1">'Landscape Trees '!D292</f>
        <v>#25p</v>
      </c>
      <c r="D434" s="24" t="str">
        <f ca="1">'Landscape Trees '!E292</f>
        <v>1.5-1.5"</v>
      </c>
      <c r="E434" s="23" t="str">
        <f ca="1">'Landscape Trees '!F292</f>
        <v>13-14'</v>
      </c>
      <c r="F434" s="25">
        <f ca="1">'Landscape Trees '!G292</f>
        <v>2</v>
      </c>
      <c r="G434" s="23">
        <f ca="1">'Landscape Trees '!H292</f>
        <v>0</v>
      </c>
      <c r="H434" s="26">
        <f ca="1">'Landscape Trees '!I292</f>
        <v>135</v>
      </c>
    </row>
    <row r="435" spans="1:8" ht="12.75">
      <c r="A435" s="23" t="str">
        <f ca="1">'Landscape Trees '!A293</f>
        <v>Viburnum dentatum</v>
      </c>
      <c r="B435" s="23" t="str">
        <f ca="1">'Landscape Trees '!C293</f>
        <v>Arrowwood Viburnum</v>
      </c>
      <c r="C435" s="23" t="str">
        <f ca="1">'Landscape Trees '!D293</f>
        <v>#5</v>
      </c>
      <c r="D435" s="24" t="str">
        <f ca="1">'Landscape Trees '!E293</f>
        <v>Multi</v>
      </c>
      <c r="E435" s="23" t="str">
        <f ca="1">'Landscape Trees '!F293</f>
        <v>4-4'</v>
      </c>
      <c r="F435" s="25">
        <f ca="1">'Landscape Trees '!G293</f>
        <v>2</v>
      </c>
      <c r="G435" s="23">
        <f ca="1">'Landscape Trees '!H293</f>
        <v>100</v>
      </c>
      <c r="H435" s="26">
        <f ca="1">'Landscape Trees '!I293</f>
        <v>30</v>
      </c>
    </row>
    <row r="436" spans="1:8" ht="12.75">
      <c r="A436" s="23" t="str">
        <f ca="1">'Landscape Trees '!A294</f>
        <v>Viburnum prunifolium</v>
      </c>
      <c r="B436" s="23" t="str">
        <f ca="1">'Landscape Trees '!C294</f>
        <v>Blackhaw Vibrunum</v>
      </c>
      <c r="C436" s="23" t="str">
        <f ca="1">'Landscape Trees '!D294</f>
        <v>#5</v>
      </c>
      <c r="D436" s="24" t="str">
        <f ca="1">'Landscape Trees '!E294</f>
        <v>Multi</v>
      </c>
      <c r="E436" s="23" t="str">
        <f ca="1">'Landscape Trees '!F294</f>
        <v>4-4'</v>
      </c>
      <c r="F436" s="25">
        <f ca="1">'Landscape Trees '!G294</f>
        <v>2</v>
      </c>
      <c r="G436" s="23">
        <f ca="1">'Landscape Trees '!H294</f>
        <v>0</v>
      </c>
      <c r="H436" s="26">
        <f ca="1">'Landscape Trees '!I294</f>
        <v>40</v>
      </c>
    </row>
    <row r="437" spans="1:8" ht="12.75">
      <c r="A437" s="23" t="str">
        <f ca="1">'Landscape Trees '!A295</f>
        <v>X Gordlinia grandiflora</v>
      </c>
      <c r="B437" s="23" t="str">
        <f ca="1">'Landscape Trees '!C295</f>
        <v>Gordlinia</v>
      </c>
      <c r="C437" s="23" t="str">
        <f ca="1">'Landscape Trees '!D295</f>
        <v>#5</v>
      </c>
      <c r="D437" s="24" t="str">
        <f ca="1">'Landscape Trees '!E295</f>
        <v>1-1"</v>
      </c>
      <c r="E437" s="23" t="str">
        <f ca="1">'Landscape Trees '!F295</f>
        <v>5-7'</v>
      </c>
      <c r="F437" s="25">
        <f ca="1">'Landscape Trees '!G295</f>
        <v>12</v>
      </c>
      <c r="G437" s="23">
        <f ca="1">'Landscape Trees '!H295</f>
        <v>50</v>
      </c>
      <c r="H437" s="26">
        <f ca="1">'Landscape Trees '!I295</f>
        <v>40</v>
      </c>
    </row>
    <row r="438" spans="1:8" ht="12.75">
      <c r="A438" s="23" t="str">
        <f ca="1">'Landscape Trees '!A296</f>
        <v>Zelkova serrata 'Green Vase'</v>
      </c>
      <c r="B438" s="23" t="str">
        <f ca="1">'Landscape Trees '!C296</f>
        <v>Green Vase Zelkova</v>
      </c>
      <c r="C438" s="23" t="str">
        <f ca="1">'Landscape Trees '!D296</f>
        <v>#15</v>
      </c>
      <c r="D438" s="24" t="str">
        <f ca="1">'Landscape Trees '!E296</f>
        <v>1.5-1.5"</v>
      </c>
      <c r="E438" s="23" t="str">
        <f ca="1">'Landscape Trees '!F296</f>
        <v>10-12'</v>
      </c>
      <c r="F438" s="25">
        <f ca="1">'Landscape Trees '!G296</f>
        <v>6</v>
      </c>
      <c r="G438" s="23">
        <f ca="1">'Landscape Trees '!H296</f>
        <v>10</v>
      </c>
      <c r="H438" s="26">
        <f ca="1">'Landscape Trees '!I296</f>
        <v>110</v>
      </c>
    </row>
    <row r="439" spans="1:8" ht="12.75">
      <c r="A439" s="23" t="str">
        <f ca="1">'Landscape Trees '!A297</f>
        <v>Zelkova serrata 'Musashino'</v>
      </c>
      <c r="B439" s="23" t="str">
        <f ca="1">'Landscape Trees '!C297</f>
        <v>Musashino Zelkova</v>
      </c>
      <c r="C439" s="23" t="str">
        <f ca="1">'Landscape Trees '!D297</f>
        <v>#15</v>
      </c>
      <c r="D439" s="24" t="str">
        <f ca="1">'Landscape Trees '!E297</f>
        <v>1.5-1.5"</v>
      </c>
      <c r="E439" s="23" t="str">
        <f ca="1">'Landscape Trees '!F297</f>
        <v>10-11'</v>
      </c>
      <c r="F439" s="25">
        <f ca="1">'Landscape Trees '!G297</f>
        <v>2</v>
      </c>
      <c r="G439" s="23">
        <f ca="1">'Landscape Trees '!H297</f>
        <v>0</v>
      </c>
      <c r="H439" s="26">
        <f ca="1">'Landscape Trees '!I297</f>
        <v>110</v>
      </c>
    </row>
    <row r="440" spans="1:8" ht="12.75">
      <c r="A440" s="23">
        <f>'Landscape Trees '!A298</f>
        <v>0</v>
      </c>
      <c r="B440" s="23">
        <f>'Landscape Trees '!C298</f>
        <v>0</v>
      </c>
      <c r="C440" s="23">
        <f>'Landscape Trees '!D298</f>
        <v>0</v>
      </c>
      <c r="D440" s="23">
        <f>'Landscape Trees '!E298</f>
        <v>0</v>
      </c>
      <c r="E440" s="23">
        <f>'Landscape Trees '!F298</f>
        <v>0</v>
      </c>
      <c r="F440" s="23">
        <f>'Landscape Trees '!G298</f>
        <v>0</v>
      </c>
      <c r="G440" s="23">
        <f>'Landscape Trees '!H298</f>
        <v>0</v>
      </c>
      <c r="H440" s="23">
        <f>'Landscape Trees '!I298</f>
        <v>0</v>
      </c>
    </row>
    <row r="441" spans="1:8" ht="12.75">
      <c r="A441" s="23">
        <f>'Landscape Trees '!A299</f>
        <v>0</v>
      </c>
      <c r="B441" s="23">
        <f>'Landscape Trees '!C299</f>
        <v>0</v>
      </c>
      <c r="C441" s="23">
        <f>'Landscape Trees '!D299</f>
        <v>0</v>
      </c>
      <c r="D441" s="23">
        <f>'Landscape Trees '!E299</f>
        <v>0</v>
      </c>
      <c r="E441" s="23">
        <f>'Landscape Trees '!F299</f>
        <v>0</v>
      </c>
      <c r="F441" s="23">
        <f>'Landscape Trees '!G299</f>
        <v>0</v>
      </c>
      <c r="G441" s="23">
        <f>'Landscape Trees '!H299</f>
        <v>0</v>
      </c>
      <c r="H441" s="23">
        <f>'Landscape Trees '!I299</f>
        <v>0</v>
      </c>
    </row>
    <row r="442" spans="1:8" ht="12.75">
      <c r="A442" s="23">
        <f>'Landscape Trees '!A300</f>
        <v>0</v>
      </c>
      <c r="B442" s="23">
        <f>'Landscape Trees '!C300</f>
        <v>0</v>
      </c>
      <c r="C442" s="23">
        <f>'Landscape Trees '!D300</f>
        <v>0</v>
      </c>
      <c r="D442" s="23">
        <f>'Landscape Trees '!E300</f>
        <v>0</v>
      </c>
      <c r="E442" s="23">
        <f>'Landscape Trees '!F300</f>
        <v>0</v>
      </c>
      <c r="F442" s="23">
        <f>'Landscape Trees '!G300</f>
        <v>0</v>
      </c>
      <c r="G442" s="23">
        <f>'Landscape Trees '!H300</f>
        <v>0</v>
      </c>
      <c r="H442" s="23">
        <f>'Landscape Trees '!I300</f>
        <v>0</v>
      </c>
    </row>
    <row r="443" spans="1:8" ht="12.75">
      <c r="A443" s="23">
        <f>'Landscape Trees '!A301</f>
        <v>0</v>
      </c>
      <c r="B443" s="23">
        <f>'Landscape Trees '!C301</f>
        <v>0</v>
      </c>
      <c r="C443" s="23">
        <f>'Landscape Trees '!D301</f>
        <v>0</v>
      </c>
      <c r="D443" s="23">
        <f>'Landscape Trees '!E301</f>
        <v>0</v>
      </c>
      <c r="E443" s="23">
        <f>'Landscape Trees '!F301</f>
        <v>0</v>
      </c>
      <c r="F443" s="23">
        <f>'Landscape Trees '!G301</f>
        <v>0</v>
      </c>
      <c r="G443" s="23">
        <f>'Landscape Trees '!H301</f>
        <v>0</v>
      </c>
      <c r="H443" s="23">
        <f>'Landscape Trees '!I301</f>
        <v>0</v>
      </c>
    </row>
    <row r="444" spans="1:8" ht="12.75">
      <c r="A444" s="23">
        <f>'Landscape Trees '!A302</f>
        <v>0</v>
      </c>
      <c r="B444" s="23">
        <f>'Landscape Trees '!C302</f>
        <v>0</v>
      </c>
      <c r="C444" s="23">
        <f>'Landscape Trees '!D302</f>
        <v>0</v>
      </c>
      <c r="D444" s="23">
        <f>'Landscape Trees '!E302</f>
        <v>0</v>
      </c>
      <c r="E444" s="23">
        <f>'Landscape Trees '!F302</f>
        <v>0</v>
      </c>
      <c r="F444" s="23">
        <f>'Landscape Trees '!G302</f>
        <v>0</v>
      </c>
      <c r="G444" s="23">
        <f>'Landscape Trees '!H302</f>
        <v>0</v>
      </c>
      <c r="H444" s="23">
        <f>'Landscape Trees '!I302</f>
        <v>0</v>
      </c>
    </row>
    <row r="445" spans="1:8" ht="12.75">
      <c r="A445" s="23">
        <f>'Landscape Trees '!A303</f>
        <v>0</v>
      </c>
      <c r="B445" s="23">
        <f>'Landscape Trees '!C303</f>
        <v>0</v>
      </c>
      <c r="C445" s="23">
        <f>'Landscape Trees '!D303</f>
        <v>0</v>
      </c>
      <c r="D445" s="23">
        <f>'Landscape Trees '!E303</f>
        <v>0</v>
      </c>
      <c r="E445" s="23">
        <f>'Landscape Trees '!F303</f>
        <v>0</v>
      </c>
      <c r="F445" s="23">
        <f>'Landscape Trees '!G303</f>
        <v>0</v>
      </c>
      <c r="G445" s="23">
        <f>'Landscape Trees '!H303</f>
        <v>0</v>
      </c>
      <c r="H445" s="23">
        <f>'Landscape Trees '!I303</f>
        <v>0</v>
      </c>
    </row>
    <row r="446" spans="1:8" ht="12.75">
      <c r="A446" s="23">
        <f>'Landscape Trees '!A304</f>
        <v>0</v>
      </c>
      <c r="B446" s="23">
        <f>'Landscape Trees '!C304</f>
        <v>0</v>
      </c>
      <c r="C446" s="23">
        <f>'Landscape Trees '!D304</f>
        <v>0</v>
      </c>
      <c r="D446" s="23">
        <f>'Landscape Trees '!E304</f>
        <v>0</v>
      </c>
      <c r="E446" s="23">
        <f>'Landscape Trees '!F304</f>
        <v>0</v>
      </c>
      <c r="F446" s="23">
        <f>'Landscape Trees '!G304</f>
        <v>0</v>
      </c>
      <c r="G446" s="23">
        <f>'Landscape Trees '!H304</f>
        <v>0</v>
      </c>
      <c r="H446" s="23">
        <f>'Landscape Trees '!I304</f>
        <v>0</v>
      </c>
    </row>
    <row r="447" spans="1:8" ht="12.75">
      <c r="A447" s="23">
        <f>'Landscape Trees '!A305</f>
        <v>0</v>
      </c>
      <c r="B447" s="23">
        <f>'Landscape Trees '!C305</f>
        <v>0</v>
      </c>
      <c r="C447" s="23">
        <f>'Landscape Trees '!D305</f>
        <v>0</v>
      </c>
      <c r="D447" s="23">
        <f>'Landscape Trees '!E305</f>
        <v>0</v>
      </c>
      <c r="E447" s="23">
        <f>'Landscape Trees '!F305</f>
        <v>0</v>
      </c>
      <c r="F447" s="23">
        <f>'Landscape Trees '!G305</f>
        <v>0</v>
      </c>
      <c r="G447" s="23">
        <f>'Landscape Trees '!H305</f>
        <v>0</v>
      </c>
      <c r="H447" s="23">
        <f>'Landscape Trees '!I305</f>
        <v>0</v>
      </c>
    </row>
    <row r="448" spans="1:8" ht="12.75">
      <c r="A448" s="23">
        <f>'Landscape Trees '!A306</f>
        <v>0</v>
      </c>
      <c r="B448" s="23">
        <f>'Landscape Trees '!C306</f>
        <v>0</v>
      </c>
      <c r="C448" s="23">
        <f>'Landscape Trees '!D306</f>
        <v>0</v>
      </c>
      <c r="D448" s="23">
        <f>'Landscape Trees '!E306</f>
        <v>0</v>
      </c>
      <c r="E448" s="23">
        <f>'Landscape Trees '!F306</f>
        <v>0</v>
      </c>
      <c r="F448" s="23">
        <f>'Landscape Trees '!G306</f>
        <v>0</v>
      </c>
      <c r="G448" s="23">
        <f>'Landscape Trees '!H306</f>
        <v>0</v>
      </c>
      <c r="H448" s="23">
        <f>'Landscape Trees '!I306</f>
        <v>0</v>
      </c>
    </row>
    <row r="449" spans="1:8" ht="12.75">
      <c r="A449" s="23">
        <f>'Landscape Trees '!A307</f>
        <v>0</v>
      </c>
      <c r="B449" s="23">
        <f>'Landscape Trees '!C307</f>
        <v>0</v>
      </c>
      <c r="C449" s="23">
        <f>'Landscape Trees '!D307</f>
        <v>0</v>
      </c>
      <c r="D449" s="23">
        <f>'Landscape Trees '!E307</f>
        <v>0</v>
      </c>
      <c r="E449" s="23">
        <f>'Landscape Trees '!F307</f>
        <v>0</v>
      </c>
      <c r="F449" s="23">
        <f>'Landscape Trees '!G307</f>
        <v>0</v>
      </c>
      <c r="G449" s="23">
        <f>'Landscape Trees '!H307</f>
        <v>0</v>
      </c>
      <c r="H449" s="23">
        <f>'Landscape Trees '!I307</f>
        <v>0</v>
      </c>
    </row>
    <row r="450" spans="1:8" ht="12.75">
      <c r="A450" s="23">
        <f>'Landscape Trees '!A308</f>
        <v>0</v>
      </c>
      <c r="B450" s="23">
        <f>'Landscape Trees '!C308</f>
        <v>0</v>
      </c>
      <c r="C450" s="23">
        <f>'Landscape Trees '!D308</f>
        <v>0</v>
      </c>
      <c r="D450" s="23">
        <f>'Landscape Trees '!E308</f>
        <v>0</v>
      </c>
      <c r="E450" s="23">
        <f>'Landscape Trees '!F308</f>
        <v>0</v>
      </c>
      <c r="F450" s="23">
        <f>'Landscape Trees '!G308</f>
        <v>0</v>
      </c>
      <c r="G450" s="23">
        <f>'Landscape Trees '!H308</f>
        <v>0</v>
      </c>
      <c r="H450" s="23">
        <f>'Landscape Trees '!I308</f>
        <v>0</v>
      </c>
    </row>
    <row r="451" spans="1:8" ht="12.75">
      <c r="A451" s="23">
        <f>'Landscape Trees '!A309</f>
        <v>0</v>
      </c>
      <c r="B451" s="23">
        <f>'Landscape Trees '!C309</f>
        <v>0</v>
      </c>
      <c r="C451" s="23">
        <f>'Landscape Trees '!D309</f>
        <v>0</v>
      </c>
      <c r="D451" s="23">
        <f>'Landscape Trees '!E309</f>
        <v>0</v>
      </c>
      <c r="E451" s="23">
        <f>'Landscape Trees '!F309</f>
        <v>0</v>
      </c>
      <c r="F451" s="23">
        <f>'Landscape Trees '!G309</f>
        <v>0</v>
      </c>
      <c r="G451" s="23">
        <f>'Landscape Trees '!H309</f>
        <v>0</v>
      </c>
      <c r="H451" s="23">
        <f>'Landscape Trees '!I309</f>
        <v>0</v>
      </c>
    </row>
    <row r="452" spans="1:8" ht="12.75">
      <c r="A452" s="23">
        <f>'Landscape Trees '!A310</f>
        <v>0</v>
      </c>
      <c r="B452" s="23">
        <f>'Landscape Trees '!C310</f>
        <v>0</v>
      </c>
      <c r="C452" s="23">
        <f>'Landscape Trees '!D310</f>
        <v>0</v>
      </c>
      <c r="D452" s="23">
        <f>'Landscape Trees '!E310</f>
        <v>0</v>
      </c>
      <c r="E452" s="23">
        <f>'Landscape Trees '!F310</f>
        <v>0</v>
      </c>
      <c r="F452" s="23">
        <f>'Landscape Trees '!G310</f>
        <v>0</v>
      </c>
      <c r="G452" s="23">
        <f>'Landscape Trees '!H310</f>
        <v>0</v>
      </c>
      <c r="H452" s="23">
        <f>'Landscape Trees '!I310</f>
        <v>0</v>
      </c>
    </row>
    <row r="453" spans="1:8" ht="12.75">
      <c r="A453" s="23">
        <f>'Landscape Trees '!A311</f>
        <v>0</v>
      </c>
      <c r="B453" s="23">
        <f>'Landscape Trees '!C311</f>
        <v>0</v>
      </c>
      <c r="C453" s="23">
        <f>'Landscape Trees '!D311</f>
        <v>0</v>
      </c>
      <c r="D453" s="23">
        <f>'Landscape Trees '!E311</f>
        <v>0</v>
      </c>
      <c r="E453" s="23">
        <f>'Landscape Trees '!F311</f>
        <v>0</v>
      </c>
      <c r="F453" s="23">
        <f>'Landscape Trees '!G311</f>
        <v>0</v>
      </c>
      <c r="G453" s="23">
        <f>'Landscape Trees '!H311</f>
        <v>0</v>
      </c>
      <c r="H453" s="23">
        <f>'Landscape Trees '!I311</f>
        <v>0</v>
      </c>
    </row>
    <row r="454" spans="1:8" ht="12.75">
      <c r="A454" s="23">
        <f>'Landscape Trees '!A312</f>
        <v>0</v>
      </c>
      <c r="B454" s="23">
        <f>'Landscape Trees '!C312</f>
        <v>0</v>
      </c>
      <c r="C454" s="23">
        <f>'Landscape Trees '!D312</f>
        <v>0</v>
      </c>
      <c r="D454" s="23">
        <f>'Landscape Trees '!E312</f>
        <v>0</v>
      </c>
      <c r="E454" s="23">
        <f>'Landscape Trees '!F312</f>
        <v>0</v>
      </c>
      <c r="F454" s="23">
        <f>'Landscape Trees '!G312</f>
        <v>0</v>
      </c>
      <c r="G454" s="23">
        <f>'Landscape Trees '!H312</f>
        <v>0</v>
      </c>
      <c r="H454" s="23">
        <f>'Landscape Trees '!I312</f>
        <v>0</v>
      </c>
    </row>
    <row r="455" spans="1:8" ht="12.75">
      <c r="A455" s="23">
        <f>'Landscape Trees '!A313</f>
        <v>0</v>
      </c>
      <c r="B455" s="23">
        <f>'Landscape Trees '!C313</f>
        <v>0</v>
      </c>
      <c r="C455" s="23">
        <f>'Landscape Trees '!D313</f>
        <v>0</v>
      </c>
      <c r="D455" s="23">
        <f>'Landscape Trees '!E313</f>
        <v>0</v>
      </c>
      <c r="E455" s="23">
        <f>'Landscape Trees '!F313</f>
        <v>0</v>
      </c>
      <c r="F455" s="23">
        <f>'Landscape Trees '!G313</f>
        <v>0</v>
      </c>
      <c r="G455" s="23">
        <f>'Landscape Trees '!H313</f>
        <v>0</v>
      </c>
      <c r="H455" s="23">
        <f>'Landscape Trees '!I313</f>
        <v>0</v>
      </c>
    </row>
    <row r="456" spans="1:8" ht="12.75">
      <c r="A456" s="23">
        <f>'Landscape Trees '!A314</f>
        <v>0</v>
      </c>
      <c r="B456" s="23">
        <f>'Landscape Trees '!C314</f>
        <v>0</v>
      </c>
      <c r="C456" s="23">
        <f>'Landscape Trees '!D314</f>
        <v>0</v>
      </c>
      <c r="D456" s="23">
        <f>'Landscape Trees '!E314</f>
        <v>0</v>
      </c>
      <c r="E456" s="23">
        <f>'Landscape Trees '!F314</f>
        <v>0</v>
      </c>
      <c r="F456" s="23">
        <f>'Landscape Trees '!G314</f>
        <v>0</v>
      </c>
      <c r="G456" s="23">
        <f>'Landscape Trees '!H314</f>
        <v>0</v>
      </c>
      <c r="H456" s="23">
        <f>'Landscape Trees '!I314</f>
        <v>0</v>
      </c>
    </row>
    <row r="457" spans="1:8" ht="12.75">
      <c r="A457" s="23">
        <f>'Landscape Trees '!A315</f>
        <v>0</v>
      </c>
      <c r="B457" s="23">
        <f>'Landscape Trees '!C315</f>
        <v>0</v>
      </c>
      <c r="C457" s="23">
        <f>'Landscape Trees '!D315</f>
        <v>0</v>
      </c>
      <c r="D457" s="23">
        <f>'Landscape Trees '!E315</f>
        <v>0</v>
      </c>
      <c r="E457" s="23">
        <f>'Landscape Trees '!F315</f>
        <v>0</v>
      </c>
      <c r="F457" s="23">
        <f>'Landscape Trees '!G315</f>
        <v>0</v>
      </c>
      <c r="G457" s="23">
        <f>'Landscape Trees '!H315</f>
        <v>0</v>
      </c>
      <c r="H457" s="23">
        <f>'Landscape Trees '!I315</f>
        <v>0</v>
      </c>
    </row>
    <row r="458" spans="1:8" ht="12.75">
      <c r="A458" s="23">
        <f>'Landscape Trees '!A316</f>
        <v>0</v>
      </c>
      <c r="B458" s="23">
        <f>'Landscape Trees '!C316</f>
        <v>0</v>
      </c>
      <c r="C458" s="23">
        <f>'Landscape Trees '!D316</f>
        <v>0</v>
      </c>
      <c r="D458" s="23">
        <f>'Landscape Trees '!E316</f>
        <v>0</v>
      </c>
      <c r="E458" s="23">
        <f>'Landscape Trees '!F316</f>
        <v>0</v>
      </c>
      <c r="F458" s="23">
        <f>'Landscape Trees '!G316</f>
        <v>0</v>
      </c>
      <c r="G458" s="23">
        <f>'Landscape Trees '!H316</f>
        <v>0</v>
      </c>
      <c r="H458" s="23">
        <f>'Landscape Trees '!I316</f>
        <v>0</v>
      </c>
    </row>
    <row r="459" spans="1:8" ht="12.75">
      <c r="A459" s="23">
        <f>'Landscape Trees '!A317</f>
        <v>0</v>
      </c>
      <c r="B459" s="23">
        <f>'Landscape Trees '!C317</f>
        <v>0</v>
      </c>
      <c r="C459" s="23">
        <f>'Landscape Trees '!D317</f>
        <v>0</v>
      </c>
      <c r="D459" s="23">
        <f>'Landscape Trees '!E317</f>
        <v>0</v>
      </c>
      <c r="E459" s="23">
        <f>'Landscape Trees '!F317</f>
        <v>0</v>
      </c>
      <c r="F459" s="23">
        <f>'Landscape Trees '!G317</f>
        <v>0</v>
      </c>
      <c r="G459" s="23">
        <f>'Landscape Trees '!H317</f>
        <v>0</v>
      </c>
      <c r="H459" s="23">
        <f>'Landscape Trees '!I317</f>
        <v>0</v>
      </c>
    </row>
    <row r="460" spans="1:8" ht="12.75">
      <c r="A460" s="23">
        <f>'Landscape Trees '!A318</f>
        <v>0</v>
      </c>
      <c r="B460" s="23">
        <f>'Landscape Trees '!C318</f>
        <v>0</v>
      </c>
      <c r="C460" s="23">
        <f>'Landscape Trees '!D318</f>
        <v>0</v>
      </c>
      <c r="D460" s="23">
        <f>'Landscape Trees '!E318</f>
        <v>0</v>
      </c>
      <c r="E460" s="23">
        <f>'Landscape Trees '!F318</f>
        <v>0</v>
      </c>
      <c r="F460" s="23">
        <f>'Landscape Trees '!G318</f>
        <v>0</v>
      </c>
      <c r="G460" s="23">
        <f>'Landscape Trees '!H318</f>
        <v>0</v>
      </c>
      <c r="H460" s="23">
        <f>'Landscape Trees '!I318</f>
        <v>0</v>
      </c>
    </row>
    <row r="461" spans="1:8" ht="12.75">
      <c r="A461" s="23">
        <f>'Landscape Trees '!A319</f>
        <v>0</v>
      </c>
      <c r="B461" s="23">
        <f>'Landscape Trees '!C319</f>
        <v>0</v>
      </c>
      <c r="C461" s="23">
        <f>'Landscape Trees '!D319</f>
        <v>0</v>
      </c>
      <c r="D461" s="23">
        <f>'Landscape Trees '!E319</f>
        <v>0</v>
      </c>
      <c r="E461" s="23">
        <f>'Landscape Trees '!F319</f>
        <v>0</v>
      </c>
      <c r="F461" s="23">
        <f>'Landscape Trees '!G319</f>
        <v>0</v>
      </c>
      <c r="G461" s="23">
        <f>'Landscape Trees '!H319</f>
        <v>0</v>
      </c>
      <c r="H461" s="23">
        <f>'Landscape Trees '!I319</f>
        <v>0</v>
      </c>
    </row>
    <row r="462" spans="1:8" ht="12.75">
      <c r="A462" s="23">
        <f>'Landscape Trees '!A320</f>
        <v>0</v>
      </c>
      <c r="B462" s="23">
        <f>'Landscape Trees '!C320</f>
        <v>0</v>
      </c>
      <c r="C462" s="23">
        <f>'Landscape Trees '!D320</f>
        <v>0</v>
      </c>
      <c r="D462" s="23">
        <f>'Landscape Trees '!E320</f>
        <v>0</v>
      </c>
      <c r="E462" s="23">
        <f>'Landscape Trees '!F320</f>
        <v>0</v>
      </c>
      <c r="F462" s="23">
        <f>'Landscape Trees '!G320</f>
        <v>0</v>
      </c>
      <c r="G462" s="23">
        <f>'Landscape Trees '!H320</f>
        <v>0</v>
      </c>
      <c r="H462" s="23">
        <f>'Landscape Trees '!I320</f>
        <v>0</v>
      </c>
    </row>
    <row r="463" spans="1:8" ht="12.75">
      <c r="A463" s="23">
        <f>'Landscape Trees '!A321</f>
        <v>0</v>
      </c>
      <c r="B463" s="23">
        <f>'Landscape Trees '!C321</f>
        <v>0</v>
      </c>
      <c r="C463" s="23">
        <f>'Landscape Trees '!D321</f>
        <v>0</v>
      </c>
      <c r="D463" s="23">
        <f>'Landscape Trees '!E321</f>
        <v>0</v>
      </c>
      <c r="E463" s="23">
        <f>'Landscape Trees '!F321</f>
        <v>0</v>
      </c>
      <c r="F463" s="23">
        <f>'Landscape Trees '!G321</f>
        <v>0</v>
      </c>
      <c r="G463" s="23">
        <f>'Landscape Trees '!H321</f>
        <v>0</v>
      </c>
      <c r="H463" s="23">
        <f>'Landscape Trees '!I321</f>
        <v>0</v>
      </c>
    </row>
    <row r="464" spans="1:8" ht="12.75">
      <c r="A464" s="23">
        <f>'Landscape Trees '!A322</f>
        <v>0</v>
      </c>
      <c r="B464" s="23">
        <f>'Landscape Trees '!C322</f>
        <v>0</v>
      </c>
      <c r="C464" s="23">
        <f>'Landscape Trees '!D322</f>
        <v>0</v>
      </c>
      <c r="D464" s="23">
        <f>'Landscape Trees '!E322</f>
        <v>0</v>
      </c>
      <c r="E464" s="23">
        <f>'Landscape Trees '!F322</f>
        <v>0</v>
      </c>
      <c r="F464" s="23">
        <f>'Landscape Trees '!G322</f>
        <v>0</v>
      </c>
      <c r="G464" s="23">
        <f>'Landscape Trees '!H322</f>
        <v>0</v>
      </c>
      <c r="H464" s="23">
        <f>'Landscape Trees '!I322</f>
        <v>0</v>
      </c>
    </row>
    <row r="465" spans="1:8" ht="12.75">
      <c r="A465" s="23">
        <f>'Landscape Trees '!A323</f>
        <v>0</v>
      </c>
      <c r="B465" s="23">
        <f>'Landscape Trees '!C323</f>
        <v>0</v>
      </c>
      <c r="C465" s="23">
        <f>'Landscape Trees '!D323</f>
        <v>0</v>
      </c>
      <c r="D465" s="23">
        <f>'Landscape Trees '!E323</f>
        <v>0</v>
      </c>
      <c r="E465" s="23">
        <f>'Landscape Trees '!F323</f>
        <v>0</v>
      </c>
      <c r="F465" s="23">
        <f>'Landscape Trees '!G323</f>
        <v>0</v>
      </c>
      <c r="G465" s="23">
        <f>'Landscape Trees '!H323</f>
        <v>0</v>
      </c>
      <c r="H465" s="23">
        <f>'Landscape Trees '!I323</f>
        <v>0</v>
      </c>
    </row>
    <row r="466" spans="1:8" ht="12.75">
      <c r="A466" s="23">
        <f>'Landscape Trees '!A324</f>
        <v>0</v>
      </c>
      <c r="B466" s="23">
        <f>'Landscape Trees '!C324</f>
        <v>0</v>
      </c>
      <c r="C466" s="23">
        <f>'Landscape Trees '!D324</f>
        <v>0</v>
      </c>
      <c r="D466" s="23">
        <f>'Landscape Trees '!E324</f>
        <v>0</v>
      </c>
      <c r="E466" s="23">
        <f>'Landscape Trees '!F324</f>
        <v>0</v>
      </c>
      <c r="F466" s="23">
        <f>'Landscape Trees '!G324</f>
        <v>0</v>
      </c>
      <c r="G466" s="23">
        <f>'Landscape Trees '!H324</f>
        <v>0</v>
      </c>
      <c r="H466" s="23">
        <f>'Landscape Trees '!I324</f>
        <v>0</v>
      </c>
    </row>
    <row r="467" spans="1:8" ht="12.75">
      <c r="A467" s="23">
        <f>'Landscape Trees '!A325</f>
        <v>0</v>
      </c>
      <c r="B467" s="23">
        <f>'Landscape Trees '!C325</f>
        <v>0</v>
      </c>
      <c r="C467" s="23">
        <f>'Landscape Trees '!D325</f>
        <v>0</v>
      </c>
      <c r="D467" s="23">
        <f>'Landscape Trees '!E325</f>
        <v>0</v>
      </c>
      <c r="E467" s="23">
        <f>'Landscape Trees '!F325</f>
        <v>0</v>
      </c>
      <c r="F467" s="23">
        <f>'Landscape Trees '!G325</f>
        <v>0</v>
      </c>
      <c r="G467" s="23">
        <f>'Landscape Trees '!H325</f>
        <v>0</v>
      </c>
      <c r="H467" s="23">
        <f>'Landscape Trees '!I325</f>
        <v>0</v>
      </c>
    </row>
    <row r="468" spans="1:8" ht="12.75">
      <c r="A468" s="23">
        <f>'Landscape Trees '!A326</f>
        <v>0</v>
      </c>
      <c r="B468" s="23">
        <f>'Landscape Trees '!C326</f>
        <v>0</v>
      </c>
      <c r="C468" s="23">
        <f>'Landscape Trees '!D326</f>
        <v>0</v>
      </c>
      <c r="D468" s="23">
        <f>'Landscape Trees '!E326</f>
        <v>0</v>
      </c>
      <c r="E468" s="23">
        <f>'Landscape Trees '!F326</f>
        <v>0</v>
      </c>
      <c r="F468" s="23">
        <f>'Landscape Trees '!G326</f>
        <v>0</v>
      </c>
      <c r="G468" s="23">
        <f>'Landscape Trees '!H326</f>
        <v>0</v>
      </c>
      <c r="H468" s="23">
        <f>'Landscape Trees '!I326</f>
        <v>0</v>
      </c>
    </row>
    <row r="469" spans="1:8" ht="12.75">
      <c r="A469" s="23">
        <f>'Landscape Trees '!A327</f>
        <v>0</v>
      </c>
      <c r="B469" s="23">
        <f>'Landscape Trees '!C327</f>
        <v>0</v>
      </c>
      <c r="C469" s="23">
        <f>'Landscape Trees '!D327</f>
        <v>0</v>
      </c>
      <c r="D469" s="23">
        <f>'Landscape Trees '!E327</f>
        <v>0</v>
      </c>
      <c r="E469" s="23">
        <f>'Landscape Trees '!F327</f>
        <v>0</v>
      </c>
      <c r="F469" s="23">
        <f>'Landscape Trees '!G327</f>
        <v>0</v>
      </c>
      <c r="G469" s="23">
        <f>'Landscape Trees '!H327</f>
        <v>0</v>
      </c>
      <c r="H469" s="23">
        <f>'Landscape Trees '!I327</f>
        <v>0</v>
      </c>
    </row>
    <row r="470" spans="1:8" ht="12.75">
      <c r="A470" s="23">
        <f>'Landscape Trees '!A328</f>
        <v>0</v>
      </c>
      <c r="B470" s="23">
        <f>'Landscape Trees '!C328</f>
        <v>0</v>
      </c>
      <c r="C470" s="23">
        <f>'Landscape Trees '!D328</f>
        <v>0</v>
      </c>
      <c r="D470" s="23">
        <f>'Landscape Trees '!E328</f>
        <v>0</v>
      </c>
      <c r="E470" s="23">
        <f>'Landscape Trees '!F328</f>
        <v>0</v>
      </c>
      <c r="F470" s="23">
        <f>'Landscape Trees '!G328</f>
        <v>0</v>
      </c>
      <c r="G470" s="23">
        <f>'Landscape Trees '!H328</f>
        <v>0</v>
      </c>
      <c r="H470" s="23">
        <f>'Landscape Trees '!I328</f>
        <v>0</v>
      </c>
    </row>
    <row r="471" spans="1:8" ht="12.75">
      <c r="A471" s="23">
        <f>'Landscape Trees '!A329</f>
        <v>0</v>
      </c>
      <c r="B471" s="23">
        <f>'Landscape Trees '!C329</f>
        <v>0</v>
      </c>
      <c r="C471" s="23">
        <f>'Landscape Trees '!D329</f>
        <v>0</v>
      </c>
      <c r="D471" s="23">
        <f>'Landscape Trees '!E329</f>
        <v>0</v>
      </c>
      <c r="E471" s="23">
        <f>'Landscape Trees '!F329</f>
        <v>0</v>
      </c>
      <c r="F471" s="23">
        <f>'Landscape Trees '!G329</f>
        <v>0</v>
      </c>
      <c r="G471" s="23">
        <f>'Landscape Trees '!H329</f>
        <v>0</v>
      </c>
      <c r="H471" s="23">
        <f>'Landscape Trees '!I329</f>
        <v>0</v>
      </c>
    </row>
    <row r="472" spans="1:8" ht="12.75">
      <c r="A472" s="23">
        <f>'Landscape Trees '!A330</f>
        <v>0</v>
      </c>
      <c r="B472" s="23">
        <f>'Landscape Trees '!C330</f>
        <v>0</v>
      </c>
      <c r="C472" s="23">
        <f>'Landscape Trees '!D330</f>
        <v>0</v>
      </c>
      <c r="D472" s="23">
        <f>'Landscape Trees '!E330</f>
        <v>0</v>
      </c>
      <c r="E472" s="23">
        <f>'Landscape Trees '!F330</f>
        <v>0</v>
      </c>
      <c r="F472" s="23">
        <f>'Landscape Trees '!G330</f>
        <v>0</v>
      </c>
      <c r="G472" s="23">
        <f>'Landscape Trees '!H330</f>
        <v>0</v>
      </c>
      <c r="H472" s="23">
        <f>'Landscape Trees '!I330</f>
        <v>0</v>
      </c>
    </row>
    <row r="473" spans="1:8" ht="12.75">
      <c r="A473" s="23">
        <f>'Landscape Trees '!A331</f>
        <v>0</v>
      </c>
      <c r="B473" s="23">
        <f>'Landscape Trees '!C331</f>
        <v>0</v>
      </c>
      <c r="C473" s="23">
        <f>'Landscape Trees '!D331</f>
        <v>0</v>
      </c>
      <c r="D473" s="23">
        <f>'Landscape Trees '!E331</f>
        <v>0</v>
      </c>
      <c r="E473" s="23">
        <f>'Landscape Trees '!F331</f>
        <v>0</v>
      </c>
      <c r="F473" s="23">
        <f>'Landscape Trees '!G331</f>
        <v>0</v>
      </c>
      <c r="G473" s="23">
        <f>'Landscape Trees '!H331</f>
        <v>0</v>
      </c>
      <c r="H473" s="23">
        <f>'Landscape Trees '!I331</f>
        <v>0</v>
      </c>
    </row>
    <row r="474" spans="1:8" ht="12.75">
      <c r="A474" s="23">
        <f>'Landscape Trees '!A332</f>
        <v>0</v>
      </c>
      <c r="B474" s="23">
        <f>'Landscape Trees '!C332</f>
        <v>0</v>
      </c>
      <c r="C474" s="23">
        <f>'Landscape Trees '!D332</f>
        <v>0</v>
      </c>
      <c r="D474" s="23">
        <f>'Landscape Trees '!E332</f>
        <v>0</v>
      </c>
      <c r="E474" s="23">
        <f>'Landscape Trees '!F332</f>
        <v>0</v>
      </c>
      <c r="F474" s="23">
        <f>'Landscape Trees '!G332</f>
        <v>0</v>
      </c>
      <c r="G474" s="23">
        <f>'Landscape Trees '!H332</f>
        <v>0</v>
      </c>
      <c r="H474" s="23">
        <f>'Landscape Trees '!I332</f>
        <v>0</v>
      </c>
    </row>
    <row r="475" spans="1:8" ht="12.75">
      <c r="A475" s="23">
        <f>'Landscape Trees '!A333</f>
        <v>0</v>
      </c>
      <c r="B475" s="23">
        <f>'Landscape Trees '!C333</f>
        <v>0</v>
      </c>
      <c r="C475" s="23">
        <f>'Landscape Trees '!D333</f>
        <v>0</v>
      </c>
      <c r="D475" s="23">
        <f>'Landscape Trees '!E333</f>
        <v>0</v>
      </c>
      <c r="E475" s="23">
        <f>'Landscape Trees '!F333</f>
        <v>0</v>
      </c>
      <c r="F475" s="23">
        <f>'Landscape Trees '!G333</f>
        <v>0</v>
      </c>
      <c r="G475" s="23">
        <f>'Landscape Trees '!H333</f>
        <v>0</v>
      </c>
      <c r="H475" s="23">
        <f>'Landscape Trees '!I333</f>
        <v>0</v>
      </c>
    </row>
    <row r="476" spans="1:8" ht="12.75">
      <c r="A476" s="23">
        <f>'Landscape Trees '!A334</f>
        <v>0</v>
      </c>
      <c r="B476" s="23">
        <f>'Landscape Trees '!C334</f>
        <v>0</v>
      </c>
      <c r="C476" s="23">
        <f>'Landscape Trees '!D334</f>
        <v>0</v>
      </c>
      <c r="D476" s="23">
        <f>'Landscape Trees '!E334</f>
        <v>0</v>
      </c>
      <c r="E476" s="23">
        <f>'Landscape Trees '!F334</f>
        <v>0</v>
      </c>
      <c r="F476" s="23">
        <f>'Landscape Trees '!G334</f>
        <v>0</v>
      </c>
      <c r="G476" s="23">
        <f>'Landscape Trees '!H334</f>
        <v>0</v>
      </c>
      <c r="H476" s="23">
        <f>'Landscape Trees '!I334</f>
        <v>0</v>
      </c>
    </row>
    <row r="477" spans="1:8" ht="12.75">
      <c r="A477" s="23">
        <f>'Landscape Trees '!A335</f>
        <v>0</v>
      </c>
      <c r="B477" s="23">
        <f>'Landscape Trees '!C335</f>
        <v>0</v>
      </c>
      <c r="C477" s="23">
        <f>'Landscape Trees '!D335</f>
        <v>0</v>
      </c>
      <c r="D477" s="23">
        <f>'Landscape Trees '!E335</f>
        <v>0</v>
      </c>
      <c r="E477" s="23">
        <f>'Landscape Trees '!F335</f>
        <v>0</v>
      </c>
      <c r="F477" s="23">
        <f>'Landscape Trees '!G335</f>
        <v>0</v>
      </c>
      <c r="G477" s="23">
        <f>'Landscape Trees '!H335</f>
        <v>0</v>
      </c>
      <c r="H477" s="23">
        <f>'Landscape Trees '!I335</f>
        <v>0</v>
      </c>
    </row>
    <row r="478" spans="1:8" ht="12.75">
      <c r="A478" s="23">
        <f>'Landscape Trees '!A336</f>
        <v>0</v>
      </c>
      <c r="B478" s="23">
        <f>'Landscape Trees '!C336</f>
        <v>0</v>
      </c>
      <c r="C478" s="23">
        <f>'Landscape Trees '!D336</f>
        <v>0</v>
      </c>
      <c r="D478" s="23">
        <f>'Landscape Trees '!E336</f>
        <v>0</v>
      </c>
      <c r="E478" s="23">
        <f>'Landscape Trees '!F336</f>
        <v>0</v>
      </c>
      <c r="F478" s="23">
        <f>'Landscape Trees '!G336</f>
        <v>0</v>
      </c>
      <c r="G478" s="23">
        <f>'Landscape Trees '!H336</f>
        <v>0</v>
      </c>
      <c r="H478" s="23">
        <f>'Landscape Trees '!I336</f>
        <v>0</v>
      </c>
    </row>
    <row r="479" spans="1:8" ht="12.75">
      <c r="A479" s="23">
        <f>'Landscape Trees '!A337</f>
        <v>0</v>
      </c>
      <c r="B479" s="23">
        <f>'Landscape Trees '!C337</f>
        <v>0</v>
      </c>
      <c r="C479" s="23">
        <f>'Landscape Trees '!D337</f>
        <v>0</v>
      </c>
      <c r="D479" s="23">
        <f>'Landscape Trees '!E337</f>
        <v>0</v>
      </c>
      <c r="E479" s="23">
        <f>'Landscape Trees '!F337</f>
        <v>0</v>
      </c>
      <c r="F479" s="23">
        <f>'Landscape Trees '!G337</f>
        <v>0</v>
      </c>
      <c r="G479" s="23">
        <f>'Landscape Trees '!H337</f>
        <v>0</v>
      </c>
      <c r="H479" s="23">
        <f>'Landscape Trees '!I337</f>
        <v>0</v>
      </c>
    </row>
    <row r="480" spans="1:8" ht="12.75">
      <c r="A480" s="23">
        <f>'Landscape Trees '!A338</f>
        <v>0</v>
      </c>
      <c r="B480" s="23">
        <f>'Landscape Trees '!C338</f>
        <v>0</v>
      </c>
      <c r="C480" s="23">
        <f>'Landscape Trees '!D338</f>
        <v>0</v>
      </c>
      <c r="D480" s="23">
        <f>'Landscape Trees '!E338</f>
        <v>0</v>
      </c>
      <c r="E480" s="23">
        <f>'Landscape Trees '!F338</f>
        <v>0</v>
      </c>
      <c r="F480" s="23">
        <f>'Landscape Trees '!G338</f>
        <v>0</v>
      </c>
      <c r="G480" s="23">
        <f>'Landscape Trees '!H338</f>
        <v>0</v>
      </c>
      <c r="H480" s="23">
        <f>'Landscape Trees '!I338</f>
        <v>0</v>
      </c>
    </row>
    <row r="481" spans="1:8" ht="12.75">
      <c r="A481" s="23">
        <f>'Landscape Trees '!A339</f>
        <v>0</v>
      </c>
      <c r="B481" s="23">
        <f>'Landscape Trees '!C339</f>
        <v>0</v>
      </c>
      <c r="C481" s="23">
        <f>'Landscape Trees '!D339</f>
        <v>0</v>
      </c>
      <c r="D481" s="23">
        <f>'Landscape Trees '!E339</f>
        <v>0</v>
      </c>
      <c r="E481" s="23">
        <f>'Landscape Trees '!F339</f>
        <v>0</v>
      </c>
      <c r="F481" s="23">
        <f>'Landscape Trees '!G339</f>
        <v>0</v>
      </c>
      <c r="G481" s="23">
        <f>'Landscape Trees '!H339</f>
        <v>0</v>
      </c>
      <c r="H481" s="23">
        <f>'Landscape Trees '!I339</f>
        <v>0</v>
      </c>
    </row>
    <row r="482" spans="1:8" ht="12.75">
      <c r="A482" s="23">
        <f>'Landscape Trees '!A340</f>
        <v>0</v>
      </c>
      <c r="B482" s="23">
        <f>'Landscape Trees '!C340</f>
        <v>0</v>
      </c>
      <c r="C482" s="23">
        <f>'Landscape Trees '!D340</f>
        <v>0</v>
      </c>
      <c r="D482" s="23">
        <f>'Landscape Trees '!E340</f>
        <v>0</v>
      </c>
      <c r="E482" s="23">
        <f>'Landscape Trees '!F340</f>
        <v>0</v>
      </c>
      <c r="F482" s="23">
        <f>'Landscape Trees '!G340</f>
        <v>0</v>
      </c>
      <c r="G482" s="23">
        <f>'Landscape Trees '!H340</f>
        <v>0</v>
      </c>
      <c r="H482" s="23">
        <f>'Landscape Trees '!I340</f>
        <v>0</v>
      </c>
    </row>
    <row r="483" spans="1:8" ht="12.75">
      <c r="A483" s="23">
        <f>'Landscape Trees '!A341</f>
        <v>0</v>
      </c>
      <c r="B483" s="23">
        <f>'Landscape Trees '!C341</f>
        <v>0</v>
      </c>
      <c r="C483" s="23">
        <f>'Landscape Trees '!D341</f>
        <v>0</v>
      </c>
      <c r="D483" s="23">
        <f>'Landscape Trees '!E341</f>
        <v>0</v>
      </c>
      <c r="E483" s="23">
        <f>'Landscape Trees '!F341</f>
        <v>0</v>
      </c>
      <c r="F483" s="23">
        <f>'Landscape Trees '!G341</f>
        <v>0</v>
      </c>
      <c r="G483" s="23">
        <f>'Landscape Trees '!H341</f>
        <v>0</v>
      </c>
      <c r="H483" s="23">
        <f>'Landscape Trees '!I341</f>
        <v>0</v>
      </c>
    </row>
    <row r="484" spans="1:8" ht="12.75">
      <c r="A484" s="23">
        <f>'Landscape Trees '!A342</f>
        <v>0</v>
      </c>
      <c r="B484" s="23">
        <f>'Landscape Trees '!C342</f>
        <v>0</v>
      </c>
      <c r="C484" s="23">
        <f>'Landscape Trees '!D342</f>
        <v>0</v>
      </c>
      <c r="D484" s="23">
        <f>'Landscape Trees '!E342</f>
        <v>0</v>
      </c>
      <c r="E484" s="23">
        <f>'Landscape Trees '!F342</f>
        <v>0</v>
      </c>
      <c r="F484" s="23">
        <f>'Landscape Trees '!G342</f>
        <v>0</v>
      </c>
      <c r="G484" s="23">
        <f>'Landscape Trees '!H342</f>
        <v>0</v>
      </c>
      <c r="H484" s="23">
        <f>'Landscape Trees '!I342</f>
        <v>0</v>
      </c>
    </row>
    <row r="485" spans="1:8" ht="12.75">
      <c r="A485" s="23">
        <f>'Landscape Trees '!A343</f>
        <v>0</v>
      </c>
      <c r="B485" s="23">
        <f>'Landscape Trees '!C343</f>
        <v>0</v>
      </c>
      <c r="C485" s="23">
        <f>'Landscape Trees '!D343</f>
        <v>0</v>
      </c>
      <c r="D485" s="23">
        <f>'Landscape Trees '!E343</f>
        <v>0</v>
      </c>
      <c r="E485" s="23">
        <f>'Landscape Trees '!F343</f>
        <v>0</v>
      </c>
      <c r="F485" s="23">
        <f>'Landscape Trees '!G343</f>
        <v>0</v>
      </c>
      <c r="G485" s="23">
        <f>'Landscape Trees '!H343</f>
        <v>0</v>
      </c>
      <c r="H485" s="23">
        <f>'Landscape Trees '!I343</f>
        <v>0</v>
      </c>
    </row>
    <row r="486" spans="1:8" ht="12.75">
      <c r="A486" s="23">
        <f>'Landscape Trees '!A344</f>
        <v>0</v>
      </c>
      <c r="B486" s="23">
        <f>'Landscape Trees '!C344</f>
        <v>0</v>
      </c>
      <c r="C486" s="23">
        <f>'Landscape Trees '!D344</f>
        <v>0</v>
      </c>
      <c r="D486" s="23">
        <f>'Landscape Trees '!E344</f>
        <v>0</v>
      </c>
      <c r="E486" s="23">
        <f>'Landscape Trees '!F344</f>
        <v>0</v>
      </c>
      <c r="F486" s="23">
        <f>'Landscape Trees '!G344</f>
        <v>0</v>
      </c>
      <c r="G486" s="23">
        <f>'Landscape Trees '!H344</f>
        <v>0</v>
      </c>
      <c r="H486" s="23">
        <f>'Landscape Trees '!I344</f>
        <v>0</v>
      </c>
    </row>
    <row r="487" spans="1:8" ht="12.75">
      <c r="A487" s="23">
        <f>'Landscape Trees '!A345</f>
        <v>0</v>
      </c>
      <c r="B487" s="23">
        <f>'Landscape Trees '!C345</f>
        <v>0</v>
      </c>
      <c r="C487" s="23">
        <f>'Landscape Trees '!D345</f>
        <v>0</v>
      </c>
      <c r="D487" s="23">
        <f>'Landscape Trees '!E345</f>
        <v>0</v>
      </c>
      <c r="E487" s="23">
        <f>'Landscape Trees '!F345</f>
        <v>0</v>
      </c>
      <c r="F487" s="23">
        <f>'Landscape Trees '!G345</f>
        <v>0</v>
      </c>
      <c r="G487" s="23">
        <f>'Landscape Trees '!H345</f>
        <v>0</v>
      </c>
      <c r="H487" s="23">
        <f>'Landscape Trees '!I345</f>
        <v>0</v>
      </c>
    </row>
    <row r="488" spans="1:8" ht="12.75">
      <c r="A488" s="23">
        <f>'Landscape Trees '!A346</f>
        <v>0</v>
      </c>
      <c r="B488" s="23">
        <f>'Landscape Trees '!C346</f>
        <v>0</v>
      </c>
      <c r="C488" s="23">
        <f>'Landscape Trees '!D346</f>
        <v>0</v>
      </c>
      <c r="D488" s="23">
        <f>'Landscape Trees '!E346</f>
        <v>0</v>
      </c>
      <c r="E488" s="23">
        <f>'Landscape Trees '!F346</f>
        <v>0</v>
      </c>
      <c r="F488" s="23">
        <f>'Landscape Trees '!G346</f>
        <v>0</v>
      </c>
      <c r="G488" s="23">
        <f>'Landscape Trees '!H346</f>
        <v>0</v>
      </c>
      <c r="H488" s="23">
        <f>'Landscape Trees '!I346</f>
        <v>0</v>
      </c>
    </row>
    <row r="489" spans="1:8" ht="12.75">
      <c r="A489" s="23">
        <f>'Landscape Trees '!A347</f>
        <v>0</v>
      </c>
      <c r="B489" s="23">
        <f>'Landscape Trees '!C347</f>
        <v>0</v>
      </c>
      <c r="C489" s="23">
        <f>'Landscape Trees '!D347</f>
        <v>0</v>
      </c>
      <c r="D489" s="23">
        <f>'Landscape Trees '!E347</f>
        <v>0</v>
      </c>
      <c r="E489" s="23">
        <f>'Landscape Trees '!F347</f>
        <v>0</v>
      </c>
      <c r="F489" s="23">
        <f>'Landscape Trees '!G347</f>
        <v>0</v>
      </c>
      <c r="G489" s="23">
        <f>'Landscape Trees '!H347</f>
        <v>0</v>
      </c>
      <c r="H489" s="23">
        <f>'Landscape Trees '!I347</f>
        <v>0</v>
      </c>
    </row>
    <row r="490" spans="1:8" ht="12.75">
      <c r="A490" s="23">
        <f>'Landscape Trees '!A348</f>
        <v>0</v>
      </c>
      <c r="B490" s="23">
        <f>'Landscape Trees '!C348</f>
        <v>0</v>
      </c>
      <c r="C490" s="23">
        <f>'Landscape Trees '!D348</f>
        <v>0</v>
      </c>
      <c r="D490" s="23">
        <f>'Landscape Trees '!E348</f>
        <v>0</v>
      </c>
      <c r="E490" s="23">
        <f>'Landscape Trees '!F348</f>
        <v>0</v>
      </c>
      <c r="F490" s="23">
        <f>'Landscape Trees '!G348</f>
        <v>0</v>
      </c>
      <c r="G490" s="23">
        <f>'Landscape Trees '!H348</f>
        <v>0</v>
      </c>
      <c r="H490" s="23">
        <f>'Landscape Trees '!I348</f>
        <v>0</v>
      </c>
    </row>
    <row r="491" spans="1:8" ht="12.75">
      <c r="A491" s="23">
        <f>'Landscape Trees '!A349</f>
        <v>0</v>
      </c>
      <c r="B491" s="23">
        <f>'Landscape Trees '!C349</f>
        <v>0</v>
      </c>
      <c r="C491" s="23">
        <f>'Landscape Trees '!D349</f>
        <v>0</v>
      </c>
      <c r="D491" s="23">
        <f>'Landscape Trees '!E349</f>
        <v>0</v>
      </c>
      <c r="E491" s="23">
        <f>'Landscape Trees '!F349</f>
        <v>0</v>
      </c>
      <c r="F491" s="23">
        <f>'Landscape Trees '!G349</f>
        <v>0</v>
      </c>
      <c r="G491" s="23">
        <f>'Landscape Trees '!H349</f>
        <v>0</v>
      </c>
      <c r="H491" s="23">
        <f>'Landscape Trees '!I349</f>
        <v>0</v>
      </c>
    </row>
    <row r="492" spans="1:8" ht="12.75">
      <c r="A492" s="23">
        <f>'Landscape Trees '!A350</f>
        <v>0</v>
      </c>
      <c r="B492" s="23">
        <f>'Landscape Trees '!C350</f>
        <v>0</v>
      </c>
      <c r="C492" s="23">
        <f>'Landscape Trees '!D350</f>
        <v>0</v>
      </c>
      <c r="D492" s="23">
        <f>'Landscape Trees '!E350</f>
        <v>0</v>
      </c>
      <c r="E492" s="23">
        <f>'Landscape Trees '!F350</f>
        <v>0</v>
      </c>
      <c r="F492" s="23">
        <f>'Landscape Trees '!G350</f>
        <v>0</v>
      </c>
      <c r="G492" s="23">
        <f>'Landscape Trees '!H350</f>
        <v>0</v>
      </c>
      <c r="H492" s="23">
        <f>'Landscape Trees '!I350</f>
        <v>0</v>
      </c>
    </row>
    <row r="493" spans="1:8" ht="12.75">
      <c r="A493" s="23">
        <f>'Landscape Trees '!A351</f>
        <v>0</v>
      </c>
      <c r="B493" s="23">
        <f>'Landscape Trees '!C351</f>
        <v>0</v>
      </c>
      <c r="C493" s="23">
        <f>'Landscape Trees '!D351</f>
        <v>0</v>
      </c>
      <c r="D493" s="23">
        <f>'Landscape Trees '!E351</f>
        <v>0</v>
      </c>
      <c r="E493" s="23">
        <f>'Landscape Trees '!F351</f>
        <v>0</v>
      </c>
      <c r="F493" s="23">
        <f>'Landscape Trees '!G351</f>
        <v>0</v>
      </c>
      <c r="G493" s="23">
        <f>'Landscape Trees '!H351</f>
        <v>0</v>
      </c>
      <c r="H493" s="23">
        <f>'Landscape Trees '!I351</f>
        <v>0</v>
      </c>
    </row>
    <row r="494" spans="1:8" ht="12.75">
      <c r="A494" s="23">
        <f>'Landscape Trees '!A352</f>
        <v>0</v>
      </c>
      <c r="B494" s="23">
        <f>'Landscape Trees '!C352</f>
        <v>0</v>
      </c>
      <c r="C494" s="23">
        <f>'Landscape Trees '!D352</f>
        <v>0</v>
      </c>
      <c r="D494" s="23">
        <f>'Landscape Trees '!E352</f>
        <v>0</v>
      </c>
      <c r="E494" s="23">
        <f>'Landscape Trees '!F352</f>
        <v>0</v>
      </c>
      <c r="F494" s="23">
        <f>'Landscape Trees '!G352</f>
        <v>0</v>
      </c>
      <c r="G494" s="23">
        <f>'Landscape Trees '!H352</f>
        <v>0</v>
      </c>
      <c r="H494" s="23">
        <f>'Landscape Trees '!I352</f>
        <v>0</v>
      </c>
    </row>
    <row r="495" spans="1:8" ht="12.75">
      <c r="A495" s="23">
        <f>'Landscape Trees '!A353</f>
        <v>0</v>
      </c>
      <c r="B495" s="23">
        <f>'Landscape Trees '!C353</f>
        <v>0</v>
      </c>
      <c r="C495" s="23">
        <f>'Landscape Trees '!D353</f>
        <v>0</v>
      </c>
      <c r="D495" s="23">
        <f>'Landscape Trees '!E353</f>
        <v>0</v>
      </c>
      <c r="E495" s="23">
        <f>'Landscape Trees '!F353</f>
        <v>0</v>
      </c>
      <c r="F495" s="23">
        <f>'Landscape Trees '!G353</f>
        <v>0</v>
      </c>
      <c r="G495" s="23">
        <f>'Landscape Trees '!H353</f>
        <v>0</v>
      </c>
      <c r="H495" s="23">
        <f>'Landscape Trees '!I353</f>
        <v>0</v>
      </c>
    </row>
    <row r="496" spans="1:8" ht="12.75">
      <c r="A496" s="23">
        <f>'Landscape Trees '!A354</f>
        <v>0</v>
      </c>
      <c r="B496" s="23">
        <f>'Landscape Trees '!C354</f>
        <v>0</v>
      </c>
      <c r="C496" s="23">
        <f>'Landscape Trees '!D354</f>
        <v>0</v>
      </c>
      <c r="D496" s="23">
        <f>'Landscape Trees '!E354</f>
        <v>0</v>
      </c>
      <c r="E496" s="23">
        <f>'Landscape Trees '!F354</f>
        <v>0</v>
      </c>
      <c r="F496" s="23">
        <f>'Landscape Trees '!G354</f>
        <v>0</v>
      </c>
      <c r="G496" s="23">
        <f>'Landscape Trees '!H354</f>
        <v>0</v>
      </c>
      <c r="H496" s="23">
        <f>'Landscape Trees '!I354</f>
        <v>0</v>
      </c>
    </row>
    <row r="497" spans="1:8" ht="12.75">
      <c r="A497" s="23">
        <f>'Landscape Trees '!A355</f>
        <v>0</v>
      </c>
      <c r="B497" s="23">
        <f>'Landscape Trees '!C355</f>
        <v>0</v>
      </c>
      <c r="C497" s="23">
        <f>'Landscape Trees '!D355</f>
        <v>0</v>
      </c>
      <c r="D497" s="23">
        <f>'Landscape Trees '!E355</f>
        <v>0</v>
      </c>
      <c r="E497" s="23">
        <f>'Landscape Trees '!F355</f>
        <v>0</v>
      </c>
      <c r="F497" s="23">
        <f>'Landscape Trees '!G355</f>
        <v>0</v>
      </c>
      <c r="G497" s="23">
        <f>'Landscape Trees '!H355</f>
        <v>0</v>
      </c>
      <c r="H497" s="23">
        <f>'Landscape Trees '!I355</f>
        <v>0</v>
      </c>
    </row>
    <row r="498" spans="1:8" ht="12.75">
      <c r="A498" s="23">
        <f>'Landscape Trees '!A356</f>
        <v>0</v>
      </c>
      <c r="B498" s="23">
        <f>'Landscape Trees '!C356</f>
        <v>0</v>
      </c>
      <c r="C498" s="23">
        <f>'Landscape Trees '!D356</f>
        <v>0</v>
      </c>
      <c r="D498" s="23">
        <f>'Landscape Trees '!E356</f>
        <v>0</v>
      </c>
      <c r="E498" s="23">
        <f>'Landscape Trees '!F356</f>
        <v>0</v>
      </c>
      <c r="F498" s="23">
        <f>'Landscape Trees '!G356</f>
        <v>0</v>
      </c>
      <c r="G498" s="23">
        <f>'Landscape Trees '!H356</f>
        <v>0</v>
      </c>
      <c r="H498" s="23">
        <f>'Landscape Trees '!I356</f>
        <v>0</v>
      </c>
    </row>
    <row r="499" spans="1:8" ht="12.75">
      <c r="A499" s="23">
        <f>'Landscape Trees '!A357</f>
        <v>0</v>
      </c>
      <c r="B499" s="23">
        <f>'Landscape Trees '!C357</f>
        <v>0</v>
      </c>
      <c r="C499" s="23">
        <f>'Landscape Trees '!D357</f>
        <v>0</v>
      </c>
      <c r="D499" s="23">
        <f>'Landscape Trees '!E357</f>
        <v>0</v>
      </c>
      <c r="E499" s="23">
        <f>'Landscape Trees '!F357</f>
        <v>0</v>
      </c>
      <c r="F499" s="23">
        <f>'Landscape Trees '!G357</f>
        <v>0</v>
      </c>
      <c r="G499" s="23">
        <f>'Landscape Trees '!H357</f>
        <v>0</v>
      </c>
      <c r="H499" s="23">
        <f>'Landscape Trees '!I357</f>
        <v>0</v>
      </c>
    </row>
    <row r="500" spans="1:8" ht="12.75">
      <c r="A500" s="23">
        <f>'Landscape Trees '!A358</f>
        <v>0</v>
      </c>
      <c r="B500" s="23">
        <f>'Landscape Trees '!C358</f>
        <v>0</v>
      </c>
      <c r="C500" s="23">
        <f>'Landscape Trees '!D358</f>
        <v>0</v>
      </c>
      <c r="D500" s="23">
        <f>'Landscape Trees '!E358</f>
        <v>0</v>
      </c>
      <c r="E500" s="23">
        <f>'Landscape Trees '!F358</f>
        <v>0</v>
      </c>
      <c r="F500" s="23">
        <f>'Landscape Trees '!G358</f>
        <v>0</v>
      </c>
      <c r="G500" s="23">
        <f>'Landscape Trees '!H358</f>
        <v>0</v>
      </c>
      <c r="H500" s="23">
        <f>'Landscape Trees '!I358</f>
        <v>0</v>
      </c>
    </row>
    <row r="501" spans="1:8" ht="12.75">
      <c r="A501" s="23">
        <f>'Landscape Trees '!A359</f>
        <v>0</v>
      </c>
      <c r="B501" s="23">
        <f>'Landscape Trees '!C359</f>
        <v>0</v>
      </c>
      <c r="C501" s="23">
        <f>'Landscape Trees '!D359</f>
        <v>0</v>
      </c>
      <c r="D501" s="23">
        <f>'Landscape Trees '!E359</f>
        <v>0</v>
      </c>
      <c r="E501" s="23">
        <f>'Landscape Trees '!F359</f>
        <v>0</v>
      </c>
      <c r="F501" s="23">
        <f>'Landscape Trees '!G359</f>
        <v>0</v>
      </c>
      <c r="G501" s="23">
        <f>'Landscape Trees '!H359</f>
        <v>0</v>
      </c>
      <c r="H501" s="23">
        <f>'Landscape Trees '!I359</f>
        <v>0</v>
      </c>
    </row>
    <row r="502" spans="1:8" ht="12.75">
      <c r="A502" s="23">
        <f>'Landscape Trees '!A360</f>
        <v>0</v>
      </c>
      <c r="B502" s="23">
        <f>'Landscape Trees '!C360</f>
        <v>0</v>
      </c>
      <c r="C502" s="23">
        <f>'Landscape Trees '!D360</f>
        <v>0</v>
      </c>
      <c r="D502" s="23">
        <f>'Landscape Trees '!E360</f>
        <v>0</v>
      </c>
      <c r="E502" s="23">
        <f>'Landscape Trees '!F360</f>
        <v>0</v>
      </c>
      <c r="F502" s="23">
        <f>'Landscape Trees '!G360</f>
        <v>0</v>
      </c>
      <c r="G502" s="23">
        <f>'Landscape Trees '!H360</f>
        <v>0</v>
      </c>
      <c r="H502" s="23">
        <f>'Landscape Trees '!I360</f>
        <v>0</v>
      </c>
    </row>
    <row r="503" spans="1:8" ht="12.75">
      <c r="A503" s="23">
        <f>'Landscape Trees '!A361</f>
        <v>0</v>
      </c>
      <c r="B503" s="23">
        <f>'Landscape Trees '!C361</f>
        <v>0</v>
      </c>
      <c r="C503" s="23">
        <f>'Landscape Trees '!D361</f>
        <v>0</v>
      </c>
      <c r="D503" s="23">
        <f>'Landscape Trees '!E361</f>
        <v>0</v>
      </c>
      <c r="E503" s="23">
        <f>'Landscape Trees '!F361</f>
        <v>0</v>
      </c>
      <c r="F503" s="23">
        <f>'Landscape Trees '!G361</f>
        <v>0</v>
      </c>
      <c r="G503" s="23">
        <f>'Landscape Trees '!H361</f>
        <v>0</v>
      </c>
      <c r="H503" s="23">
        <f>'Landscape Trees '!I361</f>
        <v>0</v>
      </c>
    </row>
    <row r="504" spans="1:8" ht="12.75">
      <c r="A504" s="23">
        <f>'Landscape Trees '!A362</f>
        <v>0</v>
      </c>
      <c r="B504" s="23">
        <f>'Landscape Trees '!C362</f>
        <v>0</v>
      </c>
      <c r="C504" s="23">
        <f>'Landscape Trees '!D362</f>
        <v>0</v>
      </c>
      <c r="D504" s="23">
        <f>'Landscape Trees '!E362</f>
        <v>0</v>
      </c>
      <c r="E504" s="23">
        <f>'Landscape Trees '!F362</f>
        <v>0</v>
      </c>
      <c r="F504" s="23">
        <f>'Landscape Trees '!G362</f>
        <v>0</v>
      </c>
      <c r="G504" s="23">
        <f>'Landscape Trees '!H362</f>
        <v>0</v>
      </c>
      <c r="H504" s="23">
        <f>'Landscape Trees '!I362</f>
        <v>0</v>
      </c>
    </row>
    <row r="505" spans="1:8" ht="12.75">
      <c r="A505" s="23">
        <f>'Landscape Trees '!A363</f>
        <v>0</v>
      </c>
      <c r="B505" s="23">
        <f>'Landscape Trees '!C363</f>
        <v>0</v>
      </c>
      <c r="C505" s="23">
        <f>'Landscape Trees '!D363</f>
        <v>0</v>
      </c>
      <c r="D505" s="23">
        <f>'Landscape Trees '!E363</f>
        <v>0</v>
      </c>
      <c r="E505" s="23">
        <f>'Landscape Trees '!F363</f>
        <v>0</v>
      </c>
      <c r="F505" s="23">
        <f>'Landscape Trees '!G363</f>
        <v>0</v>
      </c>
      <c r="G505" s="23">
        <f>'Landscape Trees '!H363</f>
        <v>0</v>
      </c>
      <c r="H505" s="23">
        <f>'Landscape Trees '!I363</f>
        <v>0</v>
      </c>
    </row>
    <row r="506" spans="1:8" ht="12.75">
      <c r="A506" s="23">
        <f>'Landscape Trees '!A364</f>
        <v>0</v>
      </c>
      <c r="B506" s="23">
        <f>'Landscape Trees '!C364</f>
        <v>0</v>
      </c>
      <c r="C506" s="23">
        <f>'Landscape Trees '!D364</f>
        <v>0</v>
      </c>
      <c r="D506" s="23">
        <f>'Landscape Trees '!E364</f>
        <v>0</v>
      </c>
      <c r="E506" s="23">
        <f>'Landscape Trees '!F364</f>
        <v>0</v>
      </c>
      <c r="F506" s="23">
        <f>'Landscape Trees '!G364</f>
        <v>0</v>
      </c>
      <c r="G506" s="23">
        <f>'Landscape Trees '!H364</f>
        <v>0</v>
      </c>
      <c r="H506" s="23">
        <f>'Landscape Trees '!I364</f>
        <v>0</v>
      </c>
    </row>
    <row r="507" spans="1:8" ht="12.75">
      <c r="A507" s="23">
        <f>'Landscape Trees '!A365</f>
        <v>0</v>
      </c>
      <c r="B507" s="23">
        <f>'Landscape Trees '!C365</f>
        <v>0</v>
      </c>
      <c r="C507" s="23">
        <f>'Landscape Trees '!D365</f>
        <v>0</v>
      </c>
      <c r="D507" s="23">
        <f>'Landscape Trees '!E365</f>
        <v>0</v>
      </c>
      <c r="E507" s="23">
        <f>'Landscape Trees '!F365</f>
        <v>0</v>
      </c>
      <c r="F507" s="23">
        <f>'Landscape Trees '!G365</f>
        <v>0</v>
      </c>
      <c r="G507" s="23">
        <f>'Landscape Trees '!H365</f>
        <v>0</v>
      </c>
      <c r="H507" s="23">
        <f>'Landscape Trees '!I365</f>
        <v>0</v>
      </c>
    </row>
    <row r="508" spans="1:8" ht="12.75">
      <c r="A508" s="23">
        <f>'Landscape Trees '!A366</f>
        <v>0</v>
      </c>
      <c r="B508" s="23">
        <f>'Landscape Trees '!C366</f>
        <v>0</v>
      </c>
      <c r="C508" s="23">
        <f>'Landscape Trees '!D366</f>
        <v>0</v>
      </c>
      <c r="D508" s="23">
        <f>'Landscape Trees '!E366</f>
        <v>0</v>
      </c>
      <c r="E508" s="23">
        <f>'Landscape Trees '!F366</f>
        <v>0</v>
      </c>
      <c r="F508" s="23">
        <f>'Landscape Trees '!G366</f>
        <v>0</v>
      </c>
      <c r="G508" s="23">
        <f>'Landscape Trees '!H366</f>
        <v>0</v>
      </c>
      <c r="H508" s="23">
        <f>'Landscape Trees '!I366</f>
        <v>0</v>
      </c>
    </row>
    <row r="509" spans="1:8" ht="12.75">
      <c r="A509" s="23">
        <f>'Landscape Trees '!A367</f>
        <v>0</v>
      </c>
      <c r="B509" s="23">
        <f>'Landscape Trees '!C367</f>
        <v>0</v>
      </c>
      <c r="C509" s="23">
        <f>'Landscape Trees '!D367</f>
        <v>0</v>
      </c>
      <c r="D509" s="23">
        <f>'Landscape Trees '!E367</f>
        <v>0</v>
      </c>
      <c r="E509" s="23">
        <f>'Landscape Trees '!F367</f>
        <v>0</v>
      </c>
      <c r="F509" s="23">
        <f>'Landscape Trees '!G367</f>
        <v>0</v>
      </c>
      <c r="G509" s="23">
        <f>'Landscape Trees '!H367</f>
        <v>0</v>
      </c>
      <c r="H509" s="23">
        <f>'Landscape Trees '!I367</f>
        <v>0</v>
      </c>
    </row>
    <row r="510" spans="1:8" ht="12.75">
      <c r="A510" s="23">
        <f>'Landscape Trees '!A368</f>
        <v>0</v>
      </c>
      <c r="B510" s="23">
        <f>'Landscape Trees '!C368</f>
        <v>0</v>
      </c>
      <c r="C510" s="23">
        <f>'Landscape Trees '!D368</f>
        <v>0</v>
      </c>
      <c r="D510" s="23">
        <f>'Landscape Trees '!E368</f>
        <v>0</v>
      </c>
      <c r="E510" s="23">
        <f>'Landscape Trees '!F368</f>
        <v>0</v>
      </c>
      <c r="F510" s="23">
        <f>'Landscape Trees '!G368</f>
        <v>0</v>
      </c>
      <c r="G510" s="23">
        <f>'Landscape Trees '!H368</f>
        <v>0</v>
      </c>
      <c r="H510" s="23">
        <f>'Landscape Trees '!I368</f>
        <v>0</v>
      </c>
    </row>
    <row r="511" spans="1:8" ht="12.75">
      <c r="A511" s="23">
        <f>'Landscape Trees '!A369</f>
        <v>0</v>
      </c>
      <c r="B511" s="23">
        <f>'Landscape Trees '!C369</f>
        <v>0</v>
      </c>
      <c r="C511" s="23">
        <f>'Landscape Trees '!D369</f>
        <v>0</v>
      </c>
      <c r="D511" s="23">
        <f>'Landscape Trees '!E369</f>
        <v>0</v>
      </c>
      <c r="E511" s="23">
        <f>'Landscape Trees '!F369</f>
        <v>0</v>
      </c>
      <c r="F511" s="23">
        <f>'Landscape Trees '!G369</f>
        <v>0</v>
      </c>
      <c r="G511" s="23">
        <f>'Landscape Trees '!H369</f>
        <v>0</v>
      </c>
      <c r="H511" s="23">
        <f>'Landscape Trees '!I369</f>
        <v>0</v>
      </c>
    </row>
    <row r="512" spans="1:8" ht="12.75">
      <c r="A512" s="23">
        <f>'Landscape Trees '!A370</f>
        <v>0</v>
      </c>
      <c r="B512" s="23">
        <f>'Landscape Trees '!C370</f>
        <v>0</v>
      </c>
      <c r="C512" s="23">
        <f>'Landscape Trees '!D370</f>
        <v>0</v>
      </c>
      <c r="D512" s="23">
        <f>'Landscape Trees '!E370</f>
        <v>0</v>
      </c>
      <c r="E512" s="23">
        <f>'Landscape Trees '!F370</f>
        <v>0</v>
      </c>
      <c r="F512" s="23">
        <f>'Landscape Trees '!G370</f>
        <v>0</v>
      </c>
      <c r="G512" s="23">
        <f>'Landscape Trees '!H370</f>
        <v>0</v>
      </c>
      <c r="H512" s="23">
        <f>'Landscape Trees '!I370</f>
        <v>0</v>
      </c>
    </row>
    <row r="513" spans="1:8" ht="12.75">
      <c r="A513" s="23">
        <f>'Landscape Trees '!A371</f>
        <v>0</v>
      </c>
      <c r="B513" s="23">
        <f>'Landscape Trees '!C371</f>
        <v>0</v>
      </c>
      <c r="C513" s="23">
        <f>'Landscape Trees '!D371</f>
        <v>0</v>
      </c>
      <c r="D513" s="23">
        <f>'Landscape Trees '!E371</f>
        <v>0</v>
      </c>
      <c r="E513" s="23">
        <f>'Landscape Trees '!F371</f>
        <v>0</v>
      </c>
      <c r="F513" s="23">
        <f>'Landscape Trees '!G371</f>
        <v>0</v>
      </c>
      <c r="G513" s="23">
        <f>'Landscape Trees '!H371</f>
        <v>0</v>
      </c>
      <c r="H513" s="23">
        <f>'Landscape Trees '!I371</f>
        <v>0</v>
      </c>
    </row>
    <row r="514" spans="1:8" ht="12.75">
      <c r="A514" s="23">
        <f>'Landscape Trees '!A372</f>
        <v>0</v>
      </c>
      <c r="B514" s="23">
        <f>'Landscape Trees '!C372</f>
        <v>0</v>
      </c>
      <c r="C514" s="23">
        <f>'Landscape Trees '!D372</f>
        <v>0</v>
      </c>
      <c r="D514" s="23">
        <f>'Landscape Trees '!E372</f>
        <v>0</v>
      </c>
      <c r="E514" s="23">
        <f>'Landscape Trees '!F372</f>
        <v>0</v>
      </c>
      <c r="F514" s="23">
        <f>'Landscape Trees '!G372</f>
        <v>0</v>
      </c>
      <c r="G514" s="23">
        <f>'Landscape Trees '!H372</f>
        <v>0</v>
      </c>
      <c r="H514" s="23">
        <f>'Landscape Trees '!I372</f>
        <v>0</v>
      </c>
    </row>
    <row r="515" spans="1:8" ht="12.75">
      <c r="A515" s="23">
        <f>'Landscape Trees '!A373</f>
        <v>0</v>
      </c>
      <c r="B515" s="23">
        <f>'Landscape Trees '!C373</f>
        <v>0</v>
      </c>
      <c r="C515" s="23">
        <f>'Landscape Trees '!D373</f>
        <v>0</v>
      </c>
      <c r="D515" s="23">
        <f>'Landscape Trees '!E373</f>
        <v>0</v>
      </c>
      <c r="E515" s="23">
        <f>'Landscape Trees '!F373</f>
        <v>0</v>
      </c>
      <c r="F515" s="23">
        <f>'Landscape Trees '!G373</f>
        <v>0</v>
      </c>
      <c r="G515" s="23">
        <f>'Landscape Trees '!H373</f>
        <v>0</v>
      </c>
      <c r="H515" s="23">
        <f>'Landscape Trees '!I373</f>
        <v>0</v>
      </c>
    </row>
    <row r="516" spans="1:8" ht="12.75">
      <c r="A516" s="23">
        <f>'Landscape Trees '!A374</f>
        <v>0</v>
      </c>
      <c r="B516" s="23">
        <f>'Landscape Trees '!C374</f>
        <v>0</v>
      </c>
      <c r="C516" s="23">
        <f>'Landscape Trees '!D374</f>
        <v>0</v>
      </c>
      <c r="D516" s="23">
        <f>'Landscape Trees '!E374</f>
        <v>0</v>
      </c>
      <c r="E516" s="23">
        <f>'Landscape Trees '!F374</f>
        <v>0</v>
      </c>
      <c r="F516" s="23">
        <f>'Landscape Trees '!G374</f>
        <v>0</v>
      </c>
      <c r="G516" s="23">
        <f>'Landscape Trees '!H374</f>
        <v>0</v>
      </c>
      <c r="H516" s="23">
        <f>'Landscape Trees '!I374</f>
        <v>0</v>
      </c>
    </row>
    <row r="517" spans="1:8" ht="12.75">
      <c r="A517" s="23">
        <f>'Landscape Trees '!A375</f>
        <v>0</v>
      </c>
      <c r="B517" s="23">
        <f>'Landscape Trees '!C375</f>
        <v>0</v>
      </c>
      <c r="C517" s="23">
        <f>'Landscape Trees '!D375</f>
        <v>0</v>
      </c>
      <c r="D517" s="23">
        <f>'Landscape Trees '!E375</f>
        <v>0</v>
      </c>
      <c r="E517" s="23">
        <f>'Landscape Trees '!F375</f>
        <v>0</v>
      </c>
      <c r="F517" s="23">
        <f>'Landscape Trees '!G375</f>
        <v>0</v>
      </c>
      <c r="G517" s="23">
        <f>'Landscape Trees '!H375</f>
        <v>0</v>
      </c>
      <c r="H517" s="23">
        <f>'Landscape Trees '!I375</f>
        <v>0</v>
      </c>
    </row>
    <row r="518" spans="1:8" ht="12.75">
      <c r="A518" s="23">
        <f>'Landscape Trees '!A376</f>
        <v>0</v>
      </c>
      <c r="B518" s="23">
        <f>'Landscape Trees '!C376</f>
        <v>0</v>
      </c>
      <c r="C518" s="23">
        <f>'Landscape Trees '!D376</f>
        <v>0</v>
      </c>
      <c r="D518" s="23">
        <f>'Landscape Trees '!E376</f>
        <v>0</v>
      </c>
      <c r="E518" s="23">
        <f>'Landscape Trees '!F376</f>
        <v>0</v>
      </c>
      <c r="F518" s="23">
        <f>'Landscape Trees '!G376</f>
        <v>0</v>
      </c>
      <c r="G518" s="23">
        <f>'Landscape Trees '!H376</f>
        <v>0</v>
      </c>
      <c r="H518" s="23">
        <f>'Landscape Trees '!I376</f>
        <v>0</v>
      </c>
    </row>
    <row r="519" spans="1:8" ht="12.75">
      <c r="A519" s="23">
        <f>'Landscape Trees '!A377</f>
        <v>0</v>
      </c>
      <c r="B519" s="23">
        <f>'Landscape Trees '!C377</f>
        <v>0</v>
      </c>
      <c r="C519" s="23">
        <f>'Landscape Trees '!D377</f>
        <v>0</v>
      </c>
      <c r="D519" s="23">
        <f>'Landscape Trees '!E377</f>
        <v>0</v>
      </c>
      <c r="E519" s="23">
        <f>'Landscape Trees '!F377</f>
        <v>0</v>
      </c>
      <c r="F519" s="23">
        <f>'Landscape Trees '!G377</f>
        <v>0</v>
      </c>
      <c r="G519" s="23">
        <f>'Landscape Trees '!H377</f>
        <v>0</v>
      </c>
      <c r="H519" s="23">
        <f>'Landscape Trees '!I377</f>
        <v>0</v>
      </c>
    </row>
    <row r="520" spans="1:8" ht="12.75">
      <c r="A520" s="23">
        <f>'Landscape Trees '!A378</f>
        <v>0</v>
      </c>
      <c r="B520" s="23">
        <f>'Landscape Trees '!C378</f>
        <v>0</v>
      </c>
      <c r="C520" s="23">
        <f>'Landscape Trees '!D378</f>
        <v>0</v>
      </c>
      <c r="D520" s="23">
        <f>'Landscape Trees '!E378</f>
        <v>0</v>
      </c>
      <c r="E520" s="23">
        <f>'Landscape Trees '!F378</f>
        <v>0</v>
      </c>
      <c r="F520" s="23">
        <f>'Landscape Trees '!G378</f>
        <v>0</v>
      </c>
      <c r="G520" s="23">
        <f>'Landscape Trees '!H378</f>
        <v>0</v>
      </c>
      <c r="H520" s="23">
        <f>'Landscape Trees '!I378</f>
        <v>0</v>
      </c>
    </row>
    <row r="521" spans="1:8" ht="12.75">
      <c r="A521" s="23">
        <f>'Landscape Trees '!A379</f>
        <v>0</v>
      </c>
      <c r="B521" s="23">
        <f>'Landscape Trees '!C379</f>
        <v>0</v>
      </c>
      <c r="C521" s="23">
        <f>'Landscape Trees '!D379</f>
        <v>0</v>
      </c>
      <c r="D521" s="23">
        <f>'Landscape Trees '!E379</f>
        <v>0</v>
      </c>
      <c r="E521" s="23">
        <f>'Landscape Trees '!F379</f>
        <v>0</v>
      </c>
      <c r="F521" s="23">
        <f>'Landscape Trees '!G379</f>
        <v>0</v>
      </c>
      <c r="G521" s="23">
        <f>'Landscape Trees '!H379</f>
        <v>0</v>
      </c>
      <c r="H521" s="23">
        <f>'Landscape Trees '!I379</f>
        <v>0</v>
      </c>
    </row>
    <row r="522" spans="1:8" ht="12.75">
      <c r="A522" s="23">
        <f>'Landscape Trees '!A380</f>
        <v>0</v>
      </c>
      <c r="B522" s="23">
        <f>'Landscape Trees '!C380</f>
        <v>0</v>
      </c>
      <c r="C522" s="23">
        <f>'Landscape Trees '!D380</f>
        <v>0</v>
      </c>
      <c r="D522" s="23">
        <f>'Landscape Trees '!E380</f>
        <v>0</v>
      </c>
      <c r="E522" s="23">
        <f>'Landscape Trees '!F380</f>
        <v>0</v>
      </c>
      <c r="F522" s="23">
        <f>'Landscape Trees '!G380</f>
        <v>0</v>
      </c>
      <c r="G522" s="23">
        <f>'Landscape Trees '!H380</f>
        <v>0</v>
      </c>
      <c r="H522" s="23">
        <f>'Landscape Trees '!I380</f>
        <v>0</v>
      </c>
    </row>
    <row r="523" spans="1:8" ht="12.75">
      <c r="A523" s="23">
        <f>'Landscape Trees '!A381</f>
        <v>0</v>
      </c>
      <c r="B523" s="23">
        <f>'Landscape Trees '!C381</f>
        <v>0</v>
      </c>
      <c r="C523" s="23">
        <f>'Landscape Trees '!D381</f>
        <v>0</v>
      </c>
      <c r="D523" s="23">
        <f>'Landscape Trees '!E381</f>
        <v>0</v>
      </c>
      <c r="E523" s="23">
        <f>'Landscape Trees '!F381</f>
        <v>0</v>
      </c>
      <c r="F523" s="23">
        <f>'Landscape Trees '!G381</f>
        <v>0</v>
      </c>
      <c r="G523" s="23">
        <f>'Landscape Trees '!H381</f>
        <v>0</v>
      </c>
      <c r="H523" s="23">
        <f>'Landscape Trees '!I381</f>
        <v>0</v>
      </c>
    </row>
    <row r="524" spans="1:8" ht="12.75">
      <c r="A524" s="23">
        <f>'Landscape Trees '!A382</f>
        <v>0</v>
      </c>
      <c r="B524" s="23">
        <f>'Landscape Trees '!C382</f>
        <v>0</v>
      </c>
      <c r="C524" s="23">
        <f>'Landscape Trees '!D382</f>
        <v>0</v>
      </c>
      <c r="D524" s="23">
        <f>'Landscape Trees '!E382</f>
        <v>0</v>
      </c>
      <c r="E524" s="23">
        <f>'Landscape Trees '!F382</f>
        <v>0</v>
      </c>
      <c r="F524" s="23">
        <f>'Landscape Trees '!G382</f>
        <v>0</v>
      </c>
      <c r="G524" s="23">
        <f>'Landscape Trees '!H382</f>
        <v>0</v>
      </c>
      <c r="H524" s="23">
        <f>'Landscape Trees '!I382</f>
        <v>0</v>
      </c>
    </row>
    <row r="525" spans="1:8" ht="12.75">
      <c r="A525" s="23">
        <f>'Landscape Trees '!A383</f>
        <v>0</v>
      </c>
      <c r="B525" s="23">
        <f>'Landscape Trees '!C383</f>
        <v>0</v>
      </c>
      <c r="C525" s="23">
        <f>'Landscape Trees '!D383</f>
        <v>0</v>
      </c>
      <c r="D525" s="23">
        <f>'Landscape Trees '!E383</f>
        <v>0</v>
      </c>
      <c r="E525" s="23">
        <f>'Landscape Trees '!F383</f>
        <v>0</v>
      </c>
      <c r="F525" s="23">
        <f>'Landscape Trees '!G383</f>
        <v>0</v>
      </c>
      <c r="G525" s="23">
        <f>'Landscape Trees '!H383</f>
        <v>0</v>
      </c>
      <c r="H525" s="23">
        <f>'Landscape Trees '!I383</f>
        <v>0</v>
      </c>
    </row>
    <row r="526" spans="1:8" ht="12.75">
      <c r="A526" s="23">
        <f>'Landscape Trees '!A384</f>
        <v>0</v>
      </c>
      <c r="B526" s="23">
        <f>'Landscape Trees '!C384</f>
        <v>0</v>
      </c>
      <c r="C526" s="23">
        <f>'Landscape Trees '!D384</f>
        <v>0</v>
      </c>
      <c r="D526" s="23">
        <f>'Landscape Trees '!E384</f>
        <v>0</v>
      </c>
      <c r="E526" s="23">
        <f>'Landscape Trees '!F384</f>
        <v>0</v>
      </c>
      <c r="F526" s="23">
        <f>'Landscape Trees '!G384</f>
        <v>0</v>
      </c>
      <c r="G526" s="23">
        <f>'Landscape Trees '!H384</f>
        <v>0</v>
      </c>
      <c r="H526" s="23">
        <f>'Landscape Trees '!I384</f>
        <v>0</v>
      </c>
    </row>
    <row r="527" spans="1:8" ht="12.75">
      <c r="A527" s="23">
        <f>'Landscape Trees '!A385</f>
        <v>0</v>
      </c>
      <c r="B527" s="23">
        <f>'Landscape Trees '!C385</f>
        <v>0</v>
      </c>
      <c r="C527" s="23">
        <f>'Landscape Trees '!D385</f>
        <v>0</v>
      </c>
      <c r="D527" s="23">
        <f>'Landscape Trees '!E385</f>
        <v>0</v>
      </c>
      <c r="E527" s="23">
        <f>'Landscape Trees '!F385</f>
        <v>0</v>
      </c>
      <c r="F527" s="23">
        <f>'Landscape Trees '!G385</f>
        <v>0</v>
      </c>
      <c r="G527" s="23">
        <f>'Landscape Trees '!H385</f>
        <v>0</v>
      </c>
      <c r="H527" s="23">
        <f>'Landscape Trees '!I385</f>
        <v>0</v>
      </c>
    </row>
    <row r="528" spans="1:8" ht="12.75">
      <c r="A528" s="23">
        <f>'Landscape Trees '!A386</f>
        <v>0</v>
      </c>
      <c r="B528" s="23">
        <f>'Landscape Trees '!C386</f>
        <v>0</v>
      </c>
      <c r="C528" s="23">
        <f>'Landscape Trees '!D386</f>
        <v>0</v>
      </c>
      <c r="D528" s="23">
        <f>'Landscape Trees '!E386</f>
        <v>0</v>
      </c>
      <c r="E528" s="23">
        <f>'Landscape Trees '!F386</f>
        <v>0</v>
      </c>
      <c r="F528" s="23">
        <f>'Landscape Trees '!G386</f>
        <v>0</v>
      </c>
      <c r="G528" s="23">
        <f>'Landscape Trees '!H386</f>
        <v>0</v>
      </c>
      <c r="H528" s="23">
        <f>'Landscape Trees '!I386</f>
        <v>0</v>
      </c>
    </row>
    <row r="529" spans="1:8" ht="12.75">
      <c r="A529" s="23">
        <f>'Landscape Trees '!A387</f>
        <v>0</v>
      </c>
      <c r="B529" s="23">
        <f>'Landscape Trees '!C387</f>
        <v>0</v>
      </c>
      <c r="C529" s="23">
        <f>'Landscape Trees '!D387</f>
        <v>0</v>
      </c>
      <c r="D529" s="23">
        <f>'Landscape Trees '!E387</f>
        <v>0</v>
      </c>
      <c r="E529" s="23">
        <f>'Landscape Trees '!F387</f>
        <v>0</v>
      </c>
      <c r="F529" s="23">
        <f>'Landscape Trees '!G387</f>
        <v>0</v>
      </c>
      <c r="G529" s="23">
        <f>'Landscape Trees '!H387</f>
        <v>0</v>
      </c>
      <c r="H529" s="23">
        <f>'Landscape Trees '!I387</f>
        <v>0</v>
      </c>
    </row>
    <row r="530" spans="1:8" ht="12.75">
      <c r="A530" s="23">
        <f>'Landscape Trees '!A388</f>
        <v>0</v>
      </c>
      <c r="B530" s="23">
        <f>'Landscape Trees '!C388</f>
        <v>0</v>
      </c>
      <c r="C530" s="23">
        <f>'Landscape Trees '!D388</f>
        <v>0</v>
      </c>
      <c r="D530" s="23">
        <f>'Landscape Trees '!E388</f>
        <v>0</v>
      </c>
      <c r="E530" s="23">
        <f>'Landscape Trees '!F388</f>
        <v>0</v>
      </c>
      <c r="F530" s="23">
        <f>'Landscape Trees '!G388</f>
        <v>0</v>
      </c>
      <c r="G530" s="23">
        <f>'Landscape Trees '!H388</f>
        <v>0</v>
      </c>
      <c r="H530" s="23">
        <f>'Landscape Trees '!I388</f>
        <v>0</v>
      </c>
    </row>
    <row r="531" spans="1:8" ht="12.75">
      <c r="A531" s="23">
        <f>'Landscape Trees '!A389</f>
        <v>0</v>
      </c>
      <c r="B531" s="23">
        <f>'Landscape Trees '!C389</f>
        <v>0</v>
      </c>
      <c r="C531" s="23">
        <f>'Landscape Trees '!D389</f>
        <v>0</v>
      </c>
      <c r="D531" s="23">
        <f>'Landscape Trees '!E389</f>
        <v>0</v>
      </c>
      <c r="E531" s="23">
        <f>'Landscape Trees '!F389</f>
        <v>0</v>
      </c>
      <c r="F531" s="23">
        <f>'Landscape Trees '!G389</f>
        <v>0</v>
      </c>
      <c r="G531" s="23">
        <f>'Landscape Trees '!H389</f>
        <v>0</v>
      </c>
      <c r="H531" s="23">
        <f>'Landscape Trees '!I389</f>
        <v>0</v>
      </c>
    </row>
    <row r="532" spans="1:8" ht="12.75">
      <c r="A532" s="23">
        <f>'Landscape Trees '!A390</f>
        <v>0</v>
      </c>
      <c r="B532" s="23">
        <f>'Landscape Trees '!C390</f>
        <v>0</v>
      </c>
      <c r="C532" s="23">
        <f>'Landscape Trees '!D390</f>
        <v>0</v>
      </c>
      <c r="D532" s="23">
        <f>'Landscape Trees '!E390</f>
        <v>0</v>
      </c>
      <c r="E532" s="23">
        <f>'Landscape Trees '!F390</f>
        <v>0</v>
      </c>
      <c r="F532" s="23">
        <f>'Landscape Trees '!G390</f>
        <v>0</v>
      </c>
      <c r="G532" s="23">
        <f>'Landscape Trees '!H390</f>
        <v>0</v>
      </c>
      <c r="H532" s="23">
        <f>'Landscape Trees '!I390</f>
        <v>0</v>
      </c>
    </row>
    <row r="533" spans="1:8" ht="12.75">
      <c r="A533" s="23">
        <f>'Landscape Trees '!A391</f>
        <v>0</v>
      </c>
      <c r="B533" s="23">
        <f>'Landscape Trees '!C391</f>
        <v>0</v>
      </c>
      <c r="C533" s="23">
        <f>'Landscape Trees '!D391</f>
        <v>0</v>
      </c>
      <c r="D533" s="23">
        <f>'Landscape Trees '!E391</f>
        <v>0</v>
      </c>
      <c r="E533" s="23">
        <f>'Landscape Trees '!F391</f>
        <v>0</v>
      </c>
      <c r="F533" s="23">
        <f>'Landscape Trees '!G391</f>
        <v>0</v>
      </c>
      <c r="G533" s="23">
        <f>'Landscape Trees '!H391</f>
        <v>0</v>
      </c>
      <c r="H533" s="23">
        <f>'Landscape Trees '!I391</f>
        <v>0</v>
      </c>
    </row>
    <row r="534" spans="1:8" ht="12.75">
      <c r="A534" s="23">
        <f>'Landscape Trees '!A392</f>
        <v>0</v>
      </c>
      <c r="B534" s="23">
        <f>'Landscape Trees '!C392</f>
        <v>0</v>
      </c>
      <c r="C534" s="23">
        <f>'Landscape Trees '!D392</f>
        <v>0</v>
      </c>
      <c r="D534" s="23">
        <f>'Landscape Trees '!E392</f>
        <v>0</v>
      </c>
      <c r="E534" s="23">
        <f>'Landscape Trees '!F392</f>
        <v>0</v>
      </c>
      <c r="F534" s="23">
        <f>'Landscape Trees '!G392</f>
        <v>0</v>
      </c>
      <c r="G534" s="23">
        <f>'Landscape Trees '!H392</f>
        <v>0</v>
      </c>
      <c r="H534" s="23">
        <f>'Landscape Trees '!I392</f>
        <v>0</v>
      </c>
    </row>
    <row r="535" spans="1:8" ht="12.75">
      <c r="A535" s="23">
        <f>'Landscape Trees '!A393</f>
        <v>0</v>
      </c>
      <c r="B535" s="23">
        <f>'Landscape Trees '!C393</f>
        <v>0</v>
      </c>
      <c r="C535" s="23">
        <f>'Landscape Trees '!D393</f>
        <v>0</v>
      </c>
      <c r="D535" s="23">
        <f>'Landscape Trees '!E393</f>
        <v>0</v>
      </c>
      <c r="E535" s="23">
        <f>'Landscape Trees '!F393</f>
        <v>0</v>
      </c>
      <c r="F535" s="23">
        <f>'Landscape Trees '!G393</f>
        <v>0</v>
      </c>
      <c r="G535" s="23">
        <f>'Landscape Trees '!H393</f>
        <v>0</v>
      </c>
      <c r="H535" s="23">
        <f>'Landscape Trees '!I393</f>
        <v>0</v>
      </c>
    </row>
    <row r="536" spans="1:8" ht="12.75">
      <c r="A536" s="23">
        <f>'Landscape Trees '!A394</f>
        <v>0</v>
      </c>
      <c r="B536" s="23">
        <f>'Landscape Trees '!C394</f>
        <v>0</v>
      </c>
      <c r="C536" s="23">
        <f>'Landscape Trees '!D394</f>
        <v>0</v>
      </c>
      <c r="D536" s="23">
        <f>'Landscape Trees '!E394</f>
        <v>0</v>
      </c>
      <c r="E536" s="23">
        <f>'Landscape Trees '!F394</f>
        <v>0</v>
      </c>
      <c r="F536" s="23">
        <f>'Landscape Trees '!G394</f>
        <v>0</v>
      </c>
      <c r="G536" s="23">
        <f>'Landscape Trees '!H394</f>
        <v>0</v>
      </c>
      <c r="H536" s="23">
        <f>'Landscape Trees '!I394</f>
        <v>0</v>
      </c>
    </row>
    <row r="537" spans="1:8" ht="12.75">
      <c r="A537" s="23">
        <f>'Landscape Trees '!A395</f>
        <v>0</v>
      </c>
      <c r="B537" s="23">
        <f>'Landscape Trees '!C395</f>
        <v>0</v>
      </c>
      <c r="C537" s="23">
        <f>'Landscape Trees '!D395</f>
        <v>0</v>
      </c>
      <c r="D537" s="23">
        <f>'Landscape Trees '!E395</f>
        <v>0</v>
      </c>
      <c r="E537" s="23">
        <f>'Landscape Trees '!F395</f>
        <v>0</v>
      </c>
      <c r="F537" s="23">
        <f>'Landscape Trees '!G395</f>
        <v>0</v>
      </c>
      <c r="G537" s="23">
        <f>'Landscape Trees '!H395</f>
        <v>0</v>
      </c>
      <c r="H537" s="23">
        <f>'Landscape Trees '!I395</f>
        <v>0</v>
      </c>
    </row>
    <row r="538" spans="1:8" ht="12.75">
      <c r="A538" s="23">
        <f>'Landscape Trees '!A396</f>
        <v>0</v>
      </c>
      <c r="B538" s="23">
        <f>'Landscape Trees '!C396</f>
        <v>0</v>
      </c>
      <c r="C538" s="23">
        <f>'Landscape Trees '!D396</f>
        <v>0</v>
      </c>
      <c r="D538" s="23">
        <f>'Landscape Trees '!E396</f>
        <v>0</v>
      </c>
      <c r="E538" s="23">
        <f>'Landscape Trees '!F396</f>
        <v>0</v>
      </c>
      <c r="F538" s="23">
        <f>'Landscape Trees '!G396</f>
        <v>0</v>
      </c>
      <c r="G538" s="23">
        <f>'Landscape Trees '!H396</f>
        <v>0</v>
      </c>
      <c r="H538" s="23">
        <f>'Landscape Trees '!I396</f>
        <v>0</v>
      </c>
    </row>
    <row r="539" spans="1:8" ht="12.75">
      <c r="A539" s="23">
        <f>'Landscape Trees '!A397</f>
        <v>0</v>
      </c>
      <c r="B539" s="23">
        <f>'Landscape Trees '!C397</f>
        <v>0</v>
      </c>
      <c r="C539" s="23">
        <f>'Landscape Trees '!D397</f>
        <v>0</v>
      </c>
      <c r="D539" s="23">
        <f>'Landscape Trees '!E397</f>
        <v>0</v>
      </c>
      <c r="E539" s="23">
        <f>'Landscape Trees '!F397</f>
        <v>0</v>
      </c>
      <c r="F539" s="23">
        <f>'Landscape Trees '!G397</f>
        <v>0</v>
      </c>
      <c r="G539" s="23">
        <f>'Landscape Trees '!H397</f>
        <v>0</v>
      </c>
      <c r="H539" s="23">
        <f>'Landscape Trees '!I397</f>
        <v>0</v>
      </c>
    </row>
    <row r="540" spans="1:8" ht="12.75">
      <c r="A540" s="23">
        <f>'Landscape Trees '!A398</f>
        <v>0</v>
      </c>
      <c r="B540" s="23">
        <f>'Landscape Trees '!C398</f>
        <v>0</v>
      </c>
      <c r="C540" s="23">
        <f>'Landscape Trees '!D398</f>
        <v>0</v>
      </c>
      <c r="D540" s="23">
        <f>'Landscape Trees '!E398</f>
        <v>0</v>
      </c>
      <c r="E540" s="23">
        <f>'Landscape Trees '!F398</f>
        <v>0</v>
      </c>
      <c r="F540" s="23">
        <f>'Landscape Trees '!G398</f>
        <v>0</v>
      </c>
      <c r="G540" s="23">
        <f>'Landscape Trees '!H398</f>
        <v>0</v>
      </c>
      <c r="H540" s="23">
        <f>'Landscape Trees '!I398</f>
        <v>0</v>
      </c>
    </row>
    <row r="541" spans="1:8" ht="12.75">
      <c r="A541" s="23">
        <f>'Landscape Trees '!A399</f>
        <v>0</v>
      </c>
      <c r="B541" s="23">
        <f>'Landscape Trees '!C399</f>
        <v>0</v>
      </c>
      <c r="C541" s="23">
        <f>'Landscape Trees '!D399</f>
        <v>0</v>
      </c>
      <c r="D541" s="23">
        <f>'Landscape Trees '!E399</f>
        <v>0</v>
      </c>
      <c r="E541" s="23">
        <f>'Landscape Trees '!F399</f>
        <v>0</v>
      </c>
      <c r="F541" s="23">
        <f>'Landscape Trees '!G399</f>
        <v>0</v>
      </c>
      <c r="G541" s="23">
        <f>'Landscape Trees '!H399</f>
        <v>0</v>
      </c>
      <c r="H541" s="23">
        <f>'Landscape Trees '!I399</f>
        <v>0</v>
      </c>
    </row>
    <row r="542" spans="1:8" ht="12.75">
      <c r="A542" s="23">
        <f>'Landscape Trees '!A400</f>
        <v>0</v>
      </c>
      <c r="B542" s="23">
        <f>'Landscape Trees '!C400</f>
        <v>0</v>
      </c>
      <c r="C542" s="23">
        <f>'Landscape Trees '!D400</f>
        <v>0</v>
      </c>
      <c r="D542" s="23">
        <f>'Landscape Trees '!E400</f>
        <v>0</v>
      </c>
      <c r="E542" s="23">
        <f>'Landscape Trees '!F400</f>
        <v>0</v>
      </c>
      <c r="F542" s="23">
        <f>'Landscape Trees '!G400</f>
        <v>0</v>
      </c>
      <c r="G542" s="23">
        <f>'Landscape Trees '!H400</f>
        <v>0</v>
      </c>
      <c r="H542" s="23">
        <f>'Landscape Trees '!I400</f>
        <v>0</v>
      </c>
    </row>
    <row r="543" spans="1:8" ht="12.75">
      <c r="A543" s="23">
        <f>'Landscape Trees '!A401</f>
        <v>0</v>
      </c>
      <c r="B543" s="23">
        <f>'Landscape Trees '!C401</f>
        <v>0</v>
      </c>
      <c r="C543" s="23">
        <f>'Landscape Trees '!D401</f>
        <v>0</v>
      </c>
      <c r="D543" s="23">
        <f>'Landscape Trees '!E401</f>
        <v>0</v>
      </c>
      <c r="E543" s="23">
        <f>'Landscape Trees '!F401</f>
        <v>0</v>
      </c>
      <c r="F543" s="23">
        <f>'Landscape Trees '!G401</f>
        <v>0</v>
      </c>
      <c r="G543" s="23">
        <f>'Landscape Trees '!H401</f>
        <v>0</v>
      </c>
      <c r="H543" s="23">
        <f>'Landscape Trees '!I401</f>
        <v>0</v>
      </c>
    </row>
    <row r="544" spans="1:8" ht="12.75">
      <c r="A544" s="23">
        <f>'Landscape Trees '!A402</f>
        <v>0</v>
      </c>
      <c r="B544" s="23">
        <f>'Landscape Trees '!C402</f>
        <v>0</v>
      </c>
      <c r="C544" s="23">
        <f>'Landscape Trees '!D402</f>
        <v>0</v>
      </c>
      <c r="D544" s="23">
        <f>'Landscape Trees '!E402</f>
        <v>0</v>
      </c>
      <c r="E544" s="23">
        <f>'Landscape Trees '!F402</f>
        <v>0</v>
      </c>
      <c r="F544" s="23">
        <f>'Landscape Trees '!G402</f>
        <v>0</v>
      </c>
      <c r="G544" s="23">
        <f>'Landscape Trees '!H402</f>
        <v>0</v>
      </c>
      <c r="H544" s="23">
        <f>'Landscape Trees '!I402</f>
        <v>0</v>
      </c>
    </row>
    <row r="545" spans="1:8" ht="12.75">
      <c r="A545" s="23">
        <f>'Landscape Trees '!A403</f>
        <v>0</v>
      </c>
      <c r="B545" s="23">
        <f>'Landscape Trees '!C403</f>
        <v>0</v>
      </c>
      <c r="C545" s="23">
        <f>'Landscape Trees '!D403</f>
        <v>0</v>
      </c>
      <c r="D545" s="23">
        <f>'Landscape Trees '!E403</f>
        <v>0</v>
      </c>
      <c r="E545" s="23">
        <f>'Landscape Trees '!F403</f>
        <v>0</v>
      </c>
      <c r="F545" s="23">
        <f>'Landscape Trees '!G403</f>
        <v>0</v>
      </c>
      <c r="G545" s="23">
        <f>'Landscape Trees '!H403</f>
        <v>0</v>
      </c>
      <c r="H545" s="23">
        <f>'Landscape Trees '!I403</f>
        <v>0</v>
      </c>
    </row>
    <row r="546" spans="1:8" ht="12.75">
      <c r="A546" s="23">
        <f>'Landscape Trees '!A404</f>
        <v>0</v>
      </c>
      <c r="B546" s="23">
        <f>'Landscape Trees '!C404</f>
        <v>0</v>
      </c>
      <c r="C546" s="23">
        <f>'Landscape Trees '!D404</f>
        <v>0</v>
      </c>
      <c r="D546" s="23">
        <f>'Landscape Trees '!E404</f>
        <v>0</v>
      </c>
      <c r="E546" s="23">
        <f>'Landscape Trees '!F404</f>
        <v>0</v>
      </c>
      <c r="F546" s="23">
        <f>'Landscape Trees '!G404</f>
        <v>0</v>
      </c>
      <c r="G546" s="23">
        <f>'Landscape Trees '!H404</f>
        <v>0</v>
      </c>
      <c r="H546" s="23">
        <f>'Landscape Trees '!I404</f>
        <v>0</v>
      </c>
    </row>
    <row r="547" spans="1:8" ht="12.75">
      <c r="A547" s="23">
        <f>'Landscape Trees '!A405</f>
        <v>0</v>
      </c>
      <c r="B547" s="23">
        <f>'Landscape Trees '!C405</f>
        <v>0</v>
      </c>
      <c r="C547" s="23">
        <f>'Landscape Trees '!D405</f>
        <v>0</v>
      </c>
      <c r="D547" s="23">
        <f>'Landscape Trees '!E405</f>
        <v>0</v>
      </c>
      <c r="E547" s="23">
        <f>'Landscape Trees '!F405</f>
        <v>0</v>
      </c>
      <c r="F547" s="23">
        <f>'Landscape Trees '!G405</f>
        <v>0</v>
      </c>
      <c r="G547" s="23">
        <f>'Landscape Trees '!H405</f>
        <v>0</v>
      </c>
      <c r="H547" s="23">
        <f>'Landscape Trees '!I405</f>
        <v>0</v>
      </c>
    </row>
    <row r="548" spans="1:8" ht="12.75">
      <c r="A548" s="23">
        <f>'Landscape Trees '!A406</f>
        <v>0</v>
      </c>
      <c r="B548" s="23">
        <f>'Landscape Trees '!C406</f>
        <v>0</v>
      </c>
      <c r="C548" s="23">
        <f>'Landscape Trees '!D406</f>
        <v>0</v>
      </c>
      <c r="D548" s="23">
        <f>'Landscape Trees '!E406</f>
        <v>0</v>
      </c>
      <c r="E548" s="23">
        <f>'Landscape Trees '!F406</f>
        <v>0</v>
      </c>
      <c r="F548" s="23">
        <f>'Landscape Trees '!G406</f>
        <v>0</v>
      </c>
      <c r="G548" s="23">
        <f>'Landscape Trees '!H406</f>
        <v>0</v>
      </c>
      <c r="H548" s="23">
        <f>'Landscape Trees '!I406</f>
        <v>0</v>
      </c>
    </row>
    <row r="549" spans="1:8" ht="12.75">
      <c r="A549" s="23">
        <f>'Landscape Trees '!A407</f>
        <v>0</v>
      </c>
      <c r="B549" s="23">
        <f>'Landscape Trees '!C407</f>
        <v>0</v>
      </c>
      <c r="C549" s="23">
        <f>'Landscape Trees '!D407</f>
        <v>0</v>
      </c>
      <c r="D549" s="23">
        <f>'Landscape Trees '!E407</f>
        <v>0</v>
      </c>
      <c r="E549" s="23">
        <f>'Landscape Trees '!F407</f>
        <v>0</v>
      </c>
      <c r="F549" s="23">
        <f>'Landscape Trees '!G407</f>
        <v>0</v>
      </c>
      <c r="G549" s="23">
        <f>'Landscape Trees '!H407</f>
        <v>0</v>
      </c>
      <c r="H549" s="23">
        <f>'Landscape Trees '!I407</f>
        <v>0</v>
      </c>
    </row>
    <row r="550" spans="1:8" ht="12.75">
      <c r="A550" s="23">
        <f>'Landscape Trees '!A408</f>
        <v>0</v>
      </c>
      <c r="B550" s="23">
        <f>'Landscape Trees '!C408</f>
        <v>0</v>
      </c>
      <c r="C550" s="23">
        <f>'Landscape Trees '!D408</f>
        <v>0</v>
      </c>
      <c r="D550" s="23">
        <f>'Landscape Trees '!E408</f>
        <v>0</v>
      </c>
      <c r="E550" s="23">
        <f>'Landscape Trees '!F408</f>
        <v>0</v>
      </c>
      <c r="F550" s="23">
        <f>'Landscape Trees '!G408</f>
        <v>0</v>
      </c>
      <c r="G550" s="23">
        <f>'Landscape Trees '!H408</f>
        <v>0</v>
      </c>
      <c r="H550" s="23">
        <f>'Landscape Trees '!I408</f>
        <v>0</v>
      </c>
    </row>
    <row r="551" spans="1:8" ht="12.75">
      <c r="A551" s="23">
        <f>'Landscape Trees '!A409</f>
        <v>0</v>
      </c>
      <c r="B551" s="23">
        <f>'Landscape Trees '!C409</f>
        <v>0</v>
      </c>
      <c r="C551" s="23">
        <f>'Landscape Trees '!D409</f>
        <v>0</v>
      </c>
      <c r="D551" s="23">
        <f>'Landscape Trees '!E409</f>
        <v>0</v>
      </c>
      <c r="E551" s="23">
        <f>'Landscape Trees '!F409</f>
        <v>0</v>
      </c>
      <c r="F551" s="23">
        <f>'Landscape Trees '!G409</f>
        <v>0</v>
      </c>
      <c r="G551" s="23">
        <f>'Landscape Trees '!H409</f>
        <v>0</v>
      </c>
      <c r="H551" s="23">
        <f>'Landscape Trees '!I409</f>
        <v>0</v>
      </c>
    </row>
    <row r="552" spans="1:8" ht="12.75">
      <c r="A552" s="23">
        <f>'Landscape Trees '!A410</f>
        <v>0</v>
      </c>
      <c r="B552" s="23">
        <f>'Landscape Trees '!C410</f>
        <v>0</v>
      </c>
      <c r="C552" s="23">
        <f>'Landscape Trees '!D410</f>
        <v>0</v>
      </c>
      <c r="D552" s="23">
        <f>'Landscape Trees '!E410</f>
        <v>0</v>
      </c>
      <c r="E552" s="23">
        <f>'Landscape Trees '!F410</f>
        <v>0</v>
      </c>
      <c r="F552" s="23">
        <f>'Landscape Trees '!G410</f>
        <v>0</v>
      </c>
      <c r="G552" s="23">
        <f>'Landscape Trees '!H410</f>
        <v>0</v>
      </c>
      <c r="H552" s="23">
        <f>'Landscape Trees '!I410</f>
        <v>0</v>
      </c>
    </row>
    <row r="553" spans="1:8" ht="12.75">
      <c r="A553" s="23">
        <f>'Landscape Trees '!A411</f>
        <v>0</v>
      </c>
      <c r="B553" s="23">
        <f>'Landscape Trees '!C411</f>
        <v>0</v>
      </c>
      <c r="C553" s="23">
        <f>'Landscape Trees '!D411</f>
        <v>0</v>
      </c>
      <c r="D553" s="23">
        <f>'Landscape Trees '!E411</f>
        <v>0</v>
      </c>
      <c r="E553" s="23">
        <f>'Landscape Trees '!F411</f>
        <v>0</v>
      </c>
      <c r="F553" s="23">
        <f>'Landscape Trees '!G411</f>
        <v>0</v>
      </c>
      <c r="G553" s="23">
        <f>'Landscape Trees '!H411</f>
        <v>0</v>
      </c>
      <c r="H553" s="23">
        <f>'Landscape Trees '!I411</f>
        <v>0</v>
      </c>
    </row>
    <row r="554" spans="1:8" ht="12.75">
      <c r="A554" s="23">
        <f>'Landscape Trees '!A412</f>
        <v>0</v>
      </c>
      <c r="B554" s="23">
        <f>'Landscape Trees '!C412</f>
        <v>0</v>
      </c>
      <c r="C554" s="23">
        <f>'Landscape Trees '!D412</f>
        <v>0</v>
      </c>
      <c r="D554" s="23">
        <f>'Landscape Trees '!E412</f>
        <v>0</v>
      </c>
      <c r="E554" s="23">
        <f>'Landscape Trees '!F412</f>
        <v>0</v>
      </c>
      <c r="F554" s="23">
        <f>'Landscape Trees '!G412</f>
        <v>0</v>
      </c>
      <c r="G554" s="23">
        <f>'Landscape Trees '!H412</f>
        <v>0</v>
      </c>
      <c r="H554" s="23">
        <f>'Landscape Trees '!I412</f>
        <v>0</v>
      </c>
    </row>
    <row r="555" spans="1:8" ht="12.75">
      <c r="A555" s="23">
        <f>'Landscape Trees '!A413</f>
        <v>0</v>
      </c>
      <c r="B555" s="23">
        <f>'Landscape Trees '!C413</f>
        <v>0</v>
      </c>
      <c r="C555" s="23">
        <f>'Landscape Trees '!D413</f>
        <v>0</v>
      </c>
      <c r="D555" s="23">
        <f>'Landscape Trees '!E413</f>
        <v>0</v>
      </c>
      <c r="E555" s="23">
        <f>'Landscape Trees '!F413</f>
        <v>0</v>
      </c>
      <c r="F555" s="23">
        <f>'Landscape Trees '!G413</f>
        <v>0</v>
      </c>
      <c r="G555" s="23">
        <f>'Landscape Trees '!H413</f>
        <v>0</v>
      </c>
      <c r="H555" s="23">
        <f>'Landscape Trees '!I413</f>
        <v>0</v>
      </c>
    </row>
    <row r="556" spans="1:8" ht="12.75">
      <c r="A556" s="23">
        <f>'Landscape Trees '!A414</f>
        <v>0</v>
      </c>
      <c r="B556" s="23">
        <f>'Landscape Trees '!C414</f>
        <v>0</v>
      </c>
      <c r="C556" s="23">
        <f>'Landscape Trees '!D414</f>
        <v>0</v>
      </c>
      <c r="D556" s="23">
        <f>'Landscape Trees '!E414</f>
        <v>0</v>
      </c>
      <c r="E556" s="23">
        <f>'Landscape Trees '!F414</f>
        <v>0</v>
      </c>
      <c r="F556" s="23">
        <f>'Landscape Trees '!G414</f>
        <v>0</v>
      </c>
      <c r="G556" s="23">
        <f>'Landscape Trees '!H414</f>
        <v>0</v>
      </c>
      <c r="H556" s="23">
        <f>'Landscape Trees '!I414</f>
        <v>0</v>
      </c>
    </row>
    <row r="557" spans="1:8" ht="12.75">
      <c r="A557" s="23">
        <f>'Landscape Trees '!A415</f>
        <v>0</v>
      </c>
      <c r="B557" s="23">
        <f>'Landscape Trees '!C415</f>
        <v>0</v>
      </c>
      <c r="C557" s="23">
        <f>'Landscape Trees '!D415</f>
        <v>0</v>
      </c>
      <c r="D557" s="23">
        <f>'Landscape Trees '!E415</f>
        <v>0</v>
      </c>
      <c r="E557" s="23">
        <f>'Landscape Trees '!F415</f>
        <v>0</v>
      </c>
      <c r="F557" s="23">
        <f>'Landscape Trees '!G415</f>
        <v>0</v>
      </c>
      <c r="G557" s="23">
        <f>'Landscape Trees '!H415</f>
        <v>0</v>
      </c>
      <c r="H557" s="23">
        <f>'Landscape Trees '!I415</f>
        <v>0</v>
      </c>
    </row>
    <row r="558" spans="1:8" ht="12.75">
      <c r="A558" s="23">
        <f>'Landscape Trees '!A416</f>
        <v>0</v>
      </c>
      <c r="B558" s="23">
        <f>'Landscape Trees '!C416</f>
        <v>0</v>
      </c>
      <c r="C558" s="23">
        <f>'Landscape Trees '!D416</f>
        <v>0</v>
      </c>
      <c r="D558" s="23">
        <f>'Landscape Trees '!E416</f>
        <v>0</v>
      </c>
      <c r="E558" s="23">
        <f>'Landscape Trees '!F416</f>
        <v>0</v>
      </c>
      <c r="F558" s="23">
        <f>'Landscape Trees '!G416</f>
        <v>0</v>
      </c>
      <c r="G558" s="23">
        <f>'Landscape Trees '!H416</f>
        <v>0</v>
      </c>
      <c r="H558" s="23">
        <f>'Landscape Trees '!I416</f>
        <v>0</v>
      </c>
    </row>
    <row r="559" spans="1:8" ht="12.75">
      <c r="A559" s="23">
        <f>'Landscape Trees '!A417</f>
        <v>0</v>
      </c>
      <c r="B559" s="23">
        <f>'Landscape Trees '!C417</f>
        <v>0</v>
      </c>
      <c r="C559" s="23">
        <f>'Landscape Trees '!D417</f>
        <v>0</v>
      </c>
      <c r="D559" s="23">
        <f>'Landscape Trees '!E417</f>
        <v>0</v>
      </c>
      <c r="E559" s="23">
        <f>'Landscape Trees '!F417</f>
        <v>0</v>
      </c>
      <c r="F559" s="23">
        <f>'Landscape Trees '!G417</f>
        <v>0</v>
      </c>
      <c r="G559" s="23">
        <f>'Landscape Trees '!H417</f>
        <v>0</v>
      </c>
      <c r="H559" s="23">
        <f>'Landscape Trees '!I417</f>
        <v>0</v>
      </c>
    </row>
    <row r="560" spans="1:8" ht="12.75">
      <c r="A560" s="23">
        <f>'Landscape Trees '!A418</f>
        <v>0</v>
      </c>
      <c r="B560" s="23">
        <f>'Landscape Trees '!C418</f>
        <v>0</v>
      </c>
      <c r="C560" s="23">
        <f>'Landscape Trees '!D418</f>
        <v>0</v>
      </c>
      <c r="D560" s="23">
        <f>'Landscape Trees '!E418</f>
        <v>0</v>
      </c>
      <c r="E560" s="23">
        <f>'Landscape Trees '!F418</f>
        <v>0</v>
      </c>
      <c r="F560" s="23">
        <f>'Landscape Trees '!G418</f>
        <v>0</v>
      </c>
      <c r="G560" s="23">
        <f>'Landscape Trees '!H418</f>
        <v>0</v>
      </c>
      <c r="H560" s="23">
        <f>'Landscape Trees '!I418</f>
        <v>0</v>
      </c>
    </row>
    <row r="561" spans="1:8" ht="12.75">
      <c r="A561" s="23">
        <f>'Landscape Trees '!A419</f>
        <v>0</v>
      </c>
      <c r="B561" s="23">
        <f>'Landscape Trees '!C419</f>
        <v>0</v>
      </c>
      <c r="C561" s="23">
        <f>'Landscape Trees '!D419</f>
        <v>0</v>
      </c>
      <c r="D561" s="23">
        <f>'Landscape Trees '!E419</f>
        <v>0</v>
      </c>
      <c r="E561" s="23">
        <f>'Landscape Trees '!F419</f>
        <v>0</v>
      </c>
      <c r="F561" s="23">
        <f>'Landscape Trees '!G419</f>
        <v>0</v>
      </c>
      <c r="G561" s="23">
        <f>'Landscape Trees '!H419</f>
        <v>0</v>
      </c>
      <c r="H561" s="23">
        <f>'Landscape Trees '!I419</f>
        <v>0</v>
      </c>
    </row>
    <row r="562" spans="1:8" ht="12.75">
      <c r="A562" s="23">
        <f>'Landscape Trees '!A420</f>
        <v>0</v>
      </c>
      <c r="B562" s="23">
        <f>'Landscape Trees '!C420</f>
        <v>0</v>
      </c>
      <c r="C562" s="23">
        <f>'Landscape Trees '!D420</f>
        <v>0</v>
      </c>
      <c r="D562" s="23">
        <f>'Landscape Trees '!E420</f>
        <v>0</v>
      </c>
      <c r="E562" s="23">
        <f>'Landscape Trees '!F420</f>
        <v>0</v>
      </c>
      <c r="F562" s="23">
        <f>'Landscape Trees '!G420</f>
        <v>0</v>
      </c>
      <c r="G562" s="23">
        <f>'Landscape Trees '!H420</f>
        <v>0</v>
      </c>
      <c r="H562" s="23">
        <f>'Landscape Trees '!I420</f>
        <v>0</v>
      </c>
    </row>
    <row r="563" spans="1:8" ht="12.75">
      <c r="A563" s="23">
        <f>'Landscape Trees '!A421</f>
        <v>0</v>
      </c>
      <c r="B563" s="23">
        <f>'Landscape Trees '!C421</f>
        <v>0</v>
      </c>
      <c r="C563" s="23">
        <f>'Landscape Trees '!D421</f>
        <v>0</v>
      </c>
      <c r="D563" s="23">
        <f>'Landscape Trees '!E421</f>
        <v>0</v>
      </c>
      <c r="E563" s="23">
        <f>'Landscape Trees '!F421</f>
        <v>0</v>
      </c>
      <c r="F563" s="23">
        <f>'Landscape Trees '!G421</f>
        <v>0</v>
      </c>
      <c r="G563" s="23">
        <f>'Landscape Trees '!H421</f>
        <v>0</v>
      </c>
      <c r="H563" s="23">
        <f>'Landscape Trees '!I421</f>
        <v>0</v>
      </c>
    </row>
    <row r="564" spans="1:8" ht="12.75">
      <c r="A564" s="23">
        <f>'Landscape Trees '!A422</f>
        <v>0</v>
      </c>
      <c r="B564" s="23">
        <f>'Landscape Trees '!C422</f>
        <v>0</v>
      </c>
      <c r="C564" s="23">
        <f>'Landscape Trees '!D422</f>
        <v>0</v>
      </c>
      <c r="D564" s="23">
        <f>'Landscape Trees '!E422</f>
        <v>0</v>
      </c>
      <c r="E564" s="23">
        <f>'Landscape Trees '!F422</f>
        <v>0</v>
      </c>
      <c r="F564" s="23">
        <f>'Landscape Trees '!G422</f>
        <v>0</v>
      </c>
      <c r="G564" s="23">
        <f>'Landscape Trees '!H422</f>
        <v>0</v>
      </c>
      <c r="H564" s="23">
        <f>'Landscape Trees '!I422</f>
        <v>0</v>
      </c>
    </row>
    <row r="565" spans="1:8" ht="12.75">
      <c r="A565" s="23">
        <f>'Landscape Trees '!A423</f>
        <v>0</v>
      </c>
      <c r="B565" s="23">
        <f>'Landscape Trees '!C423</f>
        <v>0</v>
      </c>
      <c r="C565" s="23">
        <f>'Landscape Trees '!D423</f>
        <v>0</v>
      </c>
      <c r="D565" s="23">
        <f>'Landscape Trees '!E423</f>
        <v>0</v>
      </c>
      <c r="E565" s="23">
        <f>'Landscape Trees '!F423</f>
        <v>0</v>
      </c>
      <c r="F565" s="23">
        <f>'Landscape Trees '!G423</f>
        <v>0</v>
      </c>
      <c r="G565" s="23">
        <f>'Landscape Trees '!H423</f>
        <v>0</v>
      </c>
      <c r="H565" s="23">
        <f>'Landscape Trees '!I423</f>
        <v>0</v>
      </c>
    </row>
    <row r="566" spans="1:8" ht="12.75">
      <c r="A566" s="23">
        <f>'Landscape Trees '!A424</f>
        <v>0</v>
      </c>
      <c r="B566" s="23">
        <f>'Landscape Trees '!C424</f>
        <v>0</v>
      </c>
      <c r="C566" s="23">
        <f>'Landscape Trees '!D424</f>
        <v>0</v>
      </c>
      <c r="D566" s="23">
        <f>'Landscape Trees '!E424</f>
        <v>0</v>
      </c>
      <c r="E566" s="23">
        <f>'Landscape Trees '!F424</f>
        <v>0</v>
      </c>
      <c r="F566" s="23">
        <f>'Landscape Trees '!G424</f>
        <v>0</v>
      </c>
      <c r="G566" s="23">
        <f>'Landscape Trees '!H424</f>
        <v>0</v>
      </c>
      <c r="H566" s="23">
        <f>'Landscape Trees '!I424</f>
        <v>0</v>
      </c>
    </row>
    <row r="567" spans="1:8" ht="12.75">
      <c r="A567" s="23">
        <f>'Landscape Trees '!A425</f>
        <v>0</v>
      </c>
      <c r="B567" s="23">
        <f>'Landscape Trees '!C425</f>
        <v>0</v>
      </c>
      <c r="C567" s="23">
        <f>'Landscape Trees '!D425</f>
        <v>0</v>
      </c>
      <c r="D567" s="23">
        <f>'Landscape Trees '!E425</f>
        <v>0</v>
      </c>
      <c r="E567" s="23">
        <f>'Landscape Trees '!F425</f>
        <v>0</v>
      </c>
      <c r="F567" s="23">
        <f>'Landscape Trees '!G425</f>
        <v>0</v>
      </c>
      <c r="G567" s="23">
        <f>'Landscape Trees '!H425</f>
        <v>0</v>
      </c>
      <c r="H567" s="23">
        <f>'Landscape Trees '!I425</f>
        <v>0</v>
      </c>
    </row>
    <row r="568" spans="1:8" ht="12.75">
      <c r="A568" s="23">
        <f>'Landscape Trees '!A426</f>
        <v>0</v>
      </c>
      <c r="B568" s="23">
        <f>'Landscape Trees '!C426</f>
        <v>0</v>
      </c>
      <c r="C568" s="23">
        <f>'Landscape Trees '!D426</f>
        <v>0</v>
      </c>
      <c r="D568" s="23">
        <f>'Landscape Trees '!E426</f>
        <v>0</v>
      </c>
      <c r="E568" s="23">
        <f>'Landscape Trees '!F426</f>
        <v>0</v>
      </c>
      <c r="F568" s="23">
        <f>'Landscape Trees '!G426</f>
        <v>0</v>
      </c>
      <c r="G568" s="23">
        <f>'Landscape Trees '!H426</f>
        <v>0</v>
      </c>
      <c r="H568" s="23">
        <f>'Landscape Trees '!I426</f>
        <v>0</v>
      </c>
    </row>
    <row r="569" spans="1:8" ht="12.75">
      <c r="A569" s="23">
        <f>'Landscape Trees '!A427</f>
        <v>0</v>
      </c>
      <c r="B569" s="23">
        <f>'Landscape Trees '!C427</f>
        <v>0</v>
      </c>
      <c r="C569" s="23">
        <f>'Landscape Trees '!D427</f>
        <v>0</v>
      </c>
      <c r="D569" s="23">
        <f>'Landscape Trees '!E427</f>
        <v>0</v>
      </c>
      <c r="E569" s="23">
        <f>'Landscape Trees '!F427</f>
        <v>0</v>
      </c>
      <c r="F569" s="23">
        <f>'Landscape Trees '!G427</f>
        <v>0</v>
      </c>
      <c r="G569" s="23">
        <f>'Landscape Trees '!H427</f>
        <v>0</v>
      </c>
      <c r="H569" s="23">
        <f>'Landscape Trees '!I427</f>
        <v>0</v>
      </c>
    </row>
    <row r="570" spans="1:8" ht="12.75">
      <c r="A570" s="23">
        <f>'Landscape Trees '!A428</f>
        <v>0</v>
      </c>
      <c r="B570" s="23">
        <f>'Landscape Trees '!C428</f>
        <v>0</v>
      </c>
      <c r="C570" s="23">
        <f>'Landscape Trees '!D428</f>
        <v>0</v>
      </c>
      <c r="D570" s="23">
        <f>'Landscape Trees '!E428</f>
        <v>0</v>
      </c>
      <c r="E570" s="23">
        <f>'Landscape Trees '!F428</f>
        <v>0</v>
      </c>
      <c r="F570" s="23">
        <f>'Landscape Trees '!G428</f>
        <v>0</v>
      </c>
      <c r="G570" s="23">
        <f>'Landscape Trees '!H428</f>
        <v>0</v>
      </c>
      <c r="H570" s="23">
        <f>'Landscape Trees '!I428</f>
        <v>0</v>
      </c>
    </row>
    <row r="571" spans="1:8" ht="12.75">
      <c r="A571" s="23">
        <f>'Landscape Trees '!A429</f>
        <v>0</v>
      </c>
      <c r="B571" s="23">
        <f>'Landscape Trees '!C429</f>
        <v>0</v>
      </c>
      <c r="C571" s="23">
        <f>'Landscape Trees '!D429</f>
        <v>0</v>
      </c>
      <c r="D571" s="23">
        <f>'Landscape Trees '!E429</f>
        <v>0</v>
      </c>
      <c r="E571" s="23">
        <f>'Landscape Trees '!F429</f>
        <v>0</v>
      </c>
      <c r="F571" s="23">
        <f>'Landscape Trees '!G429</f>
        <v>0</v>
      </c>
      <c r="G571" s="23">
        <f>'Landscape Trees '!H429</f>
        <v>0</v>
      </c>
      <c r="H571" s="23">
        <f>'Landscape Trees '!I429</f>
        <v>0</v>
      </c>
    </row>
    <row r="572" spans="1:8" ht="12.75">
      <c r="A572" s="23">
        <f>'Landscape Trees '!A430</f>
        <v>0</v>
      </c>
      <c r="B572" s="23">
        <f>'Landscape Trees '!C430</f>
        <v>0</v>
      </c>
      <c r="C572" s="23">
        <f>'Landscape Trees '!D430</f>
        <v>0</v>
      </c>
      <c r="D572" s="23">
        <f>'Landscape Trees '!E430</f>
        <v>0</v>
      </c>
      <c r="E572" s="23">
        <f>'Landscape Trees '!F430</f>
        <v>0</v>
      </c>
      <c r="F572" s="23">
        <f>'Landscape Trees '!G430</f>
        <v>0</v>
      </c>
      <c r="G572" s="23">
        <f>'Landscape Trees '!H430</f>
        <v>0</v>
      </c>
      <c r="H572" s="23">
        <f>'Landscape Trees '!I430</f>
        <v>0</v>
      </c>
    </row>
    <row r="573" spans="1:8" ht="12.75">
      <c r="A573" s="23">
        <f>'Landscape Trees '!A431</f>
        <v>0</v>
      </c>
      <c r="B573" s="23">
        <f>'Landscape Trees '!C431</f>
        <v>0</v>
      </c>
      <c r="C573" s="23">
        <f>'Landscape Trees '!D431</f>
        <v>0</v>
      </c>
      <c r="D573" s="23">
        <f>'Landscape Trees '!E431</f>
        <v>0</v>
      </c>
      <c r="E573" s="23">
        <f>'Landscape Trees '!F431</f>
        <v>0</v>
      </c>
      <c r="F573" s="23">
        <f>'Landscape Trees '!G431</f>
        <v>0</v>
      </c>
      <c r="G573" s="23">
        <f>'Landscape Trees '!H431</f>
        <v>0</v>
      </c>
      <c r="H573" s="23">
        <f>'Landscape Trees '!I431</f>
        <v>0</v>
      </c>
    </row>
    <row r="574" spans="1:8" ht="12.75">
      <c r="A574" s="23">
        <f>'Landscape Trees '!A432</f>
        <v>0</v>
      </c>
      <c r="B574" s="23">
        <f>'Landscape Trees '!C432</f>
        <v>0</v>
      </c>
      <c r="C574" s="23">
        <f>'Landscape Trees '!D432</f>
        <v>0</v>
      </c>
      <c r="D574" s="23">
        <f>'Landscape Trees '!E432</f>
        <v>0</v>
      </c>
      <c r="E574" s="23">
        <f>'Landscape Trees '!F432</f>
        <v>0</v>
      </c>
      <c r="F574" s="23">
        <f>'Landscape Trees '!G432</f>
        <v>0</v>
      </c>
      <c r="G574" s="23">
        <f>'Landscape Trees '!H432</f>
        <v>0</v>
      </c>
      <c r="H574" s="23">
        <f>'Landscape Trees '!I432</f>
        <v>0</v>
      </c>
    </row>
    <row r="575" spans="1:8" ht="12.75">
      <c r="A575" s="23">
        <f>'Landscape Trees '!A433</f>
        <v>0</v>
      </c>
      <c r="B575" s="23">
        <f>'Landscape Trees '!C433</f>
        <v>0</v>
      </c>
      <c r="C575" s="23">
        <f>'Landscape Trees '!D433</f>
        <v>0</v>
      </c>
      <c r="D575" s="23">
        <f>'Landscape Trees '!E433</f>
        <v>0</v>
      </c>
      <c r="E575" s="23">
        <f>'Landscape Trees '!F433</f>
        <v>0</v>
      </c>
      <c r="F575" s="23">
        <f>'Landscape Trees '!G433</f>
        <v>0</v>
      </c>
      <c r="G575" s="23">
        <f>'Landscape Trees '!H433</f>
        <v>0</v>
      </c>
      <c r="H575" s="23">
        <f>'Landscape Trees '!I433</f>
        <v>0</v>
      </c>
    </row>
    <row r="576" spans="1:8" ht="12.75">
      <c r="A576" s="23">
        <f>'Landscape Trees '!A434</f>
        <v>0</v>
      </c>
      <c r="B576" s="23">
        <f>'Landscape Trees '!C434</f>
        <v>0</v>
      </c>
      <c r="C576" s="23">
        <f>'Landscape Trees '!D434</f>
        <v>0</v>
      </c>
      <c r="D576" s="23">
        <f>'Landscape Trees '!E434</f>
        <v>0</v>
      </c>
      <c r="E576" s="23">
        <f>'Landscape Trees '!F434</f>
        <v>0</v>
      </c>
      <c r="F576" s="23">
        <f>'Landscape Trees '!G434</f>
        <v>0</v>
      </c>
      <c r="G576" s="23">
        <f>'Landscape Trees '!H434</f>
        <v>0</v>
      </c>
      <c r="H576" s="23">
        <f>'Landscape Trees '!I434</f>
        <v>0</v>
      </c>
    </row>
    <row r="577" spans="1:8" ht="12.75">
      <c r="A577" s="23">
        <f>'Landscape Trees '!A435</f>
        <v>0</v>
      </c>
      <c r="B577" s="23">
        <f>'Landscape Trees '!C435</f>
        <v>0</v>
      </c>
      <c r="C577" s="23">
        <f>'Landscape Trees '!D435</f>
        <v>0</v>
      </c>
      <c r="D577" s="23">
        <f>'Landscape Trees '!E435</f>
        <v>0</v>
      </c>
      <c r="E577" s="23">
        <f>'Landscape Trees '!F435</f>
        <v>0</v>
      </c>
      <c r="F577" s="23">
        <f>'Landscape Trees '!G435</f>
        <v>0</v>
      </c>
      <c r="G577" s="23">
        <f>'Landscape Trees '!H435</f>
        <v>0</v>
      </c>
      <c r="H577" s="23">
        <f>'Landscape Trees '!I435</f>
        <v>0</v>
      </c>
    </row>
    <row r="578" spans="1:8" ht="12.75">
      <c r="A578" s="23">
        <f>'Landscape Trees '!A436</f>
        <v>0</v>
      </c>
      <c r="B578" s="23">
        <f>'Landscape Trees '!C436</f>
        <v>0</v>
      </c>
      <c r="C578" s="23">
        <f>'Landscape Trees '!D436</f>
        <v>0</v>
      </c>
      <c r="D578" s="23">
        <f>'Landscape Trees '!E436</f>
        <v>0</v>
      </c>
      <c r="E578" s="23">
        <f>'Landscape Trees '!F436</f>
        <v>0</v>
      </c>
      <c r="F578" s="23">
        <f>'Landscape Trees '!G436</f>
        <v>0</v>
      </c>
      <c r="G578" s="23">
        <f>'Landscape Trees '!H436</f>
        <v>0</v>
      </c>
      <c r="H578" s="23">
        <f>'Landscape Trees '!I436</f>
        <v>0</v>
      </c>
    </row>
    <row r="579" spans="1:8" ht="12.75">
      <c r="A579" s="23">
        <f>'Landscape Trees '!A437</f>
        <v>0</v>
      </c>
      <c r="B579" s="23">
        <f>'Landscape Trees '!C437</f>
        <v>0</v>
      </c>
      <c r="C579" s="23">
        <f>'Landscape Trees '!D437</f>
        <v>0</v>
      </c>
      <c r="D579" s="23">
        <f>'Landscape Trees '!E437</f>
        <v>0</v>
      </c>
      <c r="E579" s="23">
        <f>'Landscape Trees '!F437</f>
        <v>0</v>
      </c>
      <c r="F579" s="23">
        <f>'Landscape Trees '!G437</f>
        <v>0</v>
      </c>
      <c r="G579" s="23">
        <f>'Landscape Trees '!H437</f>
        <v>0</v>
      </c>
      <c r="H579" s="23">
        <f>'Landscape Trees '!I437</f>
        <v>0</v>
      </c>
    </row>
    <row r="580" spans="1:8" ht="12.75">
      <c r="A580" s="23">
        <f>'Landscape Trees '!A438</f>
        <v>0</v>
      </c>
      <c r="B580" s="23">
        <f>'Landscape Trees '!C438</f>
        <v>0</v>
      </c>
      <c r="C580" s="23">
        <f>'Landscape Trees '!D438</f>
        <v>0</v>
      </c>
      <c r="D580" s="23">
        <f>'Landscape Trees '!E438</f>
        <v>0</v>
      </c>
      <c r="E580" s="23">
        <f>'Landscape Trees '!F438</f>
        <v>0</v>
      </c>
      <c r="F580" s="23">
        <f>'Landscape Trees '!G438</f>
        <v>0</v>
      </c>
      <c r="G580" s="23">
        <f>'Landscape Trees '!H438</f>
        <v>0</v>
      </c>
      <c r="H580" s="23">
        <f>'Landscape Trees '!I438</f>
        <v>0</v>
      </c>
    </row>
    <row r="581" spans="1:8" ht="12.75">
      <c r="A581" s="23">
        <f>'Landscape Trees '!A439</f>
        <v>0</v>
      </c>
      <c r="B581" s="23">
        <f>'Landscape Trees '!C439</f>
        <v>0</v>
      </c>
      <c r="C581" s="23">
        <f>'Landscape Trees '!D439</f>
        <v>0</v>
      </c>
      <c r="D581" s="23">
        <f>'Landscape Trees '!E439</f>
        <v>0</v>
      </c>
      <c r="E581" s="23">
        <f>'Landscape Trees '!F439</f>
        <v>0</v>
      </c>
      <c r="F581" s="23">
        <f>'Landscape Trees '!G439</f>
        <v>0</v>
      </c>
      <c r="G581" s="23">
        <f>'Landscape Trees '!H439</f>
        <v>0</v>
      </c>
      <c r="H581" s="23">
        <f>'Landscape Trees '!I439</f>
        <v>0</v>
      </c>
    </row>
    <row r="582" spans="1:8" ht="12.75">
      <c r="A582" s="23">
        <f>'Landscape Trees '!A440</f>
        <v>0</v>
      </c>
      <c r="B582" s="23">
        <f>'Landscape Trees '!C440</f>
        <v>0</v>
      </c>
      <c r="C582" s="23">
        <f>'Landscape Trees '!D440</f>
        <v>0</v>
      </c>
      <c r="D582" s="23">
        <f>'Landscape Trees '!E440</f>
        <v>0</v>
      </c>
      <c r="E582" s="23">
        <f>'Landscape Trees '!F440</f>
        <v>0</v>
      </c>
      <c r="F582" s="23">
        <f>'Landscape Trees '!G440</f>
        <v>0</v>
      </c>
      <c r="G582" s="23">
        <f>'Landscape Trees '!H440</f>
        <v>0</v>
      </c>
      <c r="H582" s="23">
        <f>'Landscape Trees '!I440</f>
        <v>0</v>
      </c>
    </row>
    <row r="583" spans="1:8" ht="12.75">
      <c r="A583" s="23">
        <f>'Landscape Trees '!A441</f>
        <v>0</v>
      </c>
      <c r="B583" s="23">
        <f>'Landscape Trees '!C441</f>
        <v>0</v>
      </c>
      <c r="C583" s="23">
        <f>'Landscape Trees '!D441</f>
        <v>0</v>
      </c>
      <c r="D583" s="23">
        <f>'Landscape Trees '!E441</f>
        <v>0</v>
      </c>
      <c r="E583" s="23">
        <f>'Landscape Trees '!F441</f>
        <v>0</v>
      </c>
      <c r="F583" s="23">
        <f>'Landscape Trees '!G441</f>
        <v>0</v>
      </c>
      <c r="G583" s="23">
        <f>'Landscape Trees '!H441</f>
        <v>0</v>
      </c>
      <c r="H583" s="23">
        <f>'Landscape Trees '!I441</f>
        <v>0</v>
      </c>
    </row>
    <row r="584" spans="1:8" ht="12.75">
      <c r="A584" s="23">
        <f>'Landscape Trees '!A442</f>
        <v>0</v>
      </c>
      <c r="B584" s="23">
        <f>'Landscape Trees '!C442</f>
        <v>0</v>
      </c>
      <c r="C584" s="23">
        <f>'Landscape Trees '!D442</f>
        <v>0</v>
      </c>
      <c r="D584" s="23">
        <f>'Landscape Trees '!E442</f>
        <v>0</v>
      </c>
      <c r="E584" s="23">
        <f>'Landscape Trees '!F442</f>
        <v>0</v>
      </c>
      <c r="F584" s="23">
        <f>'Landscape Trees '!G442</f>
        <v>0</v>
      </c>
      <c r="G584" s="23">
        <f>'Landscape Trees '!H442</f>
        <v>0</v>
      </c>
      <c r="H584" s="23">
        <f>'Landscape Trees '!I442</f>
        <v>0</v>
      </c>
    </row>
    <row r="585" spans="1:8" ht="12.75">
      <c r="A585" s="23">
        <f>'Landscape Trees '!A443</f>
        <v>0</v>
      </c>
      <c r="B585" s="23">
        <f>'Landscape Trees '!C443</f>
        <v>0</v>
      </c>
      <c r="C585" s="23">
        <f>'Landscape Trees '!D443</f>
        <v>0</v>
      </c>
      <c r="D585" s="23">
        <f>'Landscape Trees '!E443</f>
        <v>0</v>
      </c>
      <c r="E585" s="23">
        <f>'Landscape Trees '!F443</f>
        <v>0</v>
      </c>
      <c r="F585" s="23">
        <f>'Landscape Trees '!G443</f>
        <v>0</v>
      </c>
      <c r="G585" s="23">
        <f>'Landscape Trees '!H443</f>
        <v>0</v>
      </c>
      <c r="H585" s="23">
        <f>'Landscape Trees '!I443</f>
        <v>0</v>
      </c>
    </row>
    <row r="586" spans="1:8" ht="12.75">
      <c r="A586" s="23">
        <f>'Landscape Trees '!A444</f>
        <v>0</v>
      </c>
      <c r="B586" s="23">
        <f>'Landscape Trees '!C444</f>
        <v>0</v>
      </c>
      <c r="C586" s="23">
        <f>'Landscape Trees '!D444</f>
        <v>0</v>
      </c>
      <c r="D586" s="23">
        <f>'Landscape Trees '!E444</f>
        <v>0</v>
      </c>
      <c r="E586" s="23">
        <f>'Landscape Trees '!F444</f>
        <v>0</v>
      </c>
      <c r="F586" s="23">
        <f>'Landscape Trees '!G444</f>
        <v>0</v>
      </c>
      <c r="G586" s="23">
        <f>'Landscape Trees '!H444</f>
        <v>0</v>
      </c>
      <c r="H586" s="23">
        <f>'Landscape Trees '!I444</f>
        <v>0</v>
      </c>
    </row>
    <row r="587" spans="1:8" ht="12.75">
      <c r="A587" s="23">
        <f>'Landscape Trees '!A445</f>
        <v>0</v>
      </c>
      <c r="B587" s="23">
        <f>'Landscape Trees '!C445</f>
        <v>0</v>
      </c>
      <c r="C587" s="23">
        <f>'Landscape Trees '!D445</f>
        <v>0</v>
      </c>
      <c r="D587" s="23">
        <f>'Landscape Trees '!E445</f>
        <v>0</v>
      </c>
      <c r="E587" s="23">
        <f>'Landscape Trees '!F445</f>
        <v>0</v>
      </c>
      <c r="F587" s="23">
        <f>'Landscape Trees '!G445</f>
        <v>0</v>
      </c>
      <c r="G587" s="23">
        <f>'Landscape Trees '!H445</f>
        <v>0</v>
      </c>
      <c r="H587" s="23">
        <f>'Landscape Trees '!I445</f>
        <v>0</v>
      </c>
    </row>
    <row r="588" spans="1:8" ht="12.75">
      <c r="A588" s="23">
        <f>'Landscape Trees '!A446</f>
        <v>0</v>
      </c>
      <c r="B588" s="23">
        <f>'Landscape Trees '!C446</f>
        <v>0</v>
      </c>
      <c r="C588" s="23">
        <f>'Landscape Trees '!D446</f>
        <v>0</v>
      </c>
      <c r="D588" s="23">
        <f>'Landscape Trees '!E446</f>
        <v>0</v>
      </c>
      <c r="E588" s="23">
        <f>'Landscape Trees '!F446</f>
        <v>0</v>
      </c>
      <c r="F588" s="23">
        <f>'Landscape Trees '!G446</f>
        <v>0</v>
      </c>
      <c r="G588" s="23">
        <f>'Landscape Trees '!H446</f>
        <v>0</v>
      </c>
      <c r="H588" s="23">
        <f>'Landscape Trees '!I446</f>
        <v>0</v>
      </c>
    </row>
    <row r="589" spans="1:8" ht="12.75">
      <c r="A589" s="23">
        <f>'Landscape Trees '!A447</f>
        <v>0</v>
      </c>
      <c r="B589" s="23">
        <f>'Landscape Trees '!C447</f>
        <v>0</v>
      </c>
      <c r="C589" s="23">
        <f>'Landscape Trees '!D447</f>
        <v>0</v>
      </c>
      <c r="D589" s="23">
        <f>'Landscape Trees '!E447</f>
        <v>0</v>
      </c>
      <c r="E589" s="23">
        <f>'Landscape Trees '!F447</f>
        <v>0</v>
      </c>
      <c r="F589" s="23">
        <f>'Landscape Trees '!G447</f>
        <v>0</v>
      </c>
      <c r="G589" s="23">
        <f>'Landscape Trees '!H447</f>
        <v>0</v>
      </c>
      <c r="H589" s="23">
        <f>'Landscape Trees '!I447</f>
        <v>0</v>
      </c>
    </row>
    <row r="590" spans="1:8" ht="12.75">
      <c r="A590" s="23">
        <f>'Landscape Trees '!A448</f>
        <v>0</v>
      </c>
      <c r="B590" s="23">
        <f>'Landscape Trees '!C448</f>
        <v>0</v>
      </c>
      <c r="C590" s="23">
        <f>'Landscape Trees '!D448</f>
        <v>0</v>
      </c>
      <c r="D590" s="23">
        <f>'Landscape Trees '!E448</f>
        <v>0</v>
      </c>
      <c r="E590" s="23">
        <f>'Landscape Trees '!F448</f>
        <v>0</v>
      </c>
      <c r="F590" s="23">
        <f>'Landscape Trees '!G448</f>
        <v>0</v>
      </c>
      <c r="G590" s="23">
        <f>'Landscape Trees '!H448</f>
        <v>0</v>
      </c>
      <c r="H590" s="23">
        <f>'Landscape Trees '!I448</f>
        <v>0</v>
      </c>
    </row>
    <row r="591" spans="1:8" ht="12.75">
      <c r="A591" s="23">
        <f>'Landscape Trees '!A449</f>
        <v>0</v>
      </c>
      <c r="B591" s="23">
        <f>'Landscape Trees '!C449</f>
        <v>0</v>
      </c>
      <c r="C591" s="23">
        <f>'Landscape Trees '!D449</f>
        <v>0</v>
      </c>
      <c r="D591" s="23">
        <f>'Landscape Trees '!E449</f>
        <v>0</v>
      </c>
      <c r="E591" s="23">
        <f>'Landscape Trees '!F449</f>
        <v>0</v>
      </c>
      <c r="F591" s="23">
        <f>'Landscape Trees '!G449</f>
        <v>0</v>
      </c>
      <c r="G591" s="23">
        <f>'Landscape Trees '!H449</f>
        <v>0</v>
      </c>
      <c r="H591" s="23">
        <f>'Landscape Trees '!I449</f>
        <v>0</v>
      </c>
    </row>
    <row r="592" spans="1:8" ht="12.75">
      <c r="A592" s="23">
        <f>'Landscape Trees '!A450</f>
        <v>0</v>
      </c>
      <c r="B592" s="23">
        <f>'Landscape Trees '!C450</f>
        <v>0</v>
      </c>
      <c r="C592" s="23">
        <f>'Landscape Trees '!D450</f>
        <v>0</v>
      </c>
      <c r="D592" s="23">
        <f>'Landscape Trees '!E450</f>
        <v>0</v>
      </c>
      <c r="E592" s="23">
        <f>'Landscape Trees '!F450</f>
        <v>0</v>
      </c>
      <c r="F592" s="23">
        <f>'Landscape Trees '!G450</f>
        <v>0</v>
      </c>
      <c r="G592" s="23">
        <f>'Landscape Trees '!H450</f>
        <v>0</v>
      </c>
      <c r="H592" s="23">
        <f>'Landscape Trees '!I450</f>
        <v>0</v>
      </c>
    </row>
    <row r="593" spans="1:8" ht="12.75">
      <c r="A593" s="23">
        <f>'Landscape Trees '!A451</f>
        <v>0</v>
      </c>
      <c r="B593" s="23">
        <f>'Landscape Trees '!C451</f>
        <v>0</v>
      </c>
      <c r="C593" s="23">
        <f>'Landscape Trees '!D451</f>
        <v>0</v>
      </c>
      <c r="D593" s="23">
        <f>'Landscape Trees '!E451</f>
        <v>0</v>
      </c>
      <c r="E593" s="23">
        <f>'Landscape Trees '!F451</f>
        <v>0</v>
      </c>
      <c r="F593" s="23">
        <f>'Landscape Trees '!G451</f>
        <v>0</v>
      </c>
      <c r="G593" s="23">
        <f>'Landscape Trees '!H451</f>
        <v>0</v>
      </c>
      <c r="H593" s="23">
        <f>'Landscape Trees '!I451</f>
        <v>0</v>
      </c>
    </row>
    <row r="594" spans="1:8" ht="12.75">
      <c r="A594" s="23">
        <f>'Landscape Trees '!A452</f>
        <v>0</v>
      </c>
      <c r="B594" s="23">
        <f>'Landscape Trees '!C452</f>
        <v>0</v>
      </c>
      <c r="C594" s="23">
        <f>'Landscape Trees '!D452</f>
        <v>0</v>
      </c>
      <c r="D594" s="23">
        <f>'Landscape Trees '!E452</f>
        <v>0</v>
      </c>
      <c r="E594" s="23">
        <f>'Landscape Trees '!F452</f>
        <v>0</v>
      </c>
      <c r="F594" s="23">
        <f>'Landscape Trees '!G452</f>
        <v>0</v>
      </c>
      <c r="G594" s="23">
        <f>'Landscape Trees '!H452</f>
        <v>0</v>
      </c>
      <c r="H594" s="23">
        <f>'Landscape Trees '!I452</f>
        <v>0</v>
      </c>
    </row>
    <row r="595" spans="1:8" ht="12.75">
      <c r="A595" s="23">
        <f>'Landscape Trees '!A453</f>
        <v>0</v>
      </c>
      <c r="B595" s="23">
        <f>'Landscape Trees '!C453</f>
        <v>0</v>
      </c>
      <c r="C595" s="23">
        <f>'Landscape Trees '!D453</f>
        <v>0</v>
      </c>
      <c r="D595" s="23">
        <f>'Landscape Trees '!E453</f>
        <v>0</v>
      </c>
      <c r="E595" s="23">
        <f>'Landscape Trees '!F453</f>
        <v>0</v>
      </c>
      <c r="F595" s="23">
        <f>'Landscape Trees '!G453</f>
        <v>0</v>
      </c>
      <c r="G595" s="23">
        <f>'Landscape Trees '!H453</f>
        <v>0</v>
      </c>
      <c r="H595" s="23">
        <f>'Landscape Trees '!I453</f>
        <v>0</v>
      </c>
    </row>
    <row r="596" spans="1:8" ht="12.75">
      <c r="A596" s="23">
        <f>'Landscape Trees '!A454</f>
        <v>0</v>
      </c>
      <c r="B596" s="23">
        <f>'Landscape Trees '!C454</f>
        <v>0</v>
      </c>
      <c r="C596" s="23">
        <f>'Landscape Trees '!D454</f>
        <v>0</v>
      </c>
      <c r="D596" s="23">
        <f>'Landscape Trees '!E454</f>
        <v>0</v>
      </c>
      <c r="E596" s="23">
        <f>'Landscape Trees '!F454</f>
        <v>0</v>
      </c>
      <c r="F596" s="23">
        <f>'Landscape Trees '!G454</f>
        <v>0</v>
      </c>
      <c r="G596" s="23">
        <f>'Landscape Trees '!H454</f>
        <v>0</v>
      </c>
      <c r="H596" s="23">
        <f>'Landscape Trees '!I454</f>
        <v>0</v>
      </c>
    </row>
    <row r="597" spans="1:8" ht="12.75">
      <c r="A597" s="23">
        <f>'Landscape Trees '!A455</f>
        <v>0</v>
      </c>
      <c r="B597" s="23">
        <f>'Landscape Trees '!C455</f>
        <v>0</v>
      </c>
      <c r="C597" s="23">
        <f>'Landscape Trees '!D455</f>
        <v>0</v>
      </c>
      <c r="D597" s="23">
        <f>'Landscape Trees '!E455</f>
        <v>0</v>
      </c>
      <c r="E597" s="23">
        <f>'Landscape Trees '!F455</f>
        <v>0</v>
      </c>
      <c r="F597" s="23">
        <f>'Landscape Trees '!G455</f>
        <v>0</v>
      </c>
      <c r="G597" s="23">
        <f>'Landscape Trees '!H455</f>
        <v>0</v>
      </c>
      <c r="H597" s="23">
        <f>'Landscape Trees '!I455</f>
        <v>0</v>
      </c>
    </row>
    <row r="598" spans="1:8" ht="12.75">
      <c r="A598" s="23">
        <f>'Landscape Trees '!A456</f>
        <v>0</v>
      </c>
      <c r="B598" s="23">
        <f>'Landscape Trees '!C456</f>
        <v>0</v>
      </c>
      <c r="C598" s="23">
        <f>'Landscape Trees '!D456</f>
        <v>0</v>
      </c>
      <c r="D598" s="23">
        <f>'Landscape Trees '!E456</f>
        <v>0</v>
      </c>
      <c r="E598" s="23">
        <f>'Landscape Trees '!F456</f>
        <v>0</v>
      </c>
      <c r="F598" s="23">
        <f>'Landscape Trees '!G456</f>
        <v>0</v>
      </c>
      <c r="G598" s="23">
        <f>'Landscape Trees '!H456</f>
        <v>0</v>
      </c>
      <c r="H598" s="23">
        <f>'Landscape Trees '!I456</f>
        <v>0</v>
      </c>
    </row>
    <row r="599" spans="1:8" ht="12.75">
      <c r="A599" s="23">
        <f>'Landscape Trees '!A457</f>
        <v>0</v>
      </c>
      <c r="B599" s="23">
        <f>'Landscape Trees '!C457</f>
        <v>0</v>
      </c>
      <c r="C599" s="23">
        <f>'Landscape Trees '!D457</f>
        <v>0</v>
      </c>
      <c r="D599" s="23">
        <f>'Landscape Trees '!E457</f>
        <v>0</v>
      </c>
      <c r="E599" s="23">
        <f>'Landscape Trees '!F457</f>
        <v>0</v>
      </c>
      <c r="F599" s="23">
        <f>'Landscape Trees '!G457</f>
        <v>0</v>
      </c>
      <c r="G599" s="23">
        <f>'Landscape Trees '!H457</f>
        <v>0</v>
      </c>
      <c r="H599" s="23">
        <f>'Landscape Trees '!I457</f>
        <v>0</v>
      </c>
    </row>
    <row r="600" spans="1:8" ht="12.75">
      <c r="A600" s="23">
        <f>'Landscape Trees '!A458</f>
        <v>0</v>
      </c>
      <c r="B600" s="23">
        <f>'Landscape Trees '!C458</f>
        <v>0</v>
      </c>
      <c r="C600" s="23">
        <f>'Landscape Trees '!D458</f>
        <v>0</v>
      </c>
      <c r="D600" s="23">
        <f>'Landscape Trees '!E458</f>
        <v>0</v>
      </c>
      <c r="E600" s="23">
        <f>'Landscape Trees '!F458</f>
        <v>0</v>
      </c>
      <c r="F600" s="23">
        <f>'Landscape Trees '!G458</f>
        <v>0</v>
      </c>
      <c r="G600" s="23">
        <f>'Landscape Trees '!H458</f>
        <v>0</v>
      </c>
      <c r="H600" s="23">
        <f>'Landscape Trees '!I458</f>
        <v>0</v>
      </c>
    </row>
    <row r="601" spans="1:8" ht="12.75">
      <c r="A601" s="23">
        <f>'Landscape Trees '!A459</f>
        <v>0</v>
      </c>
      <c r="B601" s="23">
        <f>'Landscape Trees '!C459</f>
        <v>0</v>
      </c>
      <c r="C601" s="23">
        <f>'Landscape Trees '!D459</f>
        <v>0</v>
      </c>
      <c r="D601" s="23">
        <f>'Landscape Trees '!E459</f>
        <v>0</v>
      </c>
      <c r="E601" s="23">
        <f>'Landscape Trees '!F459</f>
        <v>0</v>
      </c>
      <c r="F601" s="23">
        <f>'Landscape Trees '!G459</f>
        <v>0</v>
      </c>
      <c r="G601" s="23">
        <f>'Landscape Trees '!H459</f>
        <v>0</v>
      </c>
      <c r="H601" s="23">
        <f>'Landscape Trees '!I459</f>
        <v>0</v>
      </c>
    </row>
    <row r="602" spans="1:8" ht="12.75">
      <c r="A602" s="23">
        <f>'Landscape Trees '!A460</f>
        <v>0</v>
      </c>
      <c r="B602" s="23">
        <f>'Landscape Trees '!C460</f>
        <v>0</v>
      </c>
      <c r="C602" s="23">
        <f>'Landscape Trees '!D460</f>
        <v>0</v>
      </c>
      <c r="D602" s="23">
        <f>'Landscape Trees '!E460</f>
        <v>0</v>
      </c>
      <c r="E602" s="23">
        <f>'Landscape Trees '!F460</f>
        <v>0</v>
      </c>
      <c r="F602" s="23">
        <f>'Landscape Trees '!G460</f>
        <v>0</v>
      </c>
      <c r="G602" s="23">
        <f>'Landscape Trees '!H460</f>
        <v>0</v>
      </c>
      <c r="H602" s="23">
        <f>'Landscape Trees '!I460</f>
        <v>0</v>
      </c>
    </row>
    <row r="603" spans="1:8" ht="12.75">
      <c r="A603" s="23">
        <f>'Landscape Trees '!A461</f>
        <v>0</v>
      </c>
      <c r="B603" s="23">
        <f>'Landscape Trees '!C461</f>
        <v>0</v>
      </c>
      <c r="C603" s="23">
        <f>'Landscape Trees '!D461</f>
        <v>0</v>
      </c>
      <c r="D603" s="23">
        <f>'Landscape Trees '!E461</f>
        <v>0</v>
      </c>
      <c r="E603" s="23">
        <f>'Landscape Trees '!F461</f>
        <v>0</v>
      </c>
      <c r="F603" s="23">
        <f>'Landscape Trees '!G461</f>
        <v>0</v>
      </c>
      <c r="G603" s="23">
        <f>'Landscape Trees '!H461</f>
        <v>0</v>
      </c>
      <c r="H603" s="23">
        <f>'Landscape Trees '!I461</f>
        <v>0</v>
      </c>
    </row>
    <row r="604" spans="1:8" ht="12.75">
      <c r="A604" s="23">
        <f>'Landscape Trees '!A462</f>
        <v>0</v>
      </c>
      <c r="B604" s="23">
        <f>'Landscape Trees '!C462</f>
        <v>0</v>
      </c>
      <c r="C604" s="23">
        <f>'Landscape Trees '!D462</f>
        <v>0</v>
      </c>
      <c r="D604" s="23">
        <f>'Landscape Trees '!E462</f>
        <v>0</v>
      </c>
      <c r="E604" s="23">
        <f>'Landscape Trees '!F462</f>
        <v>0</v>
      </c>
      <c r="F604" s="23">
        <f>'Landscape Trees '!G462</f>
        <v>0</v>
      </c>
      <c r="G604" s="23">
        <f>'Landscape Trees '!H462</f>
        <v>0</v>
      </c>
      <c r="H604" s="23">
        <f>'Landscape Trees '!I462</f>
        <v>0</v>
      </c>
    </row>
    <row r="605" spans="1:8" ht="12.75">
      <c r="A605" s="23">
        <f>'Landscape Trees '!A463</f>
        <v>0</v>
      </c>
      <c r="B605" s="23">
        <f>'Landscape Trees '!C463</f>
        <v>0</v>
      </c>
      <c r="C605" s="23">
        <f>'Landscape Trees '!D463</f>
        <v>0</v>
      </c>
      <c r="D605" s="23">
        <f>'Landscape Trees '!E463</f>
        <v>0</v>
      </c>
      <c r="E605" s="23">
        <f>'Landscape Trees '!F463</f>
        <v>0</v>
      </c>
      <c r="F605" s="23">
        <f>'Landscape Trees '!G463</f>
        <v>0</v>
      </c>
      <c r="G605" s="23">
        <f>'Landscape Trees '!H463</f>
        <v>0</v>
      </c>
      <c r="H605" s="23">
        <f>'Landscape Trees '!I463</f>
        <v>0</v>
      </c>
    </row>
    <row r="606" spans="1:8" ht="12.75">
      <c r="A606" s="23">
        <f>'Landscape Trees '!A464</f>
        <v>0</v>
      </c>
      <c r="B606" s="23">
        <f>'Landscape Trees '!C464</f>
        <v>0</v>
      </c>
      <c r="C606" s="23">
        <f>'Landscape Trees '!D464</f>
        <v>0</v>
      </c>
      <c r="D606" s="23">
        <f>'Landscape Trees '!E464</f>
        <v>0</v>
      </c>
      <c r="E606" s="23">
        <f>'Landscape Trees '!F464</f>
        <v>0</v>
      </c>
      <c r="F606" s="23">
        <f>'Landscape Trees '!G464</f>
        <v>0</v>
      </c>
      <c r="G606" s="23">
        <f>'Landscape Trees '!H464</f>
        <v>0</v>
      </c>
      <c r="H606" s="23">
        <f>'Landscape Trees '!I464</f>
        <v>0</v>
      </c>
    </row>
    <row r="607" spans="1:8" ht="12.75">
      <c r="A607" s="23">
        <f>'Landscape Trees '!A465</f>
        <v>0</v>
      </c>
      <c r="B607" s="23">
        <f>'Landscape Trees '!C465</f>
        <v>0</v>
      </c>
      <c r="C607" s="23">
        <f>'Landscape Trees '!D465</f>
        <v>0</v>
      </c>
      <c r="D607" s="23">
        <f>'Landscape Trees '!E465</f>
        <v>0</v>
      </c>
      <c r="E607" s="23">
        <f>'Landscape Trees '!F465</f>
        <v>0</v>
      </c>
      <c r="F607" s="23">
        <f>'Landscape Trees '!G465</f>
        <v>0</v>
      </c>
      <c r="G607" s="23">
        <f>'Landscape Trees '!H465</f>
        <v>0</v>
      </c>
      <c r="H607" s="23">
        <f>'Landscape Trees '!I465</f>
        <v>0</v>
      </c>
    </row>
    <row r="608" spans="1:8" ht="12.75">
      <c r="A608" s="23">
        <f>'Landscape Trees '!A466</f>
        <v>0</v>
      </c>
      <c r="B608" s="23">
        <f>'Landscape Trees '!C466</f>
        <v>0</v>
      </c>
      <c r="C608" s="23">
        <f>'Landscape Trees '!D466</f>
        <v>0</v>
      </c>
      <c r="D608" s="23">
        <f>'Landscape Trees '!E466</f>
        <v>0</v>
      </c>
      <c r="E608" s="23">
        <f>'Landscape Trees '!F466</f>
        <v>0</v>
      </c>
      <c r="F608" s="23">
        <f>'Landscape Trees '!G466</f>
        <v>0</v>
      </c>
      <c r="G608" s="23">
        <f>'Landscape Trees '!H466</f>
        <v>0</v>
      </c>
      <c r="H608" s="23">
        <f>'Landscape Trees '!I466</f>
        <v>0</v>
      </c>
    </row>
    <row r="609" spans="1:8" ht="12.75">
      <c r="A609" s="23">
        <f>'Landscape Trees '!A467</f>
        <v>0</v>
      </c>
      <c r="B609" s="23">
        <f>'Landscape Trees '!C467</f>
        <v>0</v>
      </c>
      <c r="C609" s="23">
        <f>'Landscape Trees '!D467</f>
        <v>0</v>
      </c>
      <c r="D609" s="23">
        <f>'Landscape Trees '!E467</f>
        <v>0</v>
      </c>
      <c r="E609" s="23">
        <f>'Landscape Trees '!F467</f>
        <v>0</v>
      </c>
      <c r="F609" s="23">
        <f>'Landscape Trees '!G467</f>
        <v>0</v>
      </c>
      <c r="G609" s="23">
        <f>'Landscape Trees '!H467</f>
        <v>0</v>
      </c>
      <c r="H609" s="23">
        <f>'Landscape Trees '!I467</f>
        <v>0</v>
      </c>
    </row>
    <row r="610" spans="1:8" ht="12.75">
      <c r="A610" s="23">
        <f>'Landscape Trees '!A468</f>
        <v>0</v>
      </c>
      <c r="B610" s="23">
        <f>'Landscape Trees '!C468</f>
        <v>0</v>
      </c>
      <c r="C610" s="23">
        <f>'Landscape Trees '!D468</f>
        <v>0</v>
      </c>
      <c r="D610" s="23">
        <f>'Landscape Trees '!E468</f>
        <v>0</v>
      </c>
      <c r="E610" s="23">
        <f>'Landscape Trees '!F468</f>
        <v>0</v>
      </c>
      <c r="F610" s="23">
        <f>'Landscape Trees '!G468</f>
        <v>0</v>
      </c>
      <c r="G610" s="23">
        <f>'Landscape Trees '!H468</f>
        <v>0</v>
      </c>
      <c r="H610" s="23">
        <f>'Landscape Trees '!I468</f>
        <v>0</v>
      </c>
    </row>
    <row r="611" spans="1:8" ht="12.75">
      <c r="A611" s="23">
        <f>'Landscape Trees '!A469</f>
        <v>0</v>
      </c>
      <c r="B611" s="23">
        <f>'Landscape Trees '!C469</f>
        <v>0</v>
      </c>
      <c r="C611" s="23">
        <f>'Landscape Trees '!D469</f>
        <v>0</v>
      </c>
      <c r="D611" s="23">
        <f>'Landscape Trees '!E469</f>
        <v>0</v>
      </c>
      <c r="E611" s="23">
        <f>'Landscape Trees '!F469</f>
        <v>0</v>
      </c>
      <c r="F611" s="23">
        <f>'Landscape Trees '!G469</f>
        <v>0</v>
      </c>
      <c r="G611" s="23">
        <f>'Landscape Trees '!H469</f>
        <v>0</v>
      </c>
      <c r="H611" s="23">
        <f>'Landscape Trees '!I469</f>
        <v>0</v>
      </c>
    </row>
    <row r="612" spans="1:8" ht="12.75">
      <c r="A612" s="23">
        <f>'Landscape Trees '!A470</f>
        <v>0</v>
      </c>
      <c r="B612" s="23">
        <f>'Landscape Trees '!C470</f>
        <v>0</v>
      </c>
      <c r="C612" s="23">
        <f>'Landscape Trees '!D470</f>
        <v>0</v>
      </c>
      <c r="D612" s="23">
        <f>'Landscape Trees '!E470</f>
        <v>0</v>
      </c>
      <c r="E612" s="23">
        <f>'Landscape Trees '!F470</f>
        <v>0</v>
      </c>
      <c r="F612" s="23">
        <f>'Landscape Trees '!G470</f>
        <v>0</v>
      </c>
      <c r="G612" s="23">
        <f>'Landscape Trees '!H470</f>
        <v>0</v>
      </c>
      <c r="H612" s="23">
        <f>'Landscape Trees '!I470</f>
        <v>0</v>
      </c>
    </row>
    <row r="613" spans="1:8" ht="12.75">
      <c r="A613" s="23">
        <f>'Landscape Trees '!A471</f>
        <v>0</v>
      </c>
      <c r="B613" s="23">
        <f>'Landscape Trees '!C471</f>
        <v>0</v>
      </c>
      <c r="C613" s="23">
        <f>'Landscape Trees '!D471</f>
        <v>0</v>
      </c>
      <c r="D613" s="23">
        <f>'Landscape Trees '!E471</f>
        <v>0</v>
      </c>
      <c r="E613" s="23">
        <f>'Landscape Trees '!F471</f>
        <v>0</v>
      </c>
      <c r="F613" s="23">
        <f>'Landscape Trees '!G471</f>
        <v>0</v>
      </c>
      <c r="G613" s="23">
        <f>'Landscape Trees '!H471</f>
        <v>0</v>
      </c>
      <c r="H613" s="23">
        <f>'Landscape Trees '!I471</f>
        <v>0</v>
      </c>
    </row>
    <row r="614" spans="1:8" ht="12.75">
      <c r="A614" s="23">
        <f>'Landscape Trees '!A472</f>
        <v>0</v>
      </c>
      <c r="B614" s="23">
        <f>'Landscape Trees '!C472</f>
        <v>0</v>
      </c>
      <c r="C614" s="23">
        <f>'Landscape Trees '!D472</f>
        <v>0</v>
      </c>
      <c r="D614" s="23">
        <f>'Landscape Trees '!E472</f>
        <v>0</v>
      </c>
      <c r="E614" s="23">
        <f>'Landscape Trees '!F472</f>
        <v>0</v>
      </c>
      <c r="F614" s="23">
        <f>'Landscape Trees '!G472</f>
        <v>0</v>
      </c>
      <c r="G614" s="23">
        <f>'Landscape Trees '!H472</f>
        <v>0</v>
      </c>
      <c r="H614" s="23">
        <f>'Landscape Trees '!I472</f>
        <v>0</v>
      </c>
    </row>
    <row r="615" spans="1:8" ht="12.75">
      <c r="A615" s="23">
        <f>'Landscape Trees '!A473</f>
        <v>0</v>
      </c>
      <c r="B615" s="23">
        <f>'Landscape Trees '!C473</f>
        <v>0</v>
      </c>
      <c r="C615" s="23">
        <f>'Landscape Trees '!D473</f>
        <v>0</v>
      </c>
      <c r="D615" s="23">
        <f>'Landscape Trees '!E473</f>
        <v>0</v>
      </c>
      <c r="E615" s="23">
        <f>'Landscape Trees '!F473</f>
        <v>0</v>
      </c>
      <c r="F615" s="23">
        <f>'Landscape Trees '!G473</f>
        <v>0</v>
      </c>
      <c r="G615" s="23">
        <f>'Landscape Trees '!H473</f>
        <v>0</v>
      </c>
      <c r="H615" s="23">
        <f>'Landscape Trees '!I473</f>
        <v>0</v>
      </c>
    </row>
    <row r="616" spans="1:8" ht="12.75">
      <c r="A616" s="23">
        <f>'Landscape Trees '!A474</f>
        <v>0</v>
      </c>
      <c r="B616" s="23">
        <f>'Landscape Trees '!C474</f>
        <v>0</v>
      </c>
      <c r="C616" s="23">
        <f>'Landscape Trees '!D474</f>
        <v>0</v>
      </c>
      <c r="D616" s="23">
        <f>'Landscape Trees '!E474</f>
        <v>0</v>
      </c>
      <c r="E616" s="23">
        <f>'Landscape Trees '!F474</f>
        <v>0</v>
      </c>
      <c r="F616" s="23">
        <f>'Landscape Trees '!G474</f>
        <v>0</v>
      </c>
      <c r="G616" s="23">
        <f>'Landscape Trees '!H474</f>
        <v>0</v>
      </c>
      <c r="H616" s="23">
        <f>'Landscape Trees '!I474</f>
        <v>0</v>
      </c>
    </row>
    <row r="617" spans="1:8" ht="12.75">
      <c r="A617" s="23">
        <f>'Landscape Trees '!A475</f>
        <v>0</v>
      </c>
      <c r="B617" s="23">
        <f>'Landscape Trees '!C475</f>
        <v>0</v>
      </c>
      <c r="C617" s="23">
        <f>'Landscape Trees '!D475</f>
        <v>0</v>
      </c>
      <c r="D617" s="23">
        <f>'Landscape Trees '!E475</f>
        <v>0</v>
      </c>
      <c r="E617" s="23">
        <f>'Landscape Trees '!F475</f>
        <v>0</v>
      </c>
      <c r="F617" s="23">
        <f>'Landscape Trees '!G475</f>
        <v>0</v>
      </c>
      <c r="G617" s="23">
        <f>'Landscape Trees '!H475</f>
        <v>0</v>
      </c>
      <c r="H617" s="23">
        <f>'Landscape Trees '!I475</f>
        <v>0</v>
      </c>
    </row>
    <row r="618" spans="1:8" ht="12.75">
      <c r="A618" s="23">
        <f>'Landscape Trees '!A476</f>
        <v>0</v>
      </c>
      <c r="B618" s="23">
        <f>'Landscape Trees '!C476</f>
        <v>0</v>
      </c>
      <c r="C618" s="23">
        <f>'Landscape Trees '!D476</f>
        <v>0</v>
      </c>
      <c r="D618" s="23">
        <f>'Landscape Trees '!E476</f>
        <v>0</v>
      </c>
      <c r="E618" s="23">
        <f>'Landscape Trees '!F476</f>
        <v>0</v>
      </c>
      <c r="F618" s="23">
        <f>'Landscape Trees '!G476</f>
        <v>0</v>
      </c>
      <c r="G618" s="23">
        <f>'Landscape Trees '!H476</f>
        <v>0</v>
      </c>
      <c r="H618" s="23">
        <f>'Landscape Trees '!I476</f>
        <v>0</v>
      </c>
    </row>
    <row r="619" spans="1:8" ht="12.75">
      <c r="A619" s="23">
        <f>'Landscape Trees '!A477</f>
        <v>0</v>
      </c>
      <c r="B619" s="23">
        <f>'Landscape Trees '!C477</f>
        <v>0</v>
      </c>
      <c r="C619" s="23">
        <f>'Landscape Trees '!D477</f>
        <v>0</v>
      </c>
      <c r="D619" s="23">
        <f>'Landscape Trees '!E477</f>
        <v>0</v>
      </c>
      <c r="E619" s="23">
        <f>'Landscape Trees '!F477</f>
        <v>0</v>
      </c>
      <c r="F619" s="23">
        <f>'Landscape Trees '!G477</f>
        <v>0</v>
      </c>
      <c r="G619" s="23">
        <f>'Landscape Trees '!H477</f>
        <v>0</v>
      </c>
      <c r="H619" s="23">
        <f>'Landscape Trees '!I477</f>
        <v>0</v>
      </c>
    </row>
    <row r="620" spans="1:8" ht="12.75">
      <c r="A620" s="23">
        <f>'Landscape Trees '!A478</f>
        <v>0</v>
      </c>
      <c r="B620" s="23">
        <f>'Landscape Trees '!C478</f>
        <v>0</v>
      </c>
      <c r="C620" s="23">
        <f>'Landscape Trees '!D478</f>
        <v>0</v>
      </c>
      <c r="D620" s="23">
        <f>'Landscape Trees '!E478</f>
        <v>0</v>
      </c>
      <c r="E620" s="23">
        <f>'Landscape Trees '!F478</f>
        <v>0</v>
      </c>
      <c r="F620" s="23">
        <f>'Landscape Trees '!G478</f>
        <v>0</v>
      </c>
      <c r="G620" s="23">
        <f>'Landscape Trees '!H478</f>
        <v>0</v>
      </c>
      <c r="H620" s="23">
        <f>'Landscape Trees '!I478</f>
        <v>0</v>
      </c>
    </row>
    <row r="621" spans="1:8" ht="12.75">
      <c r="A621" s="23">
        <f>'Landscape Trees '!A479</f>
        <v>0</v>
      </c>
      <c r="B621" s="23">
        <f>'Landscape Trees '!C479</f>
        <v>0</v>
      </c>
      <c r="C621" s="23">
        <f>'Landscape Trees '!D479</f>
        <v>0</v>
      </c>
      <c r="D621" s="23">
        <f>'Landscape Trees '!E479</f>
        <v>0</v>
      </c>
      <c r="E621" s="23">
        <f>'Landscape Trees '!F479</f>
        <v>0</v>
      </c>
      <c r="F621" s="23">
        <f>'Landscape Trees '!G479</f>
        <v>0</v>
      </c>
      <c r="G621" s="23">
        <f>'Landscape Trees '!H479</f>
        <v>0</v>
      </c>
      <c r="H621" s="23">
        <f>'Landscape Trees '!I479</f>
        <v>0</v>
      </c>
    </row>
    <row r="622" spans="1:8" ht="12.75">
      <c r="A622" s="23">
        <f>'Landscape Trees '!A480</f>
        <v>0</v>
      </c>
      <c r="B622" s="23">
        <f>'Landscape Trees '!C480</f>
        <v>0</v>
      </c>
      <c r="C622" s="23">
        <f>'Landscape Trees '!D480</f>
        <v>0</v>
      </c>
      <c r="D622" s="23">
        <f>'Landscape Trees '!E480</f>
        <v>0</v>
      </c>
      <c r="E622" s="23">
        <f>'Landscape Trees '!F480</f>
        <v>0</v>
      </c>
      <c r="F622" s="23">
        <f>'Landscape Trees '!G480</f>
        <v>0</v>
      </c>
      <c r="G622" s="23">
        <f>'Landscape Trees '!H480</f>
        <v>0</v>
      </c>
      <c r="H622" s="23">
        <f>'Landscape Trees '!I480</f>
        <v>0</v>
      </c>
    </row>
    <row r="623" spans="1:8" ht="12.75">
      <c r="A623" s="23">
        <f>'Landscape Trees '!A481</f>
        <v>0</v>
      </c>
      <c r="B623" s="23">
        <f>'Landscape Trees '!C481</f>
        <v>0</v>
      </c>
      <c r="C623" s="23">
        <f>'Landscape Trees '!D481</f>
        <v>0</v>
      </c>
      <c r="D623" s="23">
        <f>'Landscape Trees '!E481</f>
        <v>0</v>
      </c>
      <c r="E623" s="23">
        <f>'Landscape Trees '!F481</f>
        <v>0</v>
      </c>
      <c r="F623" s="23">
        <f>'Landscape Trees '!G481</f>
        <v>0</v>
      </c>
      <c r="G623" s="23">
        <f>'Landscape Trees '!H481</f>
        <v>0</v>
      </c>
      <c r="H623" s="23">
        <f>'Landscape Trees '!I481</f>
        <v>0</v>
      </c>
    </row>
    <row r="624" spans="1:8" ht="12.75">
      <c r="A624" s="23">
        <f>'Landscape Trees '!A482</f>
        <v>0</v>
      </c>
      <c r="B624" s="23">
        <f>'Landscape Trees '!C482</f>
        <v>0</v>
      </c>
      <c r="C624" s="23">
        <f>'Landscape Trees '!D482</f>
        <v>0</v>
      </c>
      <c r="D624" s="23">
        <f>'Landscape Trees '!E482</f>
        <v>0</v>
      </c>
      <c r="E624" s="23">
        <f>'Landscape Trees '!F482</f>
        <v>0</v>
      </c>
      <c r="F624" s="23">
        <f>'Landscape Trees '!G482</f>
        <v>0</v>
      </c>
      <c r="G624" s="23">
        <f>'Landscape Trees '!H482</f>
        <v>0</v>
      </c>
      <c r="H624" s="23">
        <f>'Landscape Trees '!I482</f>
        <v>0</v>
      </c>
    </row>
    <row r="625" spans="1:8" ht="12.75">
      <c r="A625" s="23">
        <f>'Landscape Trees '!A483</f>
        <v>0</v>
      </c>
      <c r="B625" s="23">
        <f>'Landscape Trees '!C483</f>
        <v>0</v>
      </c>
      <c r="C625" s="23">
        <f>'Landscape Trees '!D483</f>
        <v>0</v>
      </c>
      <c r="D625" s="23">
        <f>'Landscape Trees '!E483</f>
        <v>0</v>
      </c>
      <c r="E625" s="23">
        <f>'Landscape Trees '!F483</f>
        <v>0</v>
      </c>
      <c r="F625" s="23">
        <f>'Landscape Trees '!G483</f>
        <v>0</v>
      </c>
      <c r="G625" s="23">
        <f>'Landscape Trees '!H483</f>
        <v>0</v>
      </c>
      <c r="H625" s="23">
        <f>'Landscape Trees '!I483</f>
        <v>0</v>
      </c>
    </row>
    <row r="626" spans="1:8" ht="12.75">
      <c r="A626" s="23">
        <f>'Landscape Trees '!A484</f>
        <v>0</v>
      </c>
      <c r="B626" s="23">
        <f>'Landscape Trees '!C484</f>
        <v>0</v>
      </c>
      <c r="C626" s="23">
        <f>'Landscape Trees '!D484</f>
        <v>0</v>
      </c>
      <c r="D626" s="23">
        <f>'Landscape Trees '!E484</f>
        <v>0</v>
      </c>
      <c r="E626" s="23">
        <f>'Landscape Trees '!F484</f>
        <v>0</v>
      </c>
      <c r="F626" s="23">
        <f>'Landscape Trees '!G484</f>
        <v>0</v>
      </c>
      <c r="G626" s="23">
        <f>'Landscape Trees '!H484</f>
        <v>0</v>
      </c>
      <c r="H626" s="23">
        <f>'Landscape Trees '!I484</f>
        <v>0</v>
      </c>
    </row>
    <row r="627" spans="1:8" ht="12.75">
      <c r="A627" s="23">
        <f>'Landscape Trees '!A485</f>
        <v>0</v>
      </c>
      <c r="B627" s="23">
        <f>'Landscape Trees '!C485</f>
        <v>0</v>
      </c>
      <c r="C627" s="23">
        <f>'Landscape Trees '!D485</f>
        <v>0</v>
      </c>
      <c r="D627" s="23">
        <f>'Landscape Trees '!E485</f>
        <v>0</v>
      </c>
      <c r="E627" s="23">
        <f>'Landscape Trees '!F485</f>
        <v>0</v>
      </c>
      <c r="F627" s="23">
        <f>'Landscape Trees '!G485</f>
        <v>0</v>
      </c>
      <c r="G627" s="23">
        <f>'Landscape Trees '!H485</f>
        <v>0</v>
      </c>
      <c r="H627" s="23">
        <f>'Landscape Trees '!I485</f>
        <v>0</v>
      </c>
    </row>
    <row r="628" spans="1:8" ht="12.75">
      <c r="A628" s="23">
        <f>'Landscape Trees '!A486</f>
        <v>0</v>
      </c>
      <c r="B628" s="23">
        <f>'Landscape Trees '!C486</f>
        <v>0</v>
      </c>
      <c r="C628" s="23">
        <f>'Landscape Trees '!D486</f>
        <v>0</v>
      </c>
      <c r="D628" s="23">
        <f>'Landscape Trees '!E486</f>
        <v>0</v>
      </c>
      <c r="E628" s="23">
        <f>'Landscape Trees '!F486</f>
        <v>0</v>
      </c>
      <c r="F628" s="23">
        <f>'Landscape Trees '!G486</f>
        <v>0</v>
      </c>
      <c r="G628" s="23">
        <f>'Landscape Trees '!H486</f>
        <v>0</v>
      </c>
      <c r="H628" s="23">
        <f>'Landscape Trees '!I486</f>
        <v>0</v>
      </c>
    </row>
    <row r="629" spans="1:8" ht="12.75">
      <c r="A629" s="23">
        <f>'Landscape Trees '!A487</f>
        <v>0</v>
      </c>
      <c r="B629" s="23">
        <f>'Landscape Trees '!C487</f>
        <v>0</v>
      </c>
      <c r="C629" s="23">
        <f>'Landscape Trees '!D487</f>
        <v>0</v>
      </c>
      <c r="D629" s="23">
        <f>'Landscape Trees '!E487</f>
        <v>0</v>
      </c>
      <c r="E629" s="23">
        <f>'Landscape Trees '!F487</f>
        <v>0</v>
      </c>
      <c r="F629" s="23">
        <f>'Landscape Trees '!G487</f>
        <v>0</v>
      </c>
      <c r="G629" s="23">
        <f>'Landscape Trees '!H487</f>
        <v>0</v>
      </c>
      <c r="H629" s="23">
        <f>'Landscape Trees '!I487</f>
        <v>0</v>
      </c>
    </row>
    <row r="630" spans="1:8" ht="12.75">
      <c r="A630" s="23">
        <f>'Landscape Trees '!A488</f>
        <v>0</v>
      </c>
      <c r="B630" s="23">
        <f>'Landscape Trees '!C488</f>
        <v>0</v>
      </c>
      <c r="C630" s="23">
        <f>'Landscape Trees '!D488</f>
        <v>0</v>
      </c>
      <c r="D630" s="23">
        <f>'Landscape Trees '!E488</f>
        <v>0</v>
      </c>
      <c r="E630" s="23">
        <f>'Landscape Trees '!F488</f>
        <v>0</v>
      </c>
      <c r="F630" s="23">
        <f>'Landscape Trees '!G488</f>
        <v>0</v>
      </c>
      <c r="G630" s="23">
        <f>'Landscape Trees '!H488</f>
        <v>0</v>
      </c>
      <c r="H630" s="23">
        <f>'Landscape Trees '!I488</f>
        <v>0</v>
      </c>
    </row>
    <row r="631" spans="1:8" ht="12.75">
      <c r="A631" s="23">
        <f>'Landscape Trees '!A489</f>
        <v>0</v>
      </c>
      <c r="B631" s="23">
        <f>'Landscape Trees '!C489</f>
        <v>0</v>
      </c>
      <c r="C631" s="23">
        <f>'Landscape Trees '!D489</f>
        <v>0</v>
      </c>
      <c r="D631" s="23">
        <f>'Landscape Trees '!E489</f>
        <v>0</v>
      </c>
      <c r="E631" s="23">
        <f>'Landscape Trees '!F489</f>
        <v>0</v>
      </c>
      <c r="F631" s="23">
        <f>'Landscape Trees '!G489</f>
        <v>0</v>
      </c>
      <c r="G631" s="23">
        <f>'Landscape Trees '!H489</f>
        <v>0</v>
      </c>
      <c r="H631" s="23">
        <f>'Landscape Trees '!I489</f>
        <v>0</v>
      </c>
    </row>
    <row r="632" spans="1:8" ht="12.75">
      <c r="A632" s="23">
        <f>'Landscape Trees '!A490</f>
        <v>0</v>
      </c>
      <c r="B632" s="23">
        <f>'Landscape Trees '!C490</f>
        <v>0</v>
      </c>
      <c r="C632" s="23">
        <f>'Landscape Trees '!D490</f>
        <v>0</v>
      </c>
      <c r="D632" s="23">
        <f>'Landscape Trees '!E490</f>
        <v>0</v>
      </c>
      <c r="E632" s="23">
        <f>'Landscape Trees '!F490</f>
        <v>0</v>
      </c>
      <c r="F632" s="23">
        <f>'Landscape Trees '!G490</f>
        <v>0</v>
      </c>
      <c r="G632" s="23">
        <f>'Landscape Trees '!H490</f>
        <v>0</v>
      </c>
      <c r="H632" s="23">
        <f>'Landscape Trees '!I490</f>
        <v>0</v>
      </c>
    </row>
    <row r="633" spans="1:8" ht="12.75">
      <c r="A633" s="23">
        <f>'Landscape Trees '!A491</f>
        <v>0</v>
      </c>
      <c r="B633" s="23">
        <f>'Landscape Trees '!C491</f>
        <v>0</v>
      </c>
      <c r="C633" s="23">
        <f>'Landscape Trees '!D491</f>
        <v>0</v>
      </c>
      <c r="D633" s="23">
        <f>'Landscape Trees '!E491</f>
        <v>0</v>
      </c>
      <c r="E633" s="23">
        <f>'Landscape Trees '!F491</f>
        <v>0</v>
      </c>
      <c r="F633" s="23">
        <f>'Landscape Trees '!G491</f>
        <v>0</v>
      </c>
      <c r="G633" s="23">
        <f>'Landscape Trees '!H491</f>
        <v>0</v>
      </c>
      <c r="H633" s="23">
        <f>'Landscape Trees '!I491</f>
        <v>0</v>
      </c>
    </row>
    <row r="634" spans="1:8" ht="12.75">
      <c r="A634" s="23">
        <f>'Landscape Trees '!A492</f>
        <v>0</v>
      </c>
      <c r="B634" s="23">
        <f>'Landscape Trees '!C492</f>
        <v>0</v>
      </c>
      <c r="C634" s="23">
        <f>'Landscape Trees '!D492</f>
        <v>0</v>
      </c>
      <c r="D634" s="23">
        <f>'Landscape Trees '!E492</f>
        <v>0</v>
      </c>
      <c r="E634" s="23">
        <f>'Landscape Trees '!F492</f>
        <v>0</v>
      </c>
      <c r="F634" s="23">
        <f>'Landscape Trees '!G492</f>
        <v>0</v>
      </c>
      <c r="G634" s="23">
        <f>'Landscape Trees '!H492</f>
        <v>0</v>
      </c>
      <c r="H634" s="23">
        <f>'Landscape Trees '!I492</f>
        <v>0</v>
      </c>
    </row>
    <row r="635" spans="1:8" ht="12.75">
      <c r="A635" s="23">
        <f>'Landscape Trees '!A493</f>
        <v>0</v>
      </c>
      <c r="B635" s="23">
        <f>'Landscape Trees '!C493</f>
        <v>0</v>
      </c>
      <c r="C635" s="23">
        <f>'Landscape Trees '!D493</f>
        <v>0</v>
      </c>
      <c r="D635" s="23">
        <f>'Landscape Trees '!E493</f>
        <v>0</v>
      </c>
      <c r="E635" s="23">
        <f>'Landscape Trees '!F493</f>
        <v>0</v>
      </c>
      <c r="F635" s="23">
        <f>'Landscape Trees '!G493</f>
        <v>0</v>
      </c>
      <c r="G635" s="23">
        <f>'Landscape Trees '!H493</f>
        <v>0</v>
      </c>
      <c r="H635" s="23">
        <f>'Landscape Trees '!I493</f>
        <v>0</v>
      </c>
    </row>
    <row r="636" spans="1:8" ht="12.75">
      <c r="A636" s="23">
        <f>'Landscape Trees '!A494</f>
        <v>0</v>
      </c>
      <c r="B636" s="23">
        <f>'Landscape Trees '!C494</f>
        <v>0</v>
      </c>
      <c r="C636" s="23">
        <f>'Landscape Trees '!D494</f>
        <v>0</v>
      </c>
      <c r="D636" s="23">
        <f>'Landscape Trees '!E494</f>
        <v>0</v>
      </c>
      <c r="E636" s="23">
        <f>'Landscape Trees '!F494</f>
        <v>0</v>
      </c>
      <c r="F636" s="23">
        <f>'Landscape Trees '!G494</f>
        <v>0</v>
      </c>
      <c r="G636" s="23">
        <f>'Landscape Trees '!H494</f>
        <v>0</v>
      </c>
      <c r="H636" s="23">
        <f>'Landscape Trees '!I494</f>
        <v>0</v>
      </c>
    </row>
    <row r="637" spans="1:8" ht="12.75">
      <c r="A637" s="23">
        <f>'Landscape Trees '!A495</f>
        <v>0</v>
      </c>
      <c r="B637" s="23">
        <f>'Landscape Trees '!C495</f>
        <v>0</v>
      </c>
      <c r="C637" s="23">
        <f>'Landscape Trees '!D495</f>
        <v>0</v>
      </c>
      <c r="D637" s="23">
        <f>'Landscape Trees '!E495</f>
        <v>0</v>
      </c>
      <c r="E637" s="23">
        <f>'Landscape Trees '!F495</f>
        <v>0</v>
      </c>
      <c r="F637" s="23">
        <f>'Landscape Trees '!G495</f>
        <v>0</v>
      </c>
      <c r="G637" s="23">
        <f>'Landscape Trees '!H495</f>
        <v>0</v>
      </c>
      <c r="H637" s="23">
        <f>'Landscape Trees '!I495</f>
        <v>0</v>
      </c>
    </row>
    <row r="638" spans="1:8" ht="12.75">
      <c r="A638" s="23">
        <f>'Landscape Trees '!A496</f>
        <v>0</v>
      </c>
      <c r="B638" s="23">
        <f>'Landscape Trees '!C496</f>
        <v>0</v>
      </c>
      <c r="C638" s="23">
        <f>'Landscape Trees '!D496</f>
        <v>0</v>
      </c>
      <c r="D638" s="23">
        <f>'Landscape Trees '!E496</f>
        <v>0</v>
      </c>
      <c r="E638" s="23">
        <f>'Landscape Trees '!F496</f>
        <v>0</v>
      </c>
      <c r="F638" s="23">
        <f>'Landscape Trees '!G496</f>
        <v>0</v>
      </c>
      <c r="G638" s="23">
        <f>'Landscape Trees '!H496</f>
        <v>0</v>
      </c>
      <c r="H638" s="23">
        <f>'Landscape Trees '!I496</f>
        <v>0</v>
      </c>
    </row>
    <row r="639" spans="1:8" ht="12.75">
      <c r="A639" s="20">
        <f>'Landscape Trees '!A497</f>
        <v>0</v>
      </c>
      <c r="B639" s="20">
        <f>'Landscape Trees '!C497</f>
        <v>0</v>
      </c>
      <c r="C639" s="20">
        <f>'Landscape Trees '!D497</f>
        <v>0</v>
      </c>
      <c r="D639" s="20">
        <f>'Landscape Trees '!E497</f>
        <v>0</v>
      </c>
      <c r="E639" s="20">
        <f>'Landscape Trees '!F497</f>
        <v>0</v>
      </c>
      <c r="F639" s="20">
        <f>'Landscape Trees '!G497</f>
        <v>0</v>
      </c>
      <c r="G639" s="20">
        <f>'Landscape Trees '!H497</f>
        <v>0</v>
      </c>
      <c r="H639" s="20">
        <f>'Landscape Trees '!I497</f>
        <v>0</v>
      </c>
    </row>
    <row r="640" spans="1:8" ht="12.75">
      <c r="A640" s="20">
        <f>'Landscape Trees '!A498</f>
        <v>0</v>
      </c>
      <c r="B640" s="20">
        <f>'Landscape Trees '!C498</f>
        <v>0</v>
      </c>
      <c r="C640" s="20">
        <f>'Landscape Trees '!D498</f>
        <v>0</v>
      </c>
      <c r="D640" s="20">
        <f>'Landscape Trees '!E498</f>
        <v>0</v>
      </c>
      <c r="E640" s="20">
        <f>'Landscape Trees '!F498</f>
        <v>0</v>
      </c>
      <c r="F640" s="20">
        <f>'Landscape Trees '!G498</f>
        <v>0</v>
      </c>
      <c r="G640" s="20">
        <f>'Landscape Trees '!H498</f>
        <v>0</v>
      </c>
      <c r="H640" s="20">
        <f>'Landscape Trees '!I498</f>
        <v>0</v>
      </c>
    </row>
    <row r="641" spans="1:8" ht="12.75">
      <c r="A641" s="20">
        <f>'Landscape Trees '!A499</f>
        <v>0</v>
      </c>
      <c r="B641" s="20">
        <f>'Landscape Trees '!C499</f>
        <v>0</v>
      </c>
      <c r="C641" s="20">
        <f>'Landscape Trees '!D499</f>
        <v>0</v>
      </c>
      <c r="D641" s="20">
        <f>'Landscape Trees '!E499</f>
        <v>0</v>
      </c>
      <c r="E641" s="20">
        <f>'Landscape Trees '!F499</f>
        <v>0</v>
      </c>
      <c r="F641" s="20">
        <f>'Landscape Trees '!G499</f>
        <v>0</v>
      </c>
      <c r="G641" s="20">
        <f>'Landscape Trees '!H499</f>
        <v>0</v>
      </c>
      <c r="H641" s="20">
        <f>'Landscape Trees '!I499</f>
        <v>0</v>
      </c>
    </row>
    <row r="642" spans="1:8" ht="12.75">
      <c r="A642" s="20">
        <f>'Landscape Trees '!A500</f>
        <v>0</v>
      </c>
      <c r="B642" s="20">
        <f>'Landscape Trees '!C500</f>
        <v>0</v>
      </c>
      <c r="C642" s="20">
        <f>'Landscape Trees '!D500</f>
        <v>0</v>
      </c>
      <c r="D642" s="20">
        <f>'Landscape Trees '!E500</f>
        <v>0</v>
      </c>
      <c r="E642" s="20">
        <f>'Landscape Trees '!F500</f>
        <v>0</v>
      </c>
      <c r="F642" s="20">
        <f>'Landscape Trees '!G500</f>
        <v>0</v>
      </c>
      <c r="G642" s="20">
        <f>'Landscape Trees '!H500</f>
        <v>0</v>
      </c>
      <c r="H642" s="20">
        <f>'Landscape Trees '!I500</f>
        <v>0</v>
      </c>
    </row>
    <row r="643" spans="1:8" ht="12.75">
      <c r="A643" s="20">
        <f>'Landscape Trees '!A501</f>
        <v>0</v>
      </c>
      <c r="B643" s="20">
        <f>'Landscape Trees '!C501</f>
        <v>0</v>
      </c>
      <c r="C643" s="20">
        <f>'Landscape Trees '!D501</f>
        <v>0</v>
      </c>
      <c r="D643" s="20">
        <f>'Landscape Trees '!E501</f>
        <v>0</v>
      </c>
      <c r="E643" s="20">
        <f>'Landscape Trees '!F501</f>
        <v>0</v>
      </c>
      <c r="F643" s="20">
        <f>'Landscape Trees '!G501</f>
        <v>0</v>
      </c>
      <c r="G643" s="20">
        <f>'Landscape Trees '!H501</f>
        <v>0</v>
      </c>
      <c r="H643" s="20">
        <f>'Landscape Trees '!I501</f>
        <v>0</v>
      </c>
    </row>
    <row r="644" spans="1:8" ht="12.75">
      <c r="A644" s="20">
        <f>'Landscape Trees '!A502</f>
        <v>0</v>
      </c>
      <c r="B644" s="20">
        <f>'Landscape Trees '!C502</f>
        <v>0</v>
      </c>
      <c r="C644" s="20">
        <f>'Landscape Trees '!D502</f>
        <v>0</v>
      </c>
      <c r="D644" s="20">
        <f>'Landscape Trees '!E502</f>
        <v>0</v>
      </c>
      <c r="E644" s="20">
        <f>'Landscape Trees '!F502</f>
        <v>0</v>
      </c>
      <c r="F644" s="20">
        <f>'Landscape Trees '!G502</f>
        <v>0</v>
      </c>
      <c r="G644" s="20">
        <f>'Landscape Trees '!H502</f>
        <v>0</v>
      </c>
      <c r="H644" s="20">
        <f>'Landscape Trees '!I502</f>
        <v>0</v>
      </c>
    </row>
    <row r="645" spans="1:8" ht="12.75">
      <c r="A645" s="20">
        <f>'Landscape Trees '!A503</f>
        <v>0</v>
      </c>
      <c r="B645" s="20">
        <f>'Landscape Trees '!C503</f>
        <v>0</v>
      </c>
      <c r="C645" s="20">
        <f>'Landscape Trees '!D503</f>
        <v>0</v>
      </c>
      <c r="D645" s="20">
        <f>'Landscape Trees '!E503</f>
        <v>0</v>
      </c>
      <c r="E645" s="20">
        <f>'Landscape Trees '!F503</f>
        <v>0</v>
      </c>
      <c r="F645" s="20">
        <f>'Landscape Trees '!G503</f>
        <v>0</v>
      </c>
      <c r="G645" s="20">
        <f>'Landscape Trees '!H503</f>
        <v>0</v>
      </c>
      <c r="H645" s="20">
        <f>'Landscape Trees '!I503</f>
        <v>0</v>
      </c>
    </row>
    <row r="646" spans="1:8" ht="12.75">
      <c r="A646" s="20">
        <f>'Landscape Trees '!A504</f>
        <v>0</v>
      </c>
      <c r="B646" s="20">
        <f>'Landscape Trees '!C504</f>
        <v>0</v>
      </c>
      <c r="C646" s="20">
        <f>'Landscape Trees '!D504</f>
        <v>0</v>
      </c>
      <c r="D646" s="20">
        <f>'Landscape Trees '!E504</f>
        <v>0</v>
      </c>
      <c r="E646" s="20">
        <f>'Landscape Trees '!F504</f>
        <v>0</v>
      </c>
      <c r="F646" s="20">
        <f>'Landscape Trees '!G504</f>
        <v>0</v>
      </c>
      <c r="G646" s="20">
        <f>'Landscape Trees '!H504</f>
        <v>0</v>
      </c>
      <c r="H646" s="20">
        <f>'Landscape Trees '!I504</f>
        <v>0</v>
      </c>
    </row>
    <row r="647" spans="1:8" ht="12.75">
      <c r="A647" s="20">
        <f>'Landscape Trees '!A505</f>
        <v>0</v>
      </c>
      <c r="B647" s="20">
        <f>'Landscape Trees '!C505</f>
        <v>0</v>
      </c>
      <c r="C647" s="20">
        <f>'Landscape Trees '!D505</f>
        <v>0</v>
      </c>
      <c r="D647" s="20">
        <f>'Landscape Trees '!E505</f>
        <v>0</v>
      </c>
      <c r="E647" s="20">
        <f>'Landscape Trees '!F505</f>
        <v>0</v>
      </c>
      <c r="F647" s="20">
        <f>'Landscape Trees '!G505</f>
        <v>0</v>
      </c>
      <c r="G647" s="20">
        <f>'Landscape Trees '!H505</f>
        <v>0</v>
      </c>
      <c r="H647" s="20">
        <f>'Landscape Trees '!I505</f>
        <v>0</v>
      </c>
    </row>
    <row r="648" spans="1:8" ht="12.75">
      <c r="A648" s="20">
        <f>'Landscape Trees '!A506</f>
        <v>0</v>
      </c>
      <c r="B648" s="20">
        <f>'Landscape Trees '!C506</f>
        <v>0</v>
      </c>
      <c r="C648" s="20">
        <f>'Landscape Trees '!D506</f>
        <v>0</v>
      </c>
      <c r="D648" s="20">
        <f>'Landscape Trees '!E506</f>
        <v>0</v>
      </c>
      <c r="E648" s="20">
        <f>'Landscape Trees '!F506</f>
        <v>0</v>
      </c>
      <c r="F648" s="20">
        <f>'Landscape Trees '!G506</f>
        <v>0</v>
      </c>
      <c r="G648" s="20">
        <f>'Landscape Trees '!H506</f>
        <v>0</v>
      </c>
      <c r="H648" s="20">
        <f>'Landscape Trees '!I506</f>
        <v>0</v>
      </c>
    </row>
    <row r="649" spans="1:8" ht="12.75">
      <c r="A649" s="20">
        <f>'Landscape Trees '!A507</f>
        <v>0</v>
      </c>
      <c r="B649" s="20">
        <f>'Landscape Trees '!C507</f>
        <v>0</v>
      </c>
      <c r="C649" s="20">
        <f>'Landscape Trees '!D507</f>
        <v>0</v>
      </c>
      <c r="D649" s="20">
        <f>'Landscape Trees '!E507</f>
        <v>0</v>
      </c>
      <c r="E649" s="20">
        <f>'Landscape Trees '!F507</f>
        <v>0</v>
      </c>
      <c r="F649" s="20">
        <f>'Landscape Trees '!G507</f>
        <v>0</v>
      </c>
      <c r="G649" s="20">
        <f>'Landscape Trees '!H507</f>
        <v>0</v>
      </c>
      <c r="H649" s="20">
        <f>'Landscape Trees '!I507</f>
        <v>0</v>
      </c>
    </row>
    <row r="650" spans="1:8" ht="12.75">
      <c r="A650" s="20">
        <f>'Landscape Trees '!A508</f>
        <v>0</v>
      </c>
      <c r="B650" s="20">
        <f>'Landscape Trees '!C508</f>
        <v>0</v>
      </c>
      <c r="C650" s="20">
        <f>'Landscape Trees '!D508</f>
        <v>0</v>
      </c>
      <c r="D650" s="20">
        <f>'Landscape Trees '!E508</f>
        <v>0</v>
      </c>
      <c r="E650" s="20">
        <f>'Landscape Trees '!F508</f>
        <v>0</v>
      </c>
      <c r="F650" s="20">
        <f>'Landscape Trees '!G508</f>
        <v>0</v>
      </c>
      <c r="G650" s="20">
        <f>'Landscape Trees '!H508</f>
        <v>0</v>
      </c>
      <c r="H650" s="20">
        <f>'Landscape Trees '!I508</f>
        <v>0</v>
      </c>
    </row>
    <row r="651" spans="1:8" ht="12.75">
      <c r="A651" s="20">
        <f>'Landscape Trees '!A509</f>
        <v>0</v>
      </c>
      <c r="B651" s="20">
        <f>'Landscape Trees '!C509</f>
        <v>0</v>
      </c>
      <c r="C651" s="20">
        <f>'Landscape Trees '!D509</f>
        <v>0</v>
      </c>
      <c r="D651" s="20">
        <f>'Landscape Trees '!E509</f>
        <v>0</v>
      </c>
      <c r="E651" s="20">
        <f>'Landscape Trees '!F509</f>
        <v>0</v>
      </c>
      <c r="F651" s="20">
        <f>'Landscape Trees '!G509</f>
        <v>0</v>
      </c>
      <c r="G651" s="20">
        <f>'Landscape Trees '!H509</f>
        <v>0</v>
      </c>
      <c r="H651" s="20">
        <f>'Landscape Trees '!I509</f>
        <v>0</v>
      </c>
    </row>
    <row r="652" spans="1:8" ht="12.75">
      <c r="A652" s="20">
        <f>'Landscape Trees '!A510</f>
        <v>0</v>
      </c>
      <c r="B652" s="20">
        <f>'Landscape Trees '!C510</f>
        <v>0</v>
      </c>
      <c r="C652" s="20">
        <f>'Landscape Trees '!D510</f>
        <v>0</v>
      </c>
      <c r="D652" s="20">
        <f>'Landscape Trees '!E510</f>
        <v>0</v>
      </c>
      <c r="E652" s="20">
        <f>'Landscape Trees '!F510</f>
        <v>0</v>
      </c>
      <c r="F652" s="20">
        <f>'Landscape Trees '!G510</f>
        <v>0</v>
      </c>
      <c r="G652" s="20">
        <f>'Landscape Trees '!H510</f>
        <v>0</v>
      </c>
      <c r="H652" s="20">
        <f>'Landscape Trees '!I510</f>
        <v>0</v>
      </c>
    </row>
    <row r="653" spans="1:8" ht="12.75">
      <c r="A653" s="20">
        <f>'Landscape Trees '!A511</f>
        <v>0</v>
      </c>
      <c r="B653" s="20">
        <f>'Landscape Trees '!C511</f>
        <v>0</v>
      </c>
      <c r="C653" s="20">
        <f>'Landscape Trees '!D511</f>
        <v>0</v>
      </c>
      <c r="D653" s="20">
        <f>'Landscape Trees '!E511</f>
        <v>0</v>
      </c>
      <c r="E653" s="20">
        <f>'Landscape Trees '!F511</f>
        <v>0</v>
      </c>
      <c r="F653" s="20">
        <f>'Landscape Trees '!G511</f>
        <v>0</v>
      </c>
      <c r="G653" s="20">
        <f>'Landscape Trees '!H511</f>
        <v>0</v>
      </c>
      <c r="H653" s="20">
        <f>'Landscape Trees '!I511</f>
        <v>0</v>
      </c>
    </row>
    <row r="654" spans="1:8" ht="12.75">
      <c r="A654" s="20">
        <f>'Landscape Trees '!A512</f>
        <v>0</v>
      </c>
      <c r="B654" s="20">
        <f>'Landscape Trees '!C512</f>
        <v>0</v>
      </c>
      <c r="C654" s="20">
        <f>'Landscape Trees '!D512</f>
        <v>0</v>
      </c>
      <c r="D654" s="20">
        <f>'Landscape Trees '!E512</f>
        <v>0</v>
      </c>
      <c r="E654" s="20">
        <f>'Landscape Trees '!F512</f>
        <v>0</v>
      </c>
      <c r="F654" s="20">
        <f>'Landscape Trees '!G512</f>
        <v>0</v>
      </c>
      <c r="G654" s="20">
        <f>'Landscape Trees '!H512</f>
        <v>0</v>
      </c>
      <c r="H654" s="20">
        <f>'Landscape Trees '!I512</f>
        <v>0</v>
      </c>
    </row>
    <row r="655" spans="1:8" ht="12.75">
      <c r="A655" s="20">
        <f>'Landscape Trees '!A513</f>
        <v>0</v>
      </c>
      <c r="B655" s="20">
        <f>'Landscape Trees '!C513</f>
        <v>0</v>
      </c>
      <c r="C655" s="20">
        <f>'Landscape Trees '!D513</f>
        <v>0</v>
      </c>
      <c r="D655" s="20">
        <f>'Landscape Trees '!E513</f>
        <v>0</v>
      </c>
      <c r="E655" s="20">
        <f>'Landscape Trees '!F513</f>
        <v>0</v>
      </c>
      <c r="F655" s="20">
        <f>'Landscape Trees '!G513</f>
        <v>0</v>
      </c>
      <c r="G655" s="20">
        <f>'Landscape Trees '!H513</f>
        <v>0</v>
      </c>
      <c r="H655" s="20">
        <f>'Landscape Trees '!I513</f>
        <v>0</v>
      </c>
    </row>
    <row r="656" spans="1:8" ht="12.75">
      <c r="A656" s="20">
        <f>'Landscape Trees '!A514</f>
        <v>0</v>
      </c>
      <c r="B656" s="20">
        <f>'Landscape Trees '!C514</f>
        <v>0</v>
      </c>
      <c r="C656" s="20">
        <f>'Landscape Trees '!D514</f>
        <v>0</v>
      </c>
      <c r="D656" s="20">
        <f>'Landscape Trees '!E514</f>
        <v>0</v>
      </c>
      <c r="E656" s="20">
        <f>'Landscape Trees '!F514</f>
        <v>0</v>
      </c>
      <c r="F656" s="20">
        <f>'Landscape Trees '!G514</f>
        <v>0</v>
      </c>
      <c r="G656" s="20">
        <f>'Landscape Trees '!H514</f>
        <v>0</v>
      </c>
      <c r="H656" s="20">
        <f>'Landscape Trees '!I514</f>
        <v>0</v>
      </c>
    </row>
    <row r="657" spans="1:8" ht="12.75">
      <c r="A657" s="20">
        <f>'Landscape Trees '!A515</f>
        <v>0</v>
      </c>
      <c r="B657" s="20">
        <f>'Landscape Trees '!C515</f>
        <v>0</v>
      </c>
      <c r="C657" s="20">
        <f>'Landscape Trees '!D515</f>
        <v>0</v>
      </c>
      <c r="D657" s="20">
        <f>'Landscape Trees '!E515</f>
        <v>0</v>
      </c>
      <c r="E657" s="20">
        <f>'Landscape Trees '!F515</f>
        <v>0</v>
      </c>
      <c r="F657" s="20">
        <f>'Landscape Trees '!G515</f>
        <v>0</v>
      </c>
      <c r="G657" s="20">
        <f>'Landscape Trees '!H515</f>
        <v>0</v>
      </c>
      <c r="H657" s="20">
        <f>'Landscape Trees '!I515</f>
        <v>0</v>
      </c>
    </row>
    <row r="658" spans="1:8" ht="12.75">
      <c r="A658" s="20">
        <f>'Landscape Trees '!A516</f>
        <v>0</v>
      </c>
      <c r="B658" s="20">
        <f>'Landscape Trees '!C516</f>
        <v>0</v>
      </c>
      <c r="C658" s="20">
        <f>'Landscape Trees '!D516</f>
        <v>0</v>
      </c>
      <c r="D658" s="20">
        <f>'Landscape Trees '!E516</f>
        <v>0</v>
      </c>
      <c r="E658" s="20">
        <f>'Landscape Trees '!F516</f>
        <v>0</v>
      </c>
      <c r="F658" s="20">
        <f>'Landscape Trees '!G516</f>
        <v>0</v>
      </c>
      <c r="G658" s="20">
        <f>'Landscape Trees '!H516</f>
        <v>0</v>
      </c>
      <c r="H658" s="20">
        <f>'Landscape Trees '!I516</f>
        <v>0</v>
      </c>
    </row>
    <row r="659" spans="1:8" ht="12.75">
      <c r="A659" s="20">
        <f>'Landscape Trees '!A517</f>
        <v>0</v>
      </c>
      <c r="B659" s="20">
        <f>'Landscape Trees '!C517</f>
        <v>0</v>
      </c>
      <c r="C659" s="20">
        <f>'Landscape Trees '!D517</f>
        <v>0</v>
      </c>
      <c r="D659" s="20">
        <f>'Landscape Trees '!E517</f>
        <v>0</v>
      </c>
      <c r="E659" s="20">
        <f>'Landscape Trees '!F517</f>
        <v>0</v>
      </c>
      <c r="F659" s="20">
        <f>'Landscape Trees '!G517</f>
        <v>0</v>
      </c>
      <c r="G659" s="20">
        <f>'Landscape Trees '!H517</f>
        <v>0</v>
      </c>
      <c r="H659" s="20">
        <f>'Landscape Trees '!I517</f>
        <v>0</v>
      </c>
    </row>
    <row r="660" spans="1:8" ht="12.75">
      <c r="A660" s="20">
        <f>'Landscape Trees '!A518</f>
        <v>0</v>
      </c>
      <c r="B660" s="20">
        <f>'Landscape Trees '!C518</f>
        <v>0</v>
      </c>
      <c r="C660" s="20">
        <f>'Landscape Trees '!D518</f>
        <v>0</v>
      </c>
      <c r="D660" s="20">
        <f>'Landscape Trees '!E518</f>
        <v>0</v>
      </c>
      <c r="E660" s="20">
        <f>'Landscape Trees '!F518</f>
        <v>0</v>
      </c>
      <c r="F660" s="20">
        <f>'Landscape Trees '!G518</f>
        <v>0</v>
      </c>
      <c r="G660" s="20">
        <f>'Landscape Trees '!H518</f>
        <v>0</v>
      </c>
      <c r="H660" s="20">
        <f>'Landscape Trees '!I518</f>
        <v>0</v>
      </c>
    </row>
    <row r="661" spans="1:8" ht="12.75">
      <c r="A661" s="20">
        <f>'Landscape Trees '!A519</f>
        <v>0</v>
      </c>
      <c r="B661" s="20">
        <f>'Landscape Trees '!C519</f>
        <v>0</v>
      </c>
      <c r="C661" s="20">
        <f>'Landscape Trees '!D519</f>
        <v>0</v>
      </c>
      <c r="D661" s="20">
        <f>'Landscape Trees '!E519</f>
        <v>0</v>
      </c>
      <c r="E661" s="20">
        <f>'Landscape Trees '!F519</f>
        <v>0</v>
      </c>
      <c r="F661" s="20">
        <f>'Landscape Trees '!G519</f>
        <v>0</v>
      </c>
      <c r="G661" s="20">
        <f>'Landscape Trees '!H519</f>
        <v>0</v>
      </c>
      <c r="H661" s="20">
        <f>'Landscape Trees '!I519</f>
        <v>0</v>
      </c>
    </row>
    <row r="662" spans="1:8" ht="12.75">
      <c r="A662" s="20">
        <f>'Landscape Trees '!A520</f>
        <v>0</v>
      </c>
      <c r="B662" s="20">
        <f>'Landscape Trees '!C520</f>
        <v>0</v>
      </c>
      <c r="C662" s="20">
        <f>'Landscape Trees '!D520</f>
        <v>0</v>
      </c>
      <c r="D662" s="20">
        <f>'Landscape Trees '!E520</f>
        <v>0</v>
      </c>
      <c r="E662" s="20">
        <f>'Landscape Trees '!F520</f>
        <v>0</v>
      </c>
      <c r="F662" s="20">
        <f>'Landscape Trees '!G520</f>
        <v>0</v>
      </c>
      <c r="G662" s="20">
        <f>'Landscape Trees '!H520</f>
        <v>0</v>
      </c>
      <c r="H662" s="20">
        <f>'Landscape Trees '!I520</f>
        <v>0</v>
      </c>
    </row>
    <row r="663" spans="1:8" ht="12.75">
      <c r="A663" s="20">
        <f>'Landscape Trees '!A521</f>
        <v>0</v>
      </c>
      <c r="B663" s="20">
        <f>'Landscape Trees '!C521</f>
        <v>0</v>
      </c>
      <c r="C663" s="20">
        <f>'Landscape Trees '!D521</f>
        <v>0</v>
      </c>
      <c r="D663" s="20">
        <f>'Landscape Trees '!E521</f>
        <v>0</v>
      </c>
      <c r="E663" s="20">
        <f>'Landscape Trees '!F521</f>
        <v>0</v>
      </c>
      <c r="F663" s="20">
        <f>'Landscape Trees '!G521</f>
        <v>0</v>
      </c>
      <c r="G663" s="20">
        <f>'Landscape Trees '!H521</f>
        <v>0</v>
      </c>
      <c r="H663" s="20">
        <f>'Landscape Trees '!I521</f>
        <v>0</v>
      </c>
    </row>
    <row r="664" spans="1:8" ht="12.75">
      <c r="A664" s="20">
        <f>'Landscape Trees '!A522</f>
        <v>0</v>
      </c>
      <c r="B664" s="20">
        <f>'Landscape Trees '!C522</f>
        <v>0</v>
      </c>
      <c r="C664" s="20">
        <f>'Landscape Trees '!D522</f>
        <v>0</v>
      </c>
      <c r="D664" s="20">
        <f>'Landscape Trees '!E522</f>
        <v>0</v>
      </c>
      <c r="E664" s="20">
        <f>'Landscape Trees '!F522</f>
        <v>0</v>
      </c>
      <c r="F664" s="20">
        <f>'Landscape Trees '!G522</f>
        <v>0</v>
      </c>
      <c r="G664" s="20">
        <f>'Landscape Trees '!H522</f>
        <v>0</v>
      </c>
      <c r="H664" s="20">
        <f>'Landscape Trees '!I522</f>
        <v>0</v>
      </c>
    </row>
    <row r="665" spans="1:8" ht="12.75">
      <c r="A665" s="20">
        <f>'Landscape Trees '!A523</f>
        <v>0</v>
      </c>
      <c r="B665" s="20">
        <f>'Landscape Trees '!C523</f>
        <v>0</v>
      </c>
      <c r="C665" s="20">
        <f>'Landscape Trees '!D523</f>
        <v>0</v>
      </c>
      <c r="D665" s="20">
        <f>'Landscape Trees '!E523</f>
        <v>0</v>
      </c>
      <c r="E665" s="20">
        <f>'Landscape Trees '!F523</f>
        <v>0</v>
      </c>
      <c r="F665" s="20">
        <f>'Landscape Trees '!G523</f>
        <v>0</v>
      </c>
      <c r="G665" s="20">
        <f>'Landscape Trees '!H523</f>
        <v>0</v>
      </c>
      <c r="H665" s="20">
        <f>'Landscape Trees '!I523</f>
        <v>0</v>
      </c>
    </row>
    <row r="666" spans="1:8" ht="12.75">
      <c r="A666" s="20">
        <f>'Landscape Trees '!A524</f>
        <v>0</v>
      </c>
      <c r="B666" s="20">
        <f>'Landscape Trees '!C524</f>
        <v>0</v>
      </c>
      <c r="C666" s="20">
        <f>'Landscape Trees '!D524</f>
        <v>0</v>
      </c>
      <c r="D666" s="20">
        <f>'Landscape Trees '!E524</f>
        <v>0</v>
      </c>
      <c r="E666" s="20">
        <f>'Landscape Trees '!F524</f>
        <v>0</v>
      </c>
      <c r="F666" s="20">
        <f>'Landscape Trees '!G524</f>
        <v>0</v>
      </c>
      <c r="G666" s="20">
        <f>'Landscape Trees '!H524</f>
        <v>0</v>
      </c>
      <c r="H666" s="20">
        <f>'Landscape Trees '!I524</f>
        <v>0</v>
      </c>
    </row>
    <row r="667" spans="1:8" ht="12.75">
      <c r="A667" s="20">
        <f>'Landscape Trees '!A525</f>
        <v>0</v>
      </c>
      <c r="B667" s="20">
        <f>'Landscape Trees '!C525</f>
        <v>0</v>
      </c>
      <c r="C667" s="20">
        <f>'Landscape Trees '!D525</f>
        <v>0</v>
      </c>
      <c r="D667" s="20">
        <f>'Landscape Trees '!E525</f>
        <v>0</v>
      </c>
      <c r="E667" s="20">
        <f>'Landscape Trees '!F525</f>
        <v>0</v>
      </c>
      <c r="F667" s="20">
        <f>'Landscape Trees '!G525</f>
        <v>0</v>
      </c>
      <c r="G667" s="20">
        <f>'Landscape Trees '!H525</f>
        <v>0</v>
      </c>
      <c r="H667" s="20">
        <f>'Landscape Trees '!I525</f>
        <v>0</v>
      </c>
    </row>
    <row r="668" spans="1:8" ht="12.75">
      <c r="A668" s="20">
        <f>'Landscape Trees '!A526</f>
        <v>0</v>
      </c>
      <c r="B668" s="20">
        <f>'Landscape Trees '!C526</f>
        <v>0</v>
      </c>
      <c r="C668" s="20">
        <f>'Landscape Trees '!D526</f>
        <v>0</v>
      </c>
      <c r="D668" s="20">
        <f>'Landscape Trees '!E526</f>
        <v>0</v>
      </c>
      <c r="E668" s="20">
        <f>'Landscape Trees '!F526</f>
        <v>0</v>
      </c>
      <c r="F668" s="20">
        <f>'Landscape Trees '!G526</f>
        <v>0</v>
      </c>
      <c r="G668" s="20">
        <f>'Landscape Trees '!H526</f>
        <v>0</v>
      </c>
      <c r="H668" s="20">
        <f>'Landscape Trees '!I526</f>
        <v>0</v>
      </c>
    </row>
    <row r="669" spans="1:8" ht="12.75">
      <c r="A669" s="20">
        <f>'Landscape Trees '!A527</f>
        <v>0</v>
      </c>
      <c r="B669" s="20">
        <f>'Landscape Trees '!C527</f>
        <v>0</v>
      </c>
      <c r="C669" s="20">
        <f>'Landscape Trees '!D527</f>
        <v>0</v>
      </c>
      <c r="D669" s="20">
        <f>'Landscape Trees '!E527</f>
        <v>0</v>
      </c>
      <c r="E669" s="20">
        <f>'Landscape Trees '!F527</f>
        <v>0</v>
      </c>
      <c r="F669" s="20">
        <f>'Landscape Trees '!G527</f>
        <v>0</v>
      </c>
      <c r="G669" s="20">
        <f>'Landscape Trees '!H527</f>
        <v>0</v>
      </c>
      <c r="H669" s="20">
        <f>'Landscape Trees '!I527</f>
        <v>0</v>
      </c>
    </row>
    <row r="670" spans="1:8" ht="12.75">
      <c r="A670" s="20">
        <f>'Landscape Trees '!A528</f>
        <v>0</v>
      </c>
      <c r="B670" s="20">
        <f>'Landscape Trees '!C528</f>
        <v>0</v>
      </c>
      <c r="C670" s="20">
        <f>'Landscape Trees '!D528</f>
        <v>0</v>
      </c>
      <c r="D670" s="20">
        <f>'Landscape Trees '!E528</f>
        <v>0</v>
      </c>
      <c r="E670" s="20">
        <f>'Landscape Trees '!F528</f>
        <v>0</v>
      </c>
      <c r="F670" s="20">
        <f>'Landscape Trees '!G528</f>
        <v>0</v>
      </c>
      <c r="G670" s="20">
        <f>'Landscape Trees '!H528</f>
        <v>0</v>
      </c>
      <c r="H670" s="20">
        <f>'Landscape Trees '!I528</f>
        <v>0</v>
      </c>
    </row>
    <row r="671" spans="1:8" ht="12.75">
      <c r="A671" s="20">
        <f>'Landscape Trees '!A529</f>
        <v>0</v>
      </c>
      <c r="B671" s="20">
        <f>'Landscape Trees '!C529</f>
        <v>0</v>
      </c>
      <c r="C671" s="20">
        <f>'Landscape Trees '!D529</f>
        <v>0</v>
      </c>
      <c r="D671" s="20">
        <f>'Landscape Trees '!E529</f>
        <v>0</v>
      </c>
      <c r="E671" s="20">
        <f>'Landscape Trees '!F529</f>
        <v>0</v>
      </c>
      <c r="F671" s="20">
        <f>'Landscape Trees '!G529</f>
        <v>0</v>
      </c>
      <c r="G671" s="20">
        <f>'Landscape Trees '!H529</f>
        <v>0</v>
      </c>
      <c r="H671" s="20">
        <f>'Landscape Trees '!I529</f>
        <v>0</v>
      </c>
    </row>
    <row r="672" spans="1:8" ht="12.75">
      <c r="A672" s="20">
        <f>'Landscape Trees '!A530</f>
        <v>0</v>
      </c>
      <c r="B672" s="20">
        <f>'Landscape Trees '!C530</f>
        <v>0</v>
      </c>
      <c r="C672" s="20">
        <f>'Landscape Trees '!D530</f>
        <v>0</v>
      </c>
      <c r="D672" s="20">
        <f>'Landscape Trees '!E530</f>
        <v>0</v>
      </c>
      <c r="E672" s="20">
        <f>'Landscape Trees '!F530</f>
        <v>0</v>
      </c>
      <c r="F672" s="20">
        <f>'Landscape Trees '!G530</f>
        <v>0</v>
      </c>
      <c r="G672" s="20">
        <f>'Landscape Trees '!H530</f>
        <v>0</v>
      </c>
      <c r="H672" s="20">
        <f>'Landscape Trees '!I530</f>
        <v>0</v>
      </c>
    </row>
    <row r="673" spans="1:8" ht="12.75">
      <c r="A673" s="20">
        <f>'Landscape Trees '!A531</f>
        <v>0</v>
      </c>
      <c r="B673" s="20">
        <f>'Landscape Trees '!C531</f>
        <v>0</v>
      </c>
      <c r="C673" s="20">
        <f>'Landscape Trees '!D531</f>
        <v>0</v>
      </c>
      <c r="D673" s="20">
        <f>'Landscape Trees '!E531</f>
        <v>0</v>
      </c>
      <c r="E673" s="20">
        <f>'Landscape Trees '!F531</f>
        <v>0</v>
      </c>
      <c r="F673" s="20">
        <f>'Landscape Trees '!G531</f>
        <v>0</v>
      </c>
      <c r="G673" s="20">
        <f>'Landscape Trees '!H531</f>
        <v>0</v>
      </c>
      <c r="H673" s="20">
        <f>'Landscape Trees '!I531</f>
        <v>0</v>
      </c>
    </row>
    <row r="674" spans="1:8" ht="12.75">
      <c r="A674" s="20">
        <f>'Landscape Trees '!A532</f>
        <v>0</v>
      </c>
      <c r="B674" s="20">
        <f>'Landscape Trees '!C532</f>
        <v>0</v>
      </c>
      <c r="C674" s="20">
        <f>'Landscape Trees '!D532</f>
        <v>0</v>
      </c>
      <c r="D674" s="20">
        <f>'Landscape Trees '!E532</f>
        <v>0</v>
      </c>
      <c r="E674" s="20">
        <f>'Landscape Trees '!F532</f>
        <v>0</v>
      </c>
      <c r="F674" s="20">
        <f>'Landscape Trees '!G532</f>
        <v>0</v>
      </c>
      <c r="G674" s="20">
        <f>'Landscape Trees '!H532</f>
        <v>0</v>
      </c>
      <c r="H674" s="20">
        <f>'Landscape Trees '!I532</f>
        <v>0</v>
      </c>
    </row>
    <row r="675" spans="1:8" ht="12.75">
      <c r="A675" s="20">
        <f>'Landscape Trees '!A533</f>
        <v>0</v>
      </c>
      <c r="B675" s="20">
        <f>'Landscape Trees '!C533</f>
        <v>0</v>
      </c>
      <c r="C675" s="20">
        <f>'Landscape Trees '!D533</f>
        <v>0</v>
      </c>
      <c r="D675" s="20">
        <f>'Landscape Trees '!E533</f>
        <v>0</v>
      </c>
      <c r="E675" s="20">
        <f>'Landscape Trees '!F533</f>
        <v>0</v>
      </c>
      <c r="F675" s="20">
        <f>'Landscape Trees '!G533</f>
        <v>0</v>
      </c>
      <c r="G675" s="20">
        <f>'Landscape Trees '!H533</f>
        <v>0</v>
      </c>
      <c r="H675" s="20">
        <f>'Landscape Trees '!I533</f>
        <v>0</v>
      </c>
    </row>
    <row r="676" spans="1:8" ht="12.75">
      <c r="A676" s="20">
        <f>'Landscape Trees '!A534</f>
        <v>0</v>
      </c>
      <c r="B676" s="20">
        <f>'Landscape Trees '!C534</f>
        <v>0</v>
      </c>
      <c r="C676" s="20">
        <f>'Landscape Trees '!D534</f>
        <v>0</v>
      </c>
      <c r="D676" s="20">
        <f>'Landscape Trees '!E534</f>
        <v>0</v>
      </c>
      <c r="E676" s="20">
        <f>'Landscape Trees '!F534</f>
        <v>0</v>
      </c>
      <c r="F676" s="20">
        <f>'Landscape Trees '!G534</f>
        <v>0</v>
      </c>
      <c r="G676" s="20">
        <f>'Landscape Trees '!H534</f>
        <v>0</v>
      </c>
      <c r="H676" s="20">
        <f>'Landscape Trees '!I534</f>
        <v>0</v>
      </c>
    </row>
    <row r="677" spans="1:8" ht="12.75">
      <c r="A677" s="20">
        <f>'Landscape Trees '!A535</f>
        <v>0</v>
      </c>
      <c r="B677" s="20">
        <f>'Landscape Trees '!C535</f>
        <v>0</v>
      </c>
      <c r="C677" s="20">
        <f>'Landscape Trees '!D535</f>
        <v>0</v>
      </c>
      <c r="D677" s="20">
        <f>'Landscape Trees '!E535</f>
        <v>0</v>
      </c>
      <c r="E677" s="20">
        <f>'Landscape Trees '!F535</f>
        <v>0</v>
      </c>
      <c r="F677" s="20">
        <f>'Landscape Trees '!G535</f>
        <v>0</v>
      </c>
      <c r="G677" s="20">
        <f>'Landscape Trees '!H535</f>
        <v>0</v>
      </c>
      <c r="H677" s="20">
        <f>'Landscape Trees '!I535</f>
        <v>0</v>
      </c>
    </row>
    <row r="678" spans="1:8" ht="12.75">
      <c r="A678" s="20">
        <f>'Landscape Trees '!A536</f>
        <v>0</v>
      </c>
      <c r="B678" s="20">
        <f>'Landscape Trees '!C536</f>
        <v>0</v>
      </c>
      <c r="C678" s="20">
        <f>'Landscape Trees '!D536</f>
        <v>0</v>
      </c>
      <c r="D678" s="20">
        <f>'Landscape Trees '!E536</f>
        <v>0</v>
      </c>
      <c r="E678" s="20">
        <f>'Landscape Trees '!F536</f>
        <v>0</v>
      </c>
      <c r="F678" s="20">
        <f>'Landscape Trees '!G536</f>
        <v>0</v>
      </c>
      <c r="G678" s="20">
        <f>'Landscape Trees '!H536</f>
        <v>0</v>
      </c>
      <c r="H678" s="20">
        <f>'Landscape Trees '!I536</f>
        <v>0</v>
      </c>
    </row>
    <row r="679" spans="1:8" ht="12.75">
      <c r="A679" s="20">
        <f>'Landscape Trees '!A537</f>
        <v>0</v>
      </c>
      <c r="B679" s="20">
        <f>'Landscape Trees '!C537</f>
        <v>0</v>
      </c>
      <c r="C679" s="20">
        <f>'Landscape Trees '!D537</f>
        <v>0</v>
      </c>
      <c r="D679" s="20">
        <f>'Landscape Trees '!E537</f>
        <v>0</v>
      </c>
      <c r="E679" s="20">
        <f>'Landscape Trees '!F537</f>
        <v>0</v>
      </c>
      <c r="F679" s="20">
        <f>'Landscape Trees '!G537</f>
        <v>0</v>
      </c>
      <c r="G679" s="20">
        <f>'Landscape Trees '!H537</f>
        <v>0</v>
      </c>
      <c r="H679" s="20">
        <f>'Landscape Trees '!I537</f>
        <v>0</v>
      </c>
    </row>
    <row r="680" spans="1:8" ht="12.75">
      <c r="A680" s="20">
        <f>'Landscape Trees '!A538</f>
        <v>0</v>
      </c>
      <c r="B680" s="20">
        <f>'Landscape Trees '!C538</f>
        <v>0</v>
      </c>
      <c r="C680" s="20">
        <f>'Landscape Trees '!D538</f>
        <v>0</v>
      </c>
      <c r="D680" s="20">
        <f>'Landscape Trees '!E538</f>
        <v>0</v>
      </c>
      <c r="E680" s="20">
        <f>'Landscape Trees '!F538</f>
        <v>0</v>
      </c>
      <c r="F680" s="20">
        <f>'Landscape Trees '!G538</f>
        <v>0</v>
      </c>
      <c r="G680" s="20">
        <f>'Landscape Trees '!H538</f>
        <v>0</v>
      </c>
      <c r="H680" s="20">
        <f>'Landscape Trees '!I538</f>
        <v>0</v>
      </c>
    </row>
    <row r="681" spans="1:8" ht="12.75">
      <c r="A681" s="20">
        <f>'Landscape Trees '!A539</f>
        <v>0</v>
      </c>
      <c r="B681" s="20">
        <f>'Landscape Trees '!C539</f>
        <v>0</v>
      </c>
      <c r="C681" s="20">
        <f>'Landscape Trees '!D539</f>
        <v>0</v>
      </c>
      <c r="D681" s="20">
        <f>'Landscape Trees '!E539</f>
        <v>0</v>
      </c>
      <c r="E681" s="20">
        <f>'Landscape Trees '!F539</f>
        <v>0</v>
      </c>
      <c r="F681" s="20">
        <f>'Landscape Trees '!G539</f>
        <v>0</v>
      </c>
      <c r="G681" s="20">
        <f>'Landscape Trees '!H539</f>
        <v>0</v>
      </c>
      <c r="H681" s="20">
        <f>'Landscape Trees '!I539</f>
        <v>0</v>
      </c>
    </row>
    <row r="682" spans="1:8" ht="12.75">
      <c r="A682" s="20">
        <f>'Landscape Trees '!A540</f>
        <v>0</v>
      </c>
      <c r="B682" s="20">
        <f>'Landscape Trees '!C540</f>
        <v>0</v>
      </c>
      <c r="C682" s="20">
        <f>'Landscape Trees '!D540</f>
        <v>0</v>
      </c>
      <c r="D682" s="20">
        <f>'Landscape Trees '!E540</f>
        <v>0</v>
      </c>
      <c r="E682" s="20">
        <f>'Landscape Trees '!F540</f>
        <v>0</v>
      </c>
      <c r="F682" s="20">
        <f>'Landscape Trees '!G540</f>
        <v>0</v>
      </c>
      <c r="G682" s="20">
        <f>'Landscape Trees '!H540</f>
        <v>0</v>
      </c>
      <c r="H682" s="20">
        <f>'Landscape Trees '!I540</f>
        <v>0</v>
      </c>
    </row>
    <row r="683" spans="1:8" ht="12.75">
      <c r="A683" s="20">
        <f>'Landscape Trees '!A541</f>
        <v>0</v>
      </c>
      <c r="B683" s="20">
        <f>'Landscape Trees '!C541</f>
        <v>0</v>
      </c>
      <c r="C683" s="20">
        <f>'Landscape Trees '!D541</f>
        <v>0</v>
      </c>
      <c r="D683" s="20">
        <f>'Landscape Trees '!E541</f>
        <v>0</v>
      </c>
      <c r="E683" s="20">
        <f>'Landscape Trees '!F541</f>
        <v>0</v>
      </c>
      <c r="F683" s="20">
        <f>'Landscape Trees '!G541</f>
        <v>0</v>
      </c>
      <c r="G683" s="20">
        <f>'Landscape Trees '!H541</f>
        <v>0</v>
      </c>
      <c r="H683" s="20">
        <f>'Landscape Trees '!I541</f>
        <v>0</v>
      </c>
    </row>
    <row r="684" spans="1:8" ht="12.75">
      <c r="A684" s="20">
        <f>'Landscape Trees '!A542</f>
        <v>0</v>
      </c>
      <c r="B684" s="20">
        <f>'Landscape Trees '!C542</f>
        <v>0</v>
      </c>
      <c r="C684" s="20">
        <f>'Landscape Trees '!D542</f>
        <v>0</v>
      </c>
      <c r="D684" s="20">
        <f>'Landscape Trees '!E542</f>
        <v>0</v>
      </c>
      <c r="E684" s="20">
        <f>'Landscape Trees '!F542</f>
        <v>0</v>
      </c>
      <c r="F684" s="20">
        <f>'Landscape Trees '!G542</f>
        <v>0</v>
      </c>
      <c r="G684" s="20">
        <f>'Landscape Trees '!H542</f>
        <v>0</v>
      </c>
      <c r="H684" s="20">
        <f>'Landscape Trees '!I542</f>
        <v>0</v>
      </c>
    </row>
    <row r="685" spans="1:8" ht="12.75">
      <c r="A685" s="20">
        <f>'Landscape Trees '!A543</f>
        <v>0</v>
      </c>
      <c r="B685" s="20">
        <f>'Landscape Trees '!C543</f>
        <v>0</v>
      </c>
      <c r="C685" s="20">
        <f>'Landscape Trees '!D543</f>
        <v>0</v>
      </c>
      <c r="D685" s="20">
        <f>'Landscape Trees '!E543</f>
        <v>0</v>
      </c>
      <c r="E685" s="20">
        <f>'Landscape Trees '!F543</f>
        <v>0</v>
      </c>
      <c r="F685" s="20">
        <f>'Landscape Trees '!G543</f>
        <v>0</v>
      </c>
      <c r="G685" s="20">
        <f>'Landscape Trees '!H543</f>
        <v>0</v>
      </c>
      <c r="H685" s="20">
        <f>'Landscape Trees '!I543</f>
        <v>0</v>
      </c>
    </row>
    <row r="686" spans="1:8" ht="12.75">
      <c r="A686" s="20">
        <f>'Landscape Trees '!A544</f>
        <v>0</v>
      </c>
      <c r="B686" s="20">
        <f>'Landscape Trees '!C544</f>
        <v>0</v>
      </c>
      <c r="C686" s="20">
        <f>'Landscape Trees '!D544</f>
        <v>0</v>
      </c>
      <c r="D686" s="20">
        <f>'Landscape Trees '!E544</f>
        <v>0</v>
      </c>
      <c r="E686" s="20">
        <f>'Landscape Trees '!F544</f>
        <v>0</v>
      </c>
      <c r="F686" s="20">
        <f>'Landscape Trees '!G544</f>
        <v>0</v>
      </c>
      <c r="G686" s="20">
        <f>'Landscape Trees '!H544</f>
        <v>0</v>
      </c>
      <c r="H686" s="20">
        <f>'Landscape Trees '!I544</f>
        <v>0</v>
      </c>
    </row>
    <row r="687" spans="1:8" ht="12.75">
      <c r="A687" s="20">
        <f>'Landscape Trees '!A545</f>
        <v>0</v>
      </c>
      <c r="B687" s="20">
        <f>'Landscape Trees '!C545</f>
        <v>0</v>
      </c>
      <c r="C687" s="20">
        <f>'Landscape Trees '!D545</f>
        <v>0</v>
      </c>
      <c r="D687" s="20">
        <f>'Landscape Trees '!E545</f>
        <v>0</v>
      </c>
      <c r="E687" s="20">
        <f>'Landscape Trees '!F545</f>
        <v>0</v>
      </c>
      <c r="F687" s="20">
        <f>'Landscape Trees '!G545</f>
        <v>0</v>
      </c>
      <c r="G687" s="20">
        <f>'Landscape Trees '!H545</f>
        <v>0</v>
      </c>
      <c r="H687" s="20">
        <f>'Landscape Trees '!I545</f>
        <v>0</v>
      </c>
    </row>
    <row r="688" spans="1:8" ht="12.75">
      <c r="A688" s="20">
        <f>'Landscape Trees '!A546</f>
        <v>0</v>
      </c>
      <c r="B688" s="20">
        <f>'Landscape Trees '!C546</f>
        <v>0</v>
      </c>
      <c r="C688" s="20">
        <f>'Landscape Trees '!D546</f>
        <v>0</v>
      </c>
      <c r="D688" s="20">
        <f>'Landscape Trees '!E546</f>
        <v>0</v>
      </c>
      <c r="E688" s="20">
        <f>'Landscape Trees '!F546</f>
        <v>0</v>
      </c>
      <c r="F688" s="20">
        <f>'Landscape Trees '!G546</f>
        <v>0</v>
      </c>
      <c r="G688" s="20">
        <f>'Landscape Trees '!H546</f>
        <v>0</v>
      </c>
      <c r="H688" s="20">
        <f>'Landscape Trees '!I546</f>
        <v>0</v>
      </c>
    </row>
    <row r="689" spans="1:8" ht="12.75">
      <c r="A689" s="20">
        <f>'Landscape Trees '!A547</f>
        <v>0</v>
      </c>
      <c r="B689" s="20">
        <f>'Landscape Trees '!C547</f>
        <v>0</v>
      </c>
      <c r="C689" s="20">
        <f>'Landscape Trees '!D547</f>
        <v>0</v>
      </c>
      <c r="D689" s="20">
        <f>'Landscape Trees '!E547</f>
        <v>0</v>
      </c>
      <c r="E689" s="20">
        <f>'Landscape Trees '!F547</f>
        <v>0</v>
      </c>
      <c r="F689" s="20">
        <f>'Landscape Trees '!G547</f>
        <v>0</v>
      </c>
      <c r="G689" s="20">
        <f>'Landscape Trees '!H547</f>
        <v>0</v>
      </c>
      <c r="H689" s="20">
        <f>'Landscape Trees '!I547</f>
        <v>0</v>
      </c>
    </row>
    <row r="690" spans="1:8" ht="12.75">
      <c r="A690" s="20">
        <f>'Landscape Trees '!A548</f>
        <v>0</v>
      </c>
      <c r="B690" s="20">
        <f>'Landscape Trees '!C548</f>
        <v>0</v>
      </c>
      <c r="C690" s="20">
        <f>'Landscape Trees '!D548</f>
        <v>0</v>
      </c>
      <c r="D690" s="20">
        <f>'Landscape Trees '!E548</f>
        <v>0</v>
      </c>
      <c r="E690" s="20">
        <f>'Landscape Trees '!F548</f>
        <v>0</v>
      </c>
      <c r="F690" s="20">
        <f>'Landscape Trees '!G548</f>
        <v>0</v>
      </c>
      <c r="G690" s="20">
        <f>'Landscape Trees '!H548</f>
        <v>0</v>
      </c>
      <c r="H690" s="20">
        <f>'Landscape Trees '!I548</f>
        <v>0</v>
      </c>
    </row>
    <row r="691" spans="1:8" ht="12.75">
      <c r="A691" s="20">
        <f>'Landscape Trees '!A549</f>
        <v>0</v>
      </c>
      <c r="B691" s="20">
        <f>'Landscape Trees '!C549</f>
        <v>0</v>
      </c>
      <c r="C691" s="20">
        <f>'Landscape Trees '!D549</f>
        <v>0</v>
      </c>
      <c r="D691" s="20">
        <f>'Landscape Trees '!E549</f>
        <v>0</v>
      </c>
      <c r="E691" s="20">
        <f>'Landscape Trees '!F549</f>
        <v>0</v>
      </c>
      <c r="F691" s="20">
        <f>'Landscape Trees '!G549</f>
        <v>0</v>
      </c>
      <c r="G691" s="20">
        <f>'Landscape Trees '!H549</f>
        <v>0</v>
      </c>
      <c r="H691" s="20">
        <f>'Landscape Trees '!I549</f>
        <v>0</v>
      </c>
    </row>
    <row r="692" spans="1:8" ht="12.75">
      <c r="A692" s="20">
        <f>'Landscape Trees '!A550</f>
        <v>0</v>
      </c>
      <c r="B692" s="20">
        <f>'Landscape Trees '!C550</f>
        <v>0</v>
      </c>
      <c r="C692" s="20">
        <f>'Landscape Trees '!D550</f>
        <v>0</v>
      </c>
      <c r="D692" s="20">
        <f>'Landscape Trees '!E550</f>
        <v>0</v>
      </c>
      <c r="E692" s="20">
        <f>'Landscape Trees '!F550</f>
        <v>0</v>
      </c>
      <c r="F692" s="20">
        <f>'Landscape Trees '!G550</f>
        <v>0</v>
      </c>
      <c r="G692" s="20">
        <f>'Landscape Trees '!H550</f>
        <v>0</v>
      </c>
      <c r="H692" s="20">
        <f>'Landscape Trees '!I550</f>
        <v>0</v>
      </c>
    </row>
    <row r="693" spans="1:8" ht="12.75">
      <c r="A693" s="20">
        <f>'Landscape Trees '!A551</f>
        <v>0</v>
      </c>
      <c r="B693" s="20">
        <f>'Landscape Trees '!C551</f>
        <v>0</v>
      </c>
      <c r="C693" s="20">
        <f>'Landscape Trees '!D551</f>
        <v>0</v>
      </c>
      <c r="D693" s="20">
        <f>'Landscape Trees '!E551</f>
        <v>0</v>
      </c>
      <c r="E693" s="20">
        <f>'Landscape Trees '!F551</f>
        <v>0</v>
      </c>
      <c r="F693" s="20">
        <f>'Landscape Trees '!G551</f>
        <v>0</v>
      </c>
      <c r="G693" s="20">
        <f>'Landscape Trees '!H551</f>
        <v>0</v>
      </c>
      <c r="H693" s="20">
        <f>'Landscape Trees '!I551</f>
        <v>0</v>
      </c>
    </row>
    <row r="694" spans="1:8" ht="12.75">
      <c r="A694" s="20">
        <f>'Landscape Trees '!A552</f>
        <v>0</v>
      </c>
      <c r="B694" s="20">
        <f>'Landscape Trees '!C552</f>
        <v>0</v>
      </c>
      <c r="C694" s="20">
        <f>'Landscape Trees '!D552</f>
        <v>0</v>
      </c>
      <c r="D694" s="20">
        <f>'Landscape Trees '!E552</f>
        <v>0</v>
      </c>
      <c r="E694" s="20">
        <f>'Landscape Trees '!F552</f>
        <v>0</v>
      </c>
      <c r="F694" s="20">
        <f>'Landscape Trees '!G552</f>
        <v>0</v>
      </c>
      <c r="G694" s="20">
        <f>'Landscape Trees '!H552</f>
        <v>0</v>
      </c>
      <c r="H694" s="20">
        <f>'Landscape Trees '!I552</f>
        <v>0</v>
      </c>
    </row>
    <row r="695" spans="1:8" ht="12.75">
      <c r="A695" s="20">
        <f>'Landscape Trees '!A553</f>
        <v>0</v>
      </c>
      <c r="B695" s="20">
        <f>'Landscape Trees '!C553</f>
        <v>0</v>
      </c>
      <c r="C695" s="20">
        <f>'Landscape Trees '!D553</f>
        <v>0</v>
      </c>
      <c r="D695" s="20">
        <f>'Landscape Trees '!E553</f>
        <v>0</v>
      </c>
      <c r="E695" s="20">
        <f>'Landscape Trees '!F553</f>
        <v>0</v>
      </c>
      <c r="F695" s="20">
        <f>'Landscape Trees '!G553</f>
        <v>0</v>
      </c>
      <c r="G695" s="20">
        <f>'Landscape Trees '!H553</f>
        <v>0</v>
      </c>
      <c r="H695" s="20">
        <f>'Landscape Trees '!I553</f>
        <v>0</v>
      </c>
    </row>
    <row r="696" spans="1:8" ht="12.75">
      <c r="A696" s="20">
        <f>'Landscape Trees '!A554</f>
        <v>0</v>
      </c>
      <c r="B696" s="20">
        <f>'Landscape Trees '!C554</f>
        <v>0</v>
      </c>
      <c r="C696" s="20">
        <f>'Landscape Trees '!D554</f>
        <v>0</v>
      </c>
      <c r="D696" s="20">
        <f>'Landscape Trees '!E554</f>
        <v>0</v>
      </c>
      <c r="E696" s="20">
        <f>'Landscape Trees '!F554</f>
        <v>0</v>
      </c>
      <c r="F696" s="20">
        <f>'Landscape Trees '!G554</f>
        <v>0</v>
      </c>
      <c r="G696" s="20">
        <f>'Landscape Trees '!H554</f>
        <v>0</v>
      </c>
      <c r="H696" s="20">
        <f>'Landscape Trees '!I554</f>
        <v>0</v>
      </c>
    </row>
    <row r="697" spans="1:8" ht="12.75">
      <c r="A697" s="20">
        <f>'Landscape Trees '!A555</f>
        <v>0</v>
      </c>
      <c r="B697" s="20">
        <f>'Landscape Trees '!C555</f>
        <v>0</v>
      </c>
      <c r="C697" s="20">
        <f>'Landscape Trees '!D555</f>
        <v>0</v>
      </c>
      <c r="D697" s="20">
        <f>'Landscape Trees '!E555</f>
        <v>0</v>
      </c>
      <c r="E697" s="20">
        <f>'Landscape Trees '!F555</f>
        <v>0</v>
      </c>
      <c r="F697" s="20">
        <f>'Landscape Trees '!G555</f>
        <v>0</v>
      </c>
      <c r="G697" s="20">
        <f>'Landscape Trees '!H555</f>
        <v>0</v>
      </c>
      <c r="H697" s="20">
        <f>'Landscape Trees '!I555</f>
        <v>0</v>
      </c>
    </row>
    <row r="698" spans="1:8" ht="12.75">
      <c r="A698" s="20">
        <f>'Landscape Trees '!A556</f>
        <v>0</v>
      </c>
      <c r="B698" s="20">
        <f>'Landscape Trees '!C556</f>
        <v>0</v>
      </c>
      <c r="C698" s="20">
        <f>'Landscape Trees '!D556</f>
        <v>0</v>
      </c>
      <c r="D698" s="20">
        <f>'Landscape Trees '!E556</f>
        <v>0</v>
      </c>
      <c r="E698" s="20">
        <f>'Landscape Trees '!F556</f>
        <v>0</v>
      </c>
      <c r="F698" s="20">
        <f>'Landscape Trees '!G556</f>
        <v>0</v>
      </c>
      <c r="G698" s="20">
        <f>'Landscape Trees '!H556</f>
        <v>0</v>
      </c>
      <c r="H698" s="20">
        <f>'Landscape Trees '!I556</f>
        <v>0</v>
      </c>
    </row>
    <row r="699" spans="1:8" ht="12.75">
      <c r="A699" s="20">
        <f>'Landscape Trees '!A557</f>
        <v>0</v>
      </c>
      <c r="B699" s="20">
        <f>'Landscape Trees '!C557</f>
        <v>0</v>
      </c>
      <c r="C699" s="20">
        <f>'Landscape Trees '!D557</f>
        <v>0</v>
      </c>
      <c r="D699" s="20">
        <f>'Landscape Trees '!E557</f>
        <v>0</v>
      </c>
      <c r="E699" s="20">
        <f>'Landscape Trees '!F557</f>
        <v>0</v>
      </c>
      <c r="F699" s="20">
        <f>'Landscape Trees '!G557</f>
        <v>0</v>
      </c>
      <c r="G699" s="20">
        <f>'Landscape Trees '!H557</f>
        <v>0</v>
      </c>
      <c r="H699" s="20">
        <f>'Landscape Trees '!I557</f>
        <v>0</v>
      </c>
    </row>
    <row r="700" spans="1:8" ht="12.75">
      <c r="A700" s="20">
        <f>'Landscape Trees '!A558</f>
        <v>0</v>
      </c>
      <c r="B700" s="20">
        <f>'Landscape Trees '!C558</f>
        <v>0</v>
      </c>
      <c r="C700" s="20">
        <f>'Landscape Trees '!D558</f>
        <v>0</v>
      </c>
      <c r="D700" s="20">
        <f>'Landscape Trees '!E558</f>
        <v>0</v>
      </c>
      <c r="E700" s="20">
        <f>'Landscape Trees '!F558</f>
        <v>0</v>
      </c>
      <c r="F700" s="20">
        <f>'Landscape Trees '!G558</f>
        <v>0</v>
      </c>
      <c r="G700" s="20">
        <f>'Landscape Trees '!H558</f>
        <v>0</v>
      </c>
      <c r="H700" s="20">
        <f>'Landscape Trees '!I558</f>
        <v>0</v>
      </c>
    </row>
    <row r="701" spans="1:8" ht="12.75">
      <c r="A701" s="20">
        <f>'Landscape Trees '!A559</f>
        <v>0</v>
      </c>
      <c r="B701" s="20">
        <f>'Landscape Trees '!C559</f>
        <v>0</v>
      </c>
      <c r="C701" s="20">
        <f>'Landscape Trees '!D559</f>
        <v>0</v>
      </c>
      <c r="D701" s="20">
        <f>'Landscape Trees '!E559</f>
        <v>0</v>
      </c>
      <c r="E701" s="20">
        <f>'Landscape Trees '!F559</f>
        <v>0</v>
      </c>
      <c r="F701" s="20">
        <f>'Landscape Trees '!G559</f>
        <v>0</v>
      </c>
      <c r="G701" s="20">
        <f>'Landscape Trees '!H559</f>
        <v>0</v>
      </c>
      <c r="H701" s="20">
        <f>'Landscape Trees '!I559</f>
        <v>0</v>
      </c>
    </row>
    <row r="702" spans="1:8" ht="12.75">
      <c r="A702" s="20">
        <f>'Landscape Trees '!A560</f>
        <v>0</v>
      </c>
      <c r="B702" s="20">
        <f>'Landscape Trees '!C560</f>
        <v>0</v>
      </c>
      <c r="C702" s="20">
        <f>'Landscape Trees '!D560</f>
        <v>0</v>
      </c>
      <c r="D702" s="20">
        <f>'Landscape Trees '!E560</f>
        <v>0</v>
      </c>
      <c r="E702" s="20">
        <f>'Landscape Trees '!F560</f>
        <v>0</v>
      </c>
      <c r="F702" s="20">
        <f>'Landscape Trees '!G560</f>
        <v>0</v>
      </c>
      <c r="G702" s="20">
        <f>'Landscape Trees '!H560</f>
        <v>0</v>
      </c>
      <c r="H702" s="20">
        <f>'Landscape Trees '!I560</f>
        <v>0</v>
      </c>
    </row>
    <row r="703" spans="1:8" ht="12.75">
      <c r="A703" s="20">
        <f>'Landscape Trees '!A561</f>
        <v>0</v>
      </c>
      <c r="B703" s="20">
        <f>'Landscape Trees '!C561</f>
        <v>0</v>
      </c>
      <c r="C703" s="20">
        <f>'Landscape Trees '!D561</f>
        <v>0</v>
      </c>
      <c r="D703" s="20">
        <f>'Landscape Trees '!E561</f>
        <v>0</v>
      </c>
      <c r="E703" s="20">
        <f>'Landscape Trees '!F561</f>
        <v>0</v>
      </c>
      <c r="F703" s="20">
        <f>'Landscape Trees '!G561</f>
        <v>0</v>
      </c>
      <c r="G703" s="20">
        <f>'Landscape Trees '!H561</f>
        <v>0</v>
      </c>
      <c r="H703" s="20">
        <f>'Landscape Trees '!I561</f>
        <v>0</v>
      </c>
    </row>
    <row r="704" spans="1:8" ht="12.75">
      <c r="A704" s="20">
        <f>'Landscape Trees '!A562</f>
        <v>0</v>
      </c>
      <c r="B704" s="20">
        <f>'Landscape Trees '!C562</f>
        <v>0</v>
      </c>
      <c r="C704" s="20">
        <f>'Landscape Trees '!D562</f>
        <v>0</v>
      </c>
      <c r="D704" s="20">
        <f>'Landscape Trees '!E562</f>
        <v>0</v>
      </c>
      <c r="E704" s="20">
        <f>'Landscape Trees '!F562</f>
        <v>0</v>
      </c>
      <c r="F704" s="20">
        <f>'Landscape Trees '!G562</f>
        <v>0</v>
      </c>
      <c r="G704" s="20">
        <f>'Landscape Trees '!H562</f>
        <v>0</v>
      </c>
      <c r="H704" s="20">
        <f>'Landscape Trees '!I562</f>
        <v>0</v>
      </c>
    </row>
    <row r="705" spans="1:8" ht="12.75">
      <c r="A705" s="20">
        <f>'Landscape Trees '!A563</f>
        <v>0</v>
      </c>
      <c r="B705" s="20">
        <f>'Landscape Trees '!C563</f>
        <v>0</v>
      </c>
      <c r="C705" s="20">
        <f>'Landscape Trees '!D563</f>
        <v>0</v>
      </c>
      <c r="D705" s="20">
        <f>'Landscape Trees '!E563</f>
        <v>0</v>
      </c>
      <c r="E705" s="20">
        <f>'Landscape Trees '!F563</f>
        <v>0</v>
      </c>
      <c r="F705" s="20">
        <f>'Landscape Trees '!G563</f>
        <v>0</v>
      </c>
      <c r="G705" s="20">
        <f>'Landscape Trees '!H563</f>
        <v>0</v>
      </c>
      <c r="H705" s="20">
        <f>'Landscape Trees '!I563</f>
        <v>0</v>
      </c>
    </row>
    <row r="706" spans="1:8" ht="12.75">
      <c r="A706" s="20">
        <f>'Landscape Trees '!A564</f>
        <v>0</v>
      </c>
      <c r="B706" s="20">
        <f>'Landscape Trees '!C564</f>
        <v>0</v>
      </c>
      <c r="C706" s="20">
        <f>'Landscape Trees '!D564</f>
        <v>0</v>
      </c>
      <c r="D706" s="20">
        <f>'Landscape Trees '!E564</f>
        <v>0</v>
      </c>
      <c r="E706" s="20">
        <f>'Landscape Trees '!F564</f>
        <v>0</v>
      </c>
      <c r="F706" s="20">
        <f>'Landscape Trees '!G564</f>
        <v>0</v>
      </c>
      <c r="G706" s="20">
        <f>'Landscape Trees '!H564</f>
        <v>0</v>
      </c>
      <c r="H706" s="20">
        <f>'Landscape Trees '!I564</f>
        <v>0</v>
      </c>
    </row>
    <row r="707" spans="1:8" ht="12.75">
      <c r="A707" s="20">
        <f>'Landscape Trees '!A565</f>
        <v>0</v>
      </c>
      <c r="B707" s="20">
        <f>'Landscape Trees '!C565</f>
        <v>0</v>
      </c>
      <c r="C707" s="20">
        <f>'Landscape Trees '!D565</f>
        <v>0</v>
      </c>
      <c r="D707" s="20">
        <f>'Landscape Trees '!E565</f>
        <v>0</v>
      </c>
      <c r="E707" s="20">
        <f>'Landscape Trees '!F565</f>
        <v>0</v>
      </c>
      <c r="F707" s="20">
        <f>'Landscape Trees '!G565</f>
        <v>0</v>
      </c>
      <c r="G707" s="20">
        <f>'Landscape Trees '!H565</f>
        <v>0</v>
      </c>
      <c r="H707" s="20">
        <f>'Landscape Trees '!I565</f>
        <v>0</v>
      </c>
    </row>
    <row r="708" spans="1:8" ht="12.75">
      <c r="A708" s="20">
        <f>'Landscape Trees '!A566</f>
        <v>0</v>
      </c>
      <c r="B708" s="20">
        <f>'Landscape Trees '!C566</f>
        <v>0</v>
      </c>
      <c r="C708" s="20">
        <f>'Landscape Trees '!D566</f>
        <v>0</v>
      </c>
      <c r="D708" s="20">
        <f>'Landscape Trees '!E566</f>
        <v>0</v>
      </c>
      <c r="E708" s="20">
        <f>'Landscape Trees '!F566</f>
        <v>0</v>
      </c>
      <c r="F708" s="20">
        <f>'Landscape Trees '!G566</f>
        <v>0</v>
      </c>
      <c r="G708" s="20">
        <f>'Landscape Trees '!H566</f>
        <v>0</v>
      </c>
      <c r="H708" s="20">
        <f>'Landscape Trees '!I566</f>
        <v>0</v>
      </c>
    </row>
    <row r="709" spans="1:8" ht="12.75">
      <c r="A709" s="20">
        <f>'Landscape Trees '!A567</f>
        <v>0</v>
      </c>
      <c r="B709" s="20">
        <f>'Landscape Trees '!C567</f>
        <v>0</v>
      </c>
      <c r="C709" s="20">
        <f>'Landscape Trees '!D567</f>
        <v>0</v>
      </c>
      <c r="D709" s="20">
        <f>'Landscape Trees '!E567</f>
        <v>0</v>
      </c>
      <c r="E709" s="20">
        <f>'Landscape Trees '!F567</f>
        <v>0</v>
      </c>
      <c r="F709" s="20">
        <f>'Landscape Trees '!G567</f>
        <v>0</v>
      </c>
      <c r="G709" s="20">
        <f>'Landscape Trees '!H567</f>
        <v>0</v>
      </c>
      <c r="H709" s="20">
        <f>'Landscape Trees '!I567</f>
        <v>0</v>
      </c>
    </row>
    <row r="710" spans="1:8" ht="12.75">
      <c r="A710" s="20">
        <f>'Landscape Trees '!A568</f>
        <v>0</v>
      </c>
      <c r="B710" s="20">
        <f>'Landscape Trees '!C568</f>
        <v>0</v>
      </c>
      <c r="C710" s="20">
        <f>'Landscape Trees '!D568</f>
        <v>0</v>
      </c>
      <c r="D710" s="20">
        <f>'Landscape Trees '!E568</f>
        <v>0</v>
      </c>
      <c r="E710" s="20">
        <f>'Landscape Trees '!F568</f>
        <v>0</v>
      </c>
      <c r="F710" s="20">
        <f>'Landscape Trees '!G568</f>
        <v>0</v>
      </c>
      <c r="G710" s="20">
        <f>'Landscape Trees '!H568</f>
        <v>0</v>
      </c>
      <c r="H710" s="20">
        <f>'Landscape Trees '!I568</f>
        <v>0</v>
      </c>
    </row>
    <row r="711" spans="1:8" ht="12.75">
      <c r="A711" s="20">
        <f>'Landscape Trees '!A569</f>
        <v>0</v>
      </c>
      <c r="B711" s="20">
        <f>'Landscape Trees '!C569</f>
        <v>0</v>
      </c>
      <c r="C711" s="20">
        <f>'Landscape Trees '!D569</f>
        <v>0</v>
      </c>
      <c r="D711" s="20">
        <f>'Landscape Trees '!E569</f>
        <v>0</v>
      </c>
      <c r="E711" s="20">
        <f>'Landscape Trees '!F569</f>
        <v>0</v>
      </c>
      <c r="F711" s="20">
        <f>'Landscape Trees '!G569</f>
        <v>0</v>
      </c>
      <c r="G711" s="20">
        <f>'Landscape Trees '!H569</f>
        <v>0</v>
      </c>
      <c r="H711" s="20">
        <f>'Landscape Trees '!I569</f>
        <v>0</v>
      </c>
    </row>
    <row r="712" spans="1:8" ht="12.75">
      <c r="A712" s="20">
        <f>'Landscape Trees '!A570</f>
        <v>0</v>
      </c>
      <c r="B712" s="20">
        <f>'Landscape Trees '!C570</f>
        <v>0</v>
      </c>
      <c r="C712" s="20">
        <f>'Landscape Trees '!D570</f>
        <v>0</v>
      </c>
      <c r="D712" s="20">
        <f>'Landscape Trees '!E570</f>
        <v>0</v>
      </c>
      <c r="E712" s="20">
        <f>'Landscape Trees '!F570</f>
        <v>0</v>
      </c>
      <c r="F712" s="20">
        <f>'Landscape Trees '!G570</f>
        <v>0</v>
      </c>
      <c r="G712" s="20">
        <f>'Landscape Trees '!H570</f>
        <v>0</v>
      </c>
      <c r="H712" s="20">
        <f>'Landscape Trees '!I570</f>
        <v>0</v>
      </c>
    </row>
    <row r="713" spans="1:8" ht="12.75">
      <c r="A713" s="20">
        <f>'Landscape Trees '!A571</f>
        <v>0</v>
      </c>
      <c r="B713" s="20">
        <f>'Landscape Trees '!C571</f>
        <v>0</v>
      </c>
      <c r="C713" s="20">
        <f>'Landscape Trees '!D571</f>
        <v>0</v>
      </c>
      <c r="D713" s="20">
        <f>'Landscape Trees '!E571</f>
        <v>0</v>
      </c>
      <c r="E713" s="20">
        <f>'Landscape Trees '!F571</f>
        <v>0</v>
      </c>
      <c r="F713" s="20">
        <f>'Landscape Trees '!G571</f>
        <v>0</v>
      </c>
      <c r="G713" s="20">
        <f>'Landscape Trees '!H571</f>
        <v>0</v>
      </c>
      <c r="H713" s="20">
        <f>'Landscape Trees '!I571</f>
        <v>0</v>
      </c>
    </row>
    <row r="714" spans="1:8" ht="12.75">
      <c r="A714" s="20">
        <f>'Landscape Trees '!A572</f>
        <v>0</v>
      </c>
      <c r="B714" s="20">
        <f>'Landscape Trees '!C572</f>
        <v>0</v>
      </c>
      <c r="C714" s="20">
        <f>'Landscape Trees '!D572</f>
        <v>0</v>
      </c>
      <c r="D714" s="20">
        <f>'Landscape Trees '!E572</f>
        <v>0</v>
      </c>
      <c r="E714" s="20">
        <f>'Landscape Trees '!F572</f>
        <v>0</v>
      </c>
      <c r="F714" s="20">
        <f>'Landscape Trees '!G572</f>
        <v>0</v>
      </c>
      <c r="G714" s="20">
        <f>'Landscape Trees '!H572</f>
        <v>0</v>
      </c>
      <c r="H714" s="20">
        <f>'Landscape Trees '!I572</f>
        <v>0</v>
      </c>
    </row>
    <row r="715" spans="1:8" ht="12.75">
      <c r="A715" s="20">
        <f>'Landscape Trees '!A573</f>
        <v>0</v>
      </c>
      <c r="B715" s="20">
        <f>'Landscape Trees '!C573</f>
        <v>0</v>
      </c>
      <c r="C715" s="20">
        <f>'Landscape Trees '!D573</f>
        <v>0</v>
      </c>
      <c r="D715" s="20">
        <f>'Landscape Trees '!E573</f>
        <v>0</v>
      </c>
      <c r="E715" s="20">
        <f>'Landscape Trees '!F573</f>
        <v>0</v>
      </c>
      <c r="F715" s="20">
        <f>'Landscape Trees '!G573</f>
        <v>0</v>
      </c>
      <c r="G715" s="20">
        <f>'Landscape Trees '!H573</f>
        <v>0</v>
      </c>
      <c r="H715" s="20">
        <f>'Landscape Trees '!I573</f>
        <v>0</v>
      </c>
    </row>
    <row r="716" spans="1:8" ht="12.75">
      <c r="A716" s="20">
        <f>'Landscape Trees '!A574</f>
        <v>0</v>
      </c>
      <c r="B716" s="20">
        <f>'Landscape Trees '!C574</f>
        <v>0</v>
      </c>
      <c r="C716" s="20">
        <f>'Landscape Trees '!D574</f>
        <v>0</v>
      </c>
      <c r="D716" s="20">
        <f>'Landscape Trees '!E574</f>
        <v>0</v>
      </c>
      <c r="E716" s="20">
        <f>'Landscape Trees '!F574</f>
        <v>0</v>
      </c>
      <c r="F716" s="20">
        <f>'Landscape Trees '!G574</f>
        <v>0</v>
      </c>
      <c r="G716" s="20">
        <f>'Landscape Trees '!H574</f>
        <v>0</v>
      </c>
      <c r="H716" s="20">
        <f>'Landscape Trees '!I574</f>
        <v>0</v>
      </c>
    </row>
    <row r="717" spans="1:8" ht="12.75">
      <c r="A717" s="20">
        <f>'Landscape Trees '!A575</f>
        <v>0</v>
      </c>
      <c r="B717" s="20">
        <f>'Landscape Trees '!C575</f>
        <v>0</v>
      </c>
      <c r="C717" s="20">
        <f>'Landscape Trees '!D575</f>
        <v>0</v>
      </c>
      <c r="D717" s="20">
        <f>'Landscape Trees '!E575</f>
        <v>0</v>
      </c>
      <c r="E717" s="20">
        <f>'Landscape Trees '!F575</f>
        <v>0</v>
      </c>
      <c r="F717" s="20">
        <f>'Landscape Trees '!G575</f>
        <v>0</v>
      </c>
      <c r="G717" s="20">
        <f>'Landscape Trees '!H575</f>
        <v>0</v>
      </c>
      <c r="H717" s="20">
        <f>'Landscape Trees '!I575</f>
        <v>0</v>
      </c>
    </row>
    <row r="718" spans="1:8" ht="12.75">
      <c r="A718" s="20">
        <f>'Landscape Trees '!A576</f>
        <v>0</v>
      </c>
      <c r="B718" s="20">
        <f>'Landscape Trees '!C576</f>
        <v>0</v>
      </c>
      <c r="C718" s="20">
        <f>'Landscape Trees '!D576</f>
        <v>0</v>
      </c>
      <c r="D718" s="20">
        <f>'Landscape Trees '!E576</f>
        <v>0</v>
      </c>
      <c r="E718" s="20">
        <f>'Landscape Trees '!F576</f>
        <v>0</v>
      </c>
      <c r="F718" s="20">
        <f>'Landscape Trees '!G576</f>
        <v>0</v>
      </c>
      <c r="G718" s="20">
        <f>'Landscape Trees '!H576</f>
        <v>0</v>
      </c>
      <c r="H718" s="20">
        <f>'Landscape Trees '!I576</f>
        <v>0</v>
      </c>
    </row>
    <row r="719" spans="1:8" ht="12.75">
      <c r="A719" s="20">
        <f>'Landscape Trees '!A577</f>
        <v>0</v>
      </c>
      <c r="B719" s="20">
        <f>'Landscape Trees '!C577</f>
        <v>0</v>
      </c>
      <c r="C719" s="20">
        <f>'Landscape Trees '!D577</f>
        <v>0</v>
      </c>
      <c r="D719" s="20">
        <f>'Landscape Trees '!E577</f>
        <v>0</v>
      </c>
      <c r="E719" s="20">
        <f>'Landscape Trees '!F577</f>
        <v>0</v>
      </c>
      <c r="F719" s="20">
        <f>'Landscape Trees '!G577</f>
        <v>0</v>
      </c>
      <c r="G719" s="20">
        <f>'Landscape Trees '!H577</f>
        <v>0</v>
      </c>
      <c r="H719" s="20">
        <f>'Landscape Trees '!I577</f>
        <v>0</v>
      </c>
    </row>
    <row r="720" spans="1:8" ht="12.75">
      <c r="A720" s="20">
        <f>'Landscape Trees '!A578</f>
        <v>0</v>
      </c>
      <c r="B720" s="20">
        <f>'Landscape Trees '!C578</f>
        <v>0</v>
      </c>
      <c r="C720" s="20">
        <f>'Landscape Trees '!D578</f>
        <v>0</v>
      </c>
      <c r="D720" s="20">
        <f>'Landscape Trees '!E578</f>
        <v>0</v>
      </c>
      <c r="E720" s="20">
        <f>'Landscape Trees '!F578</f>
        <v>0</v>
      </c>
      <c r="F720" s="20">
        <f>'Landscape Trees '!G578</f>
        <v>0</v>
      </c>
      <c r="G720" s="20">
        <f>'Landscape Trees '!H578</f>
        <v>0</v>
      </c>
      <c r="H720" s="20">
        <f>'Landscape Trees '!I578</f>
        <v>0</v>
      </c>
    </row>
    <row r="721" spans="1:8" ht="12.75">
      <c r="A721" s="20">
        <f>'Landscape Trees '!A579</f>
        <v>0</v>
      </c>
      <c r="B721" s="20">
        <f>'Landscape Trees '!C579</f>
        <v>0</v>
      </c>
      <c r="C721" s="20">
        <f>'Landscape Trees '!D579</f>
        <v>0</v>
      </c>
      <c r="D721" s="20">
        <f>'Landscape Trees '!E579</f>
        <v>0</v>
      </c>
      <c r="E721" s="20">
        <f>'Landscape Trees '!F579</f>
        <v>0</v>
      </c>
      <c r="F721" s="20">
        <f>'Landscape Trees '!G579</f>
        <v>0</v>
      </c>
      <c r="G721" s="20">
        <f>'Landscape Trees '!H579</f>
        <v>0</v>
      </c>
      <c r="H721" s="20">
        <f>'Landscape Trees '!I579</f>
        <v>0</v>
      </c>
    </row>
    <row r="722" spans="1:8" ht="12.75">
      <c r="A722" s="20">
        <f>'Landscape Trees '!A580</f>
        <v>0</v>
      </c>
      <c r="B722" s="20">
        <f>'Landscape Trees '!C580</f>
        <v>0</v>
      </c>
      <c r="C722" s="20">
        <f>'Landscape Trees '!D580</f>
        <v>0</v>
      </c>
      <c r="D722" s="20">
        <f>'Landscape Trees '!E580</f>
        <v>0</v>
      </c>
      <c r="E722" s="20">
        <f>'Landscape Trees '!F580</f>
        <v>0</v>
      </c>
      <c r="F722" s="20">
        <f>'Landscape Trees '!G580</f>
        <v>0</v>
      </c>
      <c r="G722" s="20">
        <f>'Landscape Trees '!H580</f>
        <v>0</v>
      </c>
      <c r="H722" s="20">
        <f>'Landscape Trees '!I580</f>
        <v>0</v>
      </c>
    </row>
    <row r="723" spans="1:8" ht="12.75">
      <c r="A723" s="20">
        <f>'Landscape Trees '!A581</f>
        <v>0</v>
      </c>
      <c r="B723" s="20">
        <f>'Landscape Trees '!C581</f>
        <v>0</v>
      </c>
      <c r="C723" s="20">
        <f>'Landscape Trees '!D581</f>
        <v>0</v>
      </c>
      <c r="D723" s="20">
        <f>'Landscape Trees '!E581</f>
        <v>0</v>
      </c>
      <c r="E723" s="20">
        <f>'Landscape Trees '!F581</f>
        <v>0</v>
      </c>
      <c r="F723" s="20">
        <f>'Landscape Trees '!G581</f>
        <v>0</v>
      </c>
      <c r="G723" s="20">
        <f>'Landscape Trees '!H581</f>
        <v>0</v>
      </c>
      <c r="H723" s="20">
        <f>'Landscape Trees '!I581</f>
        <v>0</v>
      </c>
    </row>
    <row r="724" spans="1:8" ht="12.75">
      <c r="A724" s="20">
        <f>'Landscape Trees '!A582</f>
        <v>0</v>
      </c>
      <c r="B724" s="20">
        <f>'Landscape Trees '!C582</f>
        <v>0</v>
      </c>
      <c r="C724" s="20">
        <f>'Landscape Trees '!D582</f>
        <v>0</v>
      </c>
      <c r="D724" s="20">
        <f>'Landscape Trees '!E582</f>
        <v>0</v>
      </c>
      <c r="E724" s="20">
        <f>'Landscape Trees '!F582</f>
        <v>0</v>
      </c>
      <c r="F724" s="20">
        <f>'Landscape Trees '!G582</f>
        <v>0</v>
      </c>
      <c r="G724" s="20">
        <f>'Landscape Trees '!H582</f>
        <v>0</v>
      </c>
      <c r="H724" s="20">
        <f>'Landscape Trees '!I582</f>
        <v>0</v>
      </c>
    </row>
    <row r="725" spans="1:8" ht="12.75">
      <c r="A725" s="20">
        <f>'Landscape Trees '!A583</f>
        <v>0</v>
      </c>
      <c r="B725" s="20">
        <f>'Landscape Trees '!C583</f>
        <v>0</v>
      </c>
      <c r="C725" s="20">
        <f>'Landscape Trees '!D583</f>
        <v>0</v>
      </c>
      <c r="D725" s="20">
        <f>'Landscape Trees '!E583</f>
        <v>0</v>
      </c>
      <c r="E725" s="20">
        <f>'Landscape Trees '!F583</f>
        <v>0</v>
      </c>
      <c r="F725" s="20">
        <f>'Landscape Trees '!G583</f>
        <v>0</v>
      </c>
      <c r="G725" s="20">
        <f>'Landscape Trees '!H583</f>
        <v>0</v>
      </c>
      <c r="H725" s="20">
        <f>'Landscape Trees '!I583</f>
        <v>0</v>
      </c>
    </row>
    <row r="726" spans="1:8" ht="12.75">
      <c r="A726" s="20">
        <f>'Landscape Trees '!A584</f>
        <v>0</v>
      </c>
      <c r="B726" s="20">
        <f>'Landscape Trees '!C584</f>
        <v>0</v>
      </c>
      <c r="C726" s="20">
        <f>'Landscape Trees '!D584</f>
        <v>0</v>
      </c>
      <c r="D726" s="20">
        <f>'Landscape Trees '!E584</f>
        <v>0</v>
      </c>
      <c r="E726" s="20">
        <f>'Landscape Trees '!F584</f>
        <v>0</v>
      </c>
      <c r="F726" s="20">
        <f>'Landscape Trees '!G584</f>
        <v>0</v>
      </c>
      <c r="G726" s="20">
        <f>'Landscape Trees '!H584</f>
        <v>0</v>
      </c>
      <c r="H726" s="20">
        <f>'Landscape Trees '!I584</f>
        <v>0</v>
      </c>
    </row>
    <row r="727" spans="1:8" ht="12.75">
      <c r="A727" s="20">
        <f>'Landscape Trees '!A585</f>
        <v>0</v>
      </c>
      <c r="B727" s="20">
        <f>'Landscape Trees '!C585</f>
        <v>0</v>
      </c>
      <c r="C727" s="20">
        <f>'Landscape Trees '!D585</f>
        <v>0</v>
      </c>
      <c r="D727" s="20">
        <f>'Landscape Trees '!E585</f>
        <v>0</v>
      </c>
      <c r="E727" s="20">
        <f>'Landscape Trees '!F585</f>
        <v>0</v>
      </c>
      <c r="F727" s="20">
        <f>'Landscape Trees '!G585</f>
        <v>0</v>
      </c>
      <c r="G727" s="20">
        <f>'Landscape Trees '!H585</f>
        <v>0</v>
      </c>
      <c r="H727" s="20">
        <f>'Landscape Trees '!I585</f>
        <v>0</v>
      </c>
    </row>
    <row r="728" spans="1:8" ht="12.75">
      <c r="A728" s="20">
        <f>'Landscape Trees '!A586</f>
        <v>0</v>
      </c>
      <c r="B728" s="20">
        <f>'Landscape Trees '!C586</f>
        <v>0</v>
      </c>
      <c r="C728" s="20">
        <f>'Landscape Trees '!D586</f>
        <v>0</v>
      </c>
      <c r="D728" s="20">
        <f>'Landscape Trees '!E586</f>
        <v>0</v>
      </c>
      <c r="E728" s="20">
        <f>'Landscape Trees '!F586</f>
        <v>0</v>
      </c>
      <c r="F728" s="20">
        <f>'Landscape Trees '!G586</f>
        <v>0</v>
      </c>
      <c r="G728" s="20">
        <f>'Landscape Trees '!H586</f>
        <v>0</v>
      </c>
      <c r="H728" s="20">
        <f>'Landscape Trees '!I586</f>
        <v>0</v>
      </c>
    </row>
    <row r="729" spans="1:8" ht="12.75">
      <c r="A729" s="20">
        <f>'Landscape Trees '!A587</f>
        <v>0</v>
      </c>
      <c r="B729" s="20">
        <f>'Landscape Trees '!C587</f>
        <v>0</v>
      </c>
      <c r="C729" s="20">
        <f>'Landscape Trees '!D587</f>
        <v>0</v>
      </c>
      <c r="D729" s="20">
        <f>'Landscape Trees '!E587</f>
        <v>0</v>
      </c>
      <c r="E729" s="20">
        <f>'Landscape Trees '!F587</f>
        <v>0</v>
      </c>
      <c r="F729" s="20">
        <f>'Landscape Trees '!G587</f>
        <v>0</v>
      </c>
      <c r="G729" s="20">
        <f>'Landscape Trees '!H587</f>
        <v>0</v>
      </c>
      <c r="H729" s="20">
        <f>'Landscape Trees '!I587</f>
        <v>0</v>
      </c>
    </row>
    <row r="730" spans="1:8" ht="12.75">
      <c r="A730" s="20">
        <f>'Landscape Trees '!A588</f>
        <v>0</v>
      </c>
      <c r="B730" s="20">
        <f>'Landscape Trees '!C588</f>
        <v>0</v>
      </c>
      <c r="C730" s="20">
        <f>'Landscape Trees '!D588</f>
        <v>0</v>
      </c>
      <c r="D730" s="20">
        <f>'Landscape Trees '!E588</f>
        <v>0</v>
      </c>
      <c r="E730" s="20">
        <f>'Landscape Trees '!F588</f>
        <v>0</v>
      </c>
      <c r="F730" s="20">
        <f>'Landscape Trees '!G588</f>
        <v>0</v>
      </c>
      <c r="G730" s="20">
        <f>'Landscape Trees '!H588</f>
        <v>0</v>
      </c>
      <c r="H730" s="20">
        <f>'Landscape Trees '!I588</f>
        <v>0</v>
      </c>
    </row>
    <row r="731" spans="1:8" ht="12.75">
      <c r="A731" s="20">
        <f>'Landscape Trees '!A589</f>
        <v>0</v>
      </c>
      <c r="B731" s="20">
        <f>'Landscape Trees '!C589</f>
        <v>0</v>
      </c>
      <c r="C731" s="20">
        <f>'Landscape Trees '!D589</f>
        <v>0</v>
      </c>
      <c r="D731" s="20">
        <f>'Landscape Trees '!E589</f>
        <v>0</v>
      </c>
      <c r="E731" s="20">
        <f>'Landscape Trees '!F589</f>
        <v>0</v>
      </c>
      <c r="F731" s="20">
        <f>'Landscape Trees '!G589</f>
        <v>0</v>
      </c>
      <c r="G731" s="20">
        <f>'Landscape Trees '!H589</f>
        <v>0</v>
      </c>
      <c r="H731" s="20">
        <f>'Landscape Trees '!I589</f>
        <v>0</v>
      </c>
    </row>
    <row r="732" spans="1:8" ht="12.75">
      <c r="A732" s="20">
        <f>'Landscape Trees '!A590</f>
        <v>0</v>
      </c>
      <c r="B732" s="20">
        <f>'Landscape Trees '!C590</f>
        <v>0</v>
      </c>
      <c r="C732" s="20">
        <f>'Landscape Trees '!D590</f>
        <v>0</v>
      </c>
      <c r="D732" s="20">
        <f>'Landscape Trees '!E590</f>
        <v>0</v>
      </c>
      <c r="E732" s="20">
        <f>'Landscape Trees '!F590</f>
        <v>0</v>
      </c>
      <c r="F732" s="20">
        <f>'Landscape Trees '!G590</f>
        <v>0</v>
      </c>
      <c r="G732" s="20">
        <f>'Landscape Trees '!H590</f>
        <v>0</v>
      </c>
      <c r="H732" s="20">
        <f>'Landscape Trees '!I590</f>
        <v>0</v>
      </c>
    </row>
    <row r="733" spans="1:8" ht="12.75">
      <c r="A733" s="20">
        <f>'Landscape Trees '!A591</f>
        <v>0</v>
      </c>
      <c r="B733" s="20">
        <f>'Landscape Trees '!C591</f>
        <v>0</v>
      </c>
      <c r="C733" s="20">
        <f>'Landscape Trees '!D591</f>
        <v>0</v>
      </c>
      <c r="D733" s="20">
        <f>'Landscape Trees '!E591</f>
        <v>0</v>
      </c>
      <c r="E733" s="20">
        <f>'Landscape Trees '!F591</f>
        <v>0</v>
      </c>
      <c r="F733" s="20">
        <f>'Landscape Trees '!G591</f>
        <v>0</v>
      </c>
      <c r="G733" s="20">
        <f>'Landscape Trees '!H591</f>
        <v>0</v>
      </c>
      <c r="H733" s="20">
        <f>'Landscape Trees '!I591</f>
        <v>0</v>
      </c>
    </row>
    <row r="734" spans="1:8" ht="12.75">
      <c r="A734" s="20">
        <f>'Landscape Trees '!A592</f>
        <v>0</v>
      </c>
      <c r="B734" s="20">
        <f>'Landscape Trees '!C592</f>
        <v>0</v>
      </c>
      <c r="C734" s="20">
        <f>'Landscape Trees '!D592</f>
        <v>0</v>
      </c>
      <c r="D734" s="20">
        <f>'Landscape Trees '!E592</f>
        <v>0</v>
      </c>
      <c r="E734" s="20">
        <f>'Landscape Trees '!F592</f>
        <v>0</v>
      </c>
      <c r="F734" s="20">
        <f>'Landscape Trees '!G592</f>
        <v>0</v>
      </c>
      <c r="G734" s="20">
        <f>'Landscape Trees '!H592</f>
        <v>0</v>
      </c>
      <c r="H734" s="20">
        <f>'Landscape Trees '!I592</f>
        <v>0</v>
      </c>
    </row>
    <row r="735" spans="1:8" ht="12.75">
      <c r="A735" s="20">
        <f>'Landscape Trees '!A593</f>
        <v>0</v>
      </c>
      <c r="B735" s="20">
        <f>'Landscape Trees '!C593</f>
        <v>0</v>
      </c>
      <c r="C735" s="20">
        <f>'Landscape Trees '!D593</f>
        <v>0</v>
      </c>
      <c r="D735" s="20">
        <f>'Landscape Trees '!E593</f>
        <v>0</v>
      </c>
      <c r="E735" s="20">
        <f>'Landscape Trees '!F593</f>
        <v>0</v>
      </c>
      <c r="F735" s="20">
        <f>'Landscape Trees '!G593</f>
        <v>0</v>
      </c>
      <c r="G735" s="20">
        <f>'Landscape Trees '!H593</f>
        <v>0</v>
      </c>
      <c r="H735" s="20">
        <f>'Landscape Trees '!I593</f>
        <v>0</v>
      </c>
    </row>
    <row r="736" spans="1:8" ht="12.75">
      <c r="A736" s="20">
        <f>'Landscape Trees '!A594</f>
        <v>0</v>
      </c>
      <c r="B736" s="20">
        <f>'Landscape Trees '!C594</f>
        <v>0</v>
      </c>
      <c r="C736" s="20">
        <f>'Landscape Trees '!D594</f>
        <v>0</v>
      </c>
      <c r="D736" s="20">
        <f>'Landscape Trees '!E594</f>
        <v>0</v>
      </c>
      <c r="E736" s="20">
        <f>'Landscape Trees '!F594</f>
        <v>0</v>
      </c>
      <c r="F736" s="20">
        <f>'Landscape Trees '!G594</f>
        <v>0</v>
      </c>
      <c r="G736" s="20">
        <f>'Landscape Trees '!H594</f>
        <v>0</v>
      </c>
      <c r="H736" s="20">
        <f>'Landscape Trees '!I594</f>
        <v>0</v>
      </c>
    </row>
    <row r="737" spans="1:8" ht="12.75">
      <c r="A737" s="20">
        <f>'Landscape Trees '!A595</f>
        <v>0</v>
      </c>
      <c r="B737" s="20">
        <f>'Landscape Trees '!C595</f>
        <v>0</v>
      </c>
      <c r="C737" s="20">
        <f>'Landscape Trees '!D595</f>
        <v>0</v>
      </c>
      <c r="D737" s="20">
        <f>'Landscape Trees '!E595</f>
        <v>0</v>
      </c>
      <c r="E737" s="20">
        <f>'Landscape Trees '!F595</f>
        <v>0</v>
      </c>
      <c r="F737" s="20">
        <f>'Landscape Trees '!G595</f>
        <v>0</v>
      </c>
      <c r="G737" s="20">
        <f>'Landscape Trees '!H595</f>
        <v>0</v>
      </c>
      <c r="H737" s="20">
        <f>'Landscape Trees '!I595</f>
        <v>0</v>
      </c>
    </row>
    <row r="738" spans="1:8" ht="12.75">
      <c r="A738" s="20">
        <f>'Landscape Trees '!A596</f>
        <v>0</v>
      </c>
      <c r="B738" s="20">
        <f>'Landscape Trees '!C596</f>
        <v>0</v>
      </c>
      <c r="C738" s="20">
        <f>'Landscape Trees '!D596</f>
        <v>0</v>
      </c>
      <c r="D738" s="20">
        <f>'Landscape Trees '!E596</f>
        <v>0</v>
      </c>
      <c r="E738" s="20">
        <f>'Landscape Trees '!F596</f>
        <v>0</v>
      </c>
      <c r="F738" s="20">
        <f>'Landscape Trees '!G596</f>
        <v>0</v>
      </c>
      <c r="G738" s="20">
        <f>'Landscape Trees '!H596</f>
        <v>0</v>
      </c>
      <c r="H738" s="20">
        <f>'Landscape Trees '!I596</f>
        <v>0</v>
      </c>
    </row>
    <row r="739" spans="1:8" ht="12.75">
      <c r="A739" s="20">
        <f>'Landscape Trees '!A597</f>
        <v>0</v>
      </c>
      <c r="B739" s="20">
        <f>'Landscape Trees '!C597</f>
        <v>0</v>
      </c>
      <c r="C739" s="20">
        <f>'Landscape Trees '!D597</f>
        <v>0</v>
      </c>
      <c r="D739" s="20">
        <f>'Landscape Trees '!E597</f>
        <v>0</v>
      </c>
      <c r="E739" s="20">
        <f>'Landscape Trees '!F597</f>
        <v>0</v>
      </c>
      <c r="F739" s="20">
        <f>'Landscape Trees '!G597</f>
        <v>0</v>
      </c>
      <c r="G739" s="20">
        <f>'Landscape Trees '!H597</f>
        <v>0</v>
      </c>
      <c r="H739" s="20">
        <f>'Landscape Trees '!I597</f>
        <v>0</v>
      </c>
    </row>
    <row r="740" spans="1:8" ht="12.75">
      <c r="A740" s="20">
        <f>'Landscape Trees '!A598</f>
        <v>0</v>
      </c>
      <c r="B740" s="20">
        <f>'Landscape Trees '!C598</f>
        <v>0</v>
      </c>
      <c r="C740" s="20">
        <f>'Landscape Trees '!D598</f>
        <v>0</v>
      </c>
      <c r="D740" s="20">
        <f>'Landscape Trees '!E598</f>
        <v>0</v>
      </c>
      <c r="E740" s="20">
        <f>'Landscape Trees '!F598</f>
        <v>0</v>
      </c>
      <c r="F740" s="20">
        <f>'Landscape Trees '!G598</f>
        <v>0</v>
      </c>
      <c r="G740" s="20">
        <f>'Landscape Trees '!H598</f>
        <v>0</v>
      </c>
      <c r="H740" s="20">
        <f>'Landscape Trees '!I598</f>
        <v>0</v>
      </c>
    </row>
    <row r="741" spans="1:8" ht="12.75">
      <c r="A741" s="20">
        <f>'Landscape Trees '!A599</f>
        <v>0</v>
      </c>
      <c r="B741" s="20">
        <f>'Landscape Trees '!C599</f>
        <v>0</v>
      </c>
      <c r="C741" s="20">
        <f>'Landscape Trees '!D599</f>
        <v>0</v>
      </c>
      <c r="D741" s="20">
        <f>'Landscape Trees '!E599</f>
        <v>0</v>
      </c>
      <c r="E741" s="20">
        <f>'Landscape Trees '!F599</f>
        <v>0</v>
      </c>
      <c r="F741" s="20">
        <f>'Landscape Trees '!G599</f>
        <v>0</v>
      </c>
      <c r="G741" s="20">
        <f>'Landscape Trees '!H599</f>
        <v>0</v>
      </c>
      <c r="H741" s="20">
        <f>'Landscape Trees '!I599</f>
        <v>0</v>
      </c>
    </row>
    <row r="742" spans="1:8" ht="12.75">
      <c r="A742" s="20">
        <f>'Landscape Trees '!A600</f>
        <v>0</v>
      </c>
      <c r="B742" s="20">
        <f>'Landscape Trees '!C600</f>
        <v>0</v>
      </c>
      <c r="C742" s="20">
        <f>'Landscape Trees '!D600</f>
        <v>0</v>
      </c>
      <c r="D742" s="20">
        <f>'Landscape Trees '!E600</f>
        <v>0</v>
      </c>
      <c r="E742" s="20">
        <f>'Landscape Trees '!F600</f>
        <v>0</v>
      </c>
      <c r="F742" s="20">
        <f>'Landscape Trees '!G600</f>
        <v>0</v>
      </c>
      <c r="G742" s="20">
        <f>'Landscape Trees '!H600</f>
        <v>0</v>
      </c>
      <c r="H742" s="20">
        <f>'Landscape Trees '!I600</f>
        <v>0</v>
      </c>
    </row>
    <row r="743" spans="1:8" ht="12.75">
      <c r="A743" s="20">
        <f>'Landscape Trees '!A601</f>
        <v>0</v>
      </c>
      <c r="B743" s="20">
        <f>'Landscape Trees '!C601</f>
        <v>0</v>
      </c>
      <c r="C743" s="20">
        <f>'Landscape Trees '!D601</f>
        <v>0</v>
      </c>
      <c r="D743" s="20">
        <f>'Landscape Trees '!E601</f>
        <v>0</v>
      </c>
      <c r="E743" s="20">
        <f>'Landscape Trees '!F601</f>
        <v>0</v>
      </c>
      <c r="F743" s="20">
        <f>'Landscape Trees '!G601</f>
        <v>0</v>
      </c>
      <c r="G743" s="20">
        <f>'Landscape Trees '!H601</f>
        <v>0</v>
      </c>
      <c r="H743" s="20">
        <f>'Landscape Trees '!I601</f>
        <v>0</v>
      </c>
    </row>
    <row r="744" spans="1:8" ht="12.75">
      <c r="A744" s="20">
        <f>'Landscape Trees '!A602</f>
        <v>0</v>
      </c>
      <c r="B744" s="20">
        <f>'Landscape Trees '!C602</f>
        <v>0</v>
      </c>
      <c r="C744" s="20">
        <f>'Landscape Trees '!D602</f>
        <v>0</v>
      </c>
      <c r="D744" s="20">
        <f>'Landscape Trees '!E602</f>
        <v>0</v>
      </c>
      <c r="E744" s="20">
        <f>'Landscape Trees '!F602</f>
        <v>0</v>
      </c>
      <c r="F744" s="20">
        <f>'Landscape Trees '!G602</f>
        <v>0</v>
      </c>
      <c r="G744" s="20">
        <f>'Landscape Trees '!H602</f>
        <v>0</v>
      </c>
      <c r="H744" s="20">
        <f>'Landscape Trees '!I602</f>
        <v>0</v>
      </c>
    </row>
    <row r="745" spans="1:8" ht="12.75">
      <c r="A745" s="20">
        <f>'Landscape Trees '!A603</f>
        <v>0</v>
      </c>
      <c r="B745" s="20">
        <f>'Landscape Trees '!C603</f>
        <v>0</v>
      </c>
      <c r="C745" s="20">
        <f>'Landscape Trees '!D603</f>
        <v>0</v>
      </c>
      <c r="D745" s="20">
        <f>'Landscape Trees '!E603</f>
        <v>0</v>
      </c>
      <c r="E745" s="20">
        <f>'Landscape Trees '!F603</f>
        <v>0</v>
      </c>
      <c r="F745" s="20">
        <f>'Landscape Trees '!G603</f>
        <v>0</v>
      </c>
      <c r="G745" s="20">
        <f>'Landscape Trees '!H603</f>
        <v>0</v>
      </c>
      <c r="H745" s="20">
        <f>'Landscape Trees '!I603</f>
        <v>0</v>
      </c>
    </row>
    <row r="746" spans="1:8" ht="12.75">
      <c r="A746" s="20">
        <f>'Landscape Trees '!A604</f>
        <v>0</v>
      </c>
      <c r="B746" s="20">
        <f>'Landscape Trees '!C604</f>
        <v>0</v>
      </c>
      <c r="C746" s="20">
        <f>'Landscape Trees '!D604</f>
        <v>0</v>
      </c>
      <c r="D746" s="20">
        <f>'Landscape Trees '!E604</f>
        <v>0</v>
      </c>
      <c r="E746" s="20">
        <f>'Landscape Trees '!F604</f>
        <v>0</v>
      </c>
      <c r="F746" s="20">
        <f>'Landscape Trees '!G604</f>
        <v>0</v>
      </c>
      <c r="G746" s="20">
        <f>'Landscape Trees '!H604</f>
        <v>0</v>
      </c>
      <c r="H746" s="20">
        <f>'Landscape Trees '!I604</f>
        <v>0</v>
      </c>
    </row>
    <row r="747" spans="1:8" ht="12.75">
      <c r="A747" s="20">
        <f>'Landscape Trees '!A605</f>
        <v>0</v>
      </c>
      <c r="B747" s="20">
        <f>'Landscape Trees '!C605</f>
        <v>0</v>
      </c>
      <c r="C747" s="20">
        <f>'Landscape Trees '!D605</f>
        <v>0</v>
      </c>
      <c r="D747" s="20">
        <f>'Landscape Trees '!E605</f>
        <v>0</v>
      </c>
      <c r="E747" s="20">
        <f>'Landscape Trees '!F605</f>
        <v>0</v>
      </c>
      <c r="F747" s="20">
        <f>'Landscape Trees '!G605</f>
        <v>0</v>
      </c>
      <c r="G747" s="20">
        <f>'Landscape Trees '!H605</f>
        <v>0</v>
      </c>
      <c r="H747" s="20">
        <f>'Landscape Trees '!I605</f>
        <v>0</v>
      </c>
    </row>
    <row r="748" spans="1:8" ht="12.75">
      <c r="A748" s="20">
        <f>'Landscape Trees '!A606</f>
        <v>0</v>
      </c>
      <c r="B748" s="20">
        <f>'Landscape Trees '!C606</f>
        <v>0</v>
      </c>
      <c r="C748" s="20">
        <f>'Landscape Trees '!D606</f>
        <v>0</v>
      </c>
      <c r="D748" s="20">
        <f>'Landscape Trees '!E606</f>
        <v>0</v>
      </c>
      <c r="E748" s="20">
        <f>'Landscape Trees '!F606</f>
        <v>0</v>
      </c>
      <c r="F748" s="20">
        <f>'Landscape Trees '!G606</f>
        <v>0</v>
      </c>
      <c r="G748" s="20">
        <f>'Landscape Trees '!H606</f>
        <v>0</v>
      </c>
      <c r="H748" s="20">
        <f>'Landscape Trees '!I606</f>
        <v>0</v>
      </c>
    </row>
    <row r="749" spans="1:8" ht="12.75">
      <c r="A749" s="20">
        <f>'Landscape Trees '!A607</f>
        <v>0</v>
      </c>
      <c r="B749" s="20">
        <f>'Landscape Trees '!C607</f>
        <v>0</v>
      </c>
      <c r="C749" s="20">
        <f>'Landscape Trees '!D607</f>
        <v>0</v>
      </c>
      <c r="D749" s="20">
        <f>'Landscape Trees '!E607</f>
        <v>0</v>
      </c>
      <c r="E749" s="20">
        <f>'Landscape Trees '!F607</f>
        <v>0</v>
      </c>
      <c r="F749" s="20">
        <f>'Landscape Trees '!G607</f>
        <v>0</v>
      </c>
      <c r="G749" s="20">
        <f>'Landscape Trees '!H607</f>
        <v>0</v>
      </c>
      <c r="H749" s="20">
        <f>'Landscape Trees '!I607</f>
        <v>0</v>
      </c>
    </row>
    <row r="750" spans="1:8" ht="12.75">
      <c r="A750" s="20">
        <f>'Landscape Trees '!A608</f>
        <v>0</v>
      </c>
      <c r="B750" s="20">
        <f>'Landscape Trees '!C608</f>
        <v>0</v>
      </c>
      <c r="C750" s="20">
        <f>'Landscape Trees '!D608</f>
        <v>0</v>
      </c>
      <c r="D750" s="20">
        <f>'Landscape Trees '!E608</f>
        <v>0</v>
      </c>
      <c r="E750" s="20">
        <f>'Landscape Trees '!F608</f>
        <v>0</v>
      </c>
      <c r="F750" s="20">
        <f>'Landscape Trees '!G608</f>
        <v>0</v>
      </c>
      <c r="G750" s="20">
        <f>'Landscape Trees '!H608</f>
        <v>0</v>
      </c>
      <c r="H750" s="20">
        <f>'Landscape Trees '!I608</f>
        <v>0</v>
      </c>
    </row>
    <row r="751" spans="1:8" ht="12.75">
      <c r="A751" s="20">
        <f>'Landscape Trees '!A609</f>
        <v>0</v>
      </c>
      <c r="B751" s="20">
        <f>'Landscape Trees '!C609</f>
        <v>0</v>
      </c>
      <c r="C751" s="20">
        <f>'Landscape Trees '!D609</f>
        <v>0</v>
      </c>
      <c r="D751" s="20">
        <f>'Landscape Trees '!E609</f>
        <v>0</v>
      </c>
      <c r="E751" s="20">
        <f>'Landscape Trees '!F609</f>
        <v>0</v>
      </c>
      <c r="F751" s="20">
        <f>'Landscape Trees '!G609</f>
        <v>0</v>
      </c>
      <c r="G751" s="20">
        <f>'Landscape Trees '!H609</f>
        <v>0</v>
      </c>
      <c r="H751" s="20">
        <f>'Landscape Trees '!I609</f>
        <v>0</v>
      </c>
    </row>
    <row r="752" spans="1:8" ht="12.75">
      <c r="A752" s="20">
        <f>'Landscape Trees '!A610</f>
        <v>0</v>
      </c>
      <c r="B752" s="20">
        <f>'Landscape Trees '!C610</f>
        <v>0</v>
      </c>
      <c r="C752" s="20">
        <f>'Landscape Trees '!D610</f>
        <v>0</v>
      </c>
      <c r="D752" s="20">
        <f>'Landscape Trees '!E610</f>
        <v>0</v>
      </c>
      <c r="E752" s="20">
        <f>'Landscape Trees '!F610</f>
        <v>0</v>
      </c>
      <c r="F752" s="20">
        <f>'Landscape Trees '!G610</f>
        <v>0</v>
      </c>
      <c r="G752" s="20">
        <f>'Landscape Trees '!H610</f>
        <v>0</v>
      </c>
      <c r="H752" s="20">
        <f>'Landscape Trees '!I610</f>
        <v>0</v>
      </c>
    </row>
    <row r="753" spans="1:8" ht="12.75">
      <c r="A753" s="20">
        <f>'Landscape Trees '!A611</f>
        <v>0</v>
      </c>
      <c r="B753" s="20">
        <f>'Landscape Trees '!C611</f>
        <v>0</v>
      </c>
      <c r="C753" s="20">
        <f>'Landscape Trees '!D611</f>
        <v>0</v>
      </c>
      <c r="D753" s="20">
        <f>'Landscape Trees '!E611</f>
        <v>0</v>
      </c>
      <c r="E753" s="20">
        <f>'Landscape Trees '!F611</f>
        <v>0</v>
      </c>
      <c r="F753" s="20">
        <f>'Landscape Trees '!G611</f>
        <v>0</v>
      </c>
      <c r="G753" s="20">
        <f>'Landscape Trees '!H611</f>
        <v>0</v>
      </c>
      <c r="H753" s="20">
        <f>'Landscape Trees '!I611</f>
        <v>0</v>
      </c>
    </row>
    <row r="754" spans="1:8" ht="12.75">
      <c r="A754" s="20">
        <f>'Landscape Trees '!A612</f>
        <v>0</v>
      </c>
      <c r="B754" s="20">
        <f>'Landscape Trees '!C612</f>
        <v>0</v>
      </c>
      <c r="C754" s="20">
        <f>'Landscape Trees '!D612</f>
        <v>0</v>
      </c>
      <c r="D754" s="20">
        <f>'Landscape Trees '!E612</f>
        <v>0</v>
      </c>
      <c r="E754" s="20">
        <f>'Landscape Trees '!F612</f>
        <v>0</v>
      </c>
      <c r="F754" s="20">
        <f>'Landscape Trees '!G612</f>
        <v>0</v>
      </c>
      <c r="G754" s="20">
        <f>'Landscape Trees '!H612</f>
        <v>0</v>
      </c>
      <c r="H754" s="20">
        <f>'Landscape Trees '!I612</f>
        <v>0</v>
      </c>
    </row>
    <row r="755" spans="1:8" ht="12.75">
      <c r="A755" s="20">
        <f>'Landscape Trees '!A613</f>
        <v>0</v>
      </c>
      <c r="B755" s="20">
        <f>'Landscape Trees '!C613</f>
        <v>0</v>
      </c>
      <c r="C755" s="20">
        <f>'Landscape Trees '!D613</f>
        <v>0</v>
      </c>
      <c r="D755" s="20">
        <f>'Landscape Trees '!E613</f>
        <v>0</v>
      </c>
      <c r="E755" s="20">
        <f>'Landscape Trees '!F613</f>
        <v>0</v>
      </c>
      <c r="F755" s="20">
        <f>'Landscape Trees '!G613</f>
        <v>0</v>
      </c>
      <c r="G755" s="20">
        <f>'Landscape Trees '!H613</f>
        <v>0</v>
      </c>
      <c r="H755" s="20">
        <f>'Landscape Trees '!I613</f>
        <v>0</v>
      </c>
    </row>
    <row r="756" spans="1:8" ht="12.75">
      <c r="A756" s="20">
        <f>'Landscape Trees '!A614</f>
        <v>0</v>
      </c>
      <c r="B756" s="20">
        <f>'Landscape Trees '!C614</f>
        <v>0</v>
      </c>
      <c r="C756" s="20">
        <f>'Landscape Trees '!D614</f>
        <v>0</v>
      </c>
      <c r="D756" s="20">
        <f>'Landscape Trees '!E614</f>
        <v>0</v>
      </c>
      <c r="E756" s="20">
        <f>'Landscape Trees '!F614</f>
        <v>0</v>
      </c>
      <c r="F756" s="20">
        <f>'Landscape Trees '!G614</f>
        <v>0</v>
      </c>
      <c r="G756" s="20">
        <f>'Landscape Trees '!H614</f>
        <v>0</v>
      </c>
      <c r="H756" s="20">
        <f>'Landscape Trees '!I614</f>
        <v>0</v>
      </c>
    </row>
    <row r="757" spans="1:8" ht="12.75">
      <c r="A757" s="20">
        <f>'Landscape Trees '!A615</f>
        <v>0</v>
      </c>
      <c r="B757" s="20">
        <f>'Landscape Trees '!C615</f>
        <v>0</v>
      </c>
      <c r="C757" s="20">
        <f>'Landscape Trees '!D615</f>
        <v>0</v>
      </c>
      <c r="D757" s="20">
        <f>'Landscape Trees '!E615</f>
        <v>0</v>
      </c>
      <c r="E757" s="20">
        <f>'Landscape Trees '!F615</f>
        <v>0</v>
      </c>
      <c r="F757" s="20">
        <f>'Landscape Trees '!G615</f>
        <v>0</v>
      </c>
      <c r="G757" s="20">
        <f>'Landscape Trees '!H615</f>
        <v>0</v>
      </c>
      <c r="H757" s="20">
        <f>'Landscape Trees '!I615</f>
        <v>0</v>
      </c>
    </row>
    <row r="758" spans="1:8" ht="12.75">
      <c r="A758" s="20">
        <f>'Landscape Trees '!A616</f>
        <v>0</v>
      </c>
      <c r="B758" s="20">
        <f>'Landscape Trees '!C616</f>
        <v>0</v>
      </c>
      <c r="C758" s="20">
        <f>'Landscape Trees '!D616</f>
        <v>0</v>
      </c>
      <c r="D758" s="20">
        <f>'Landscape Trees '!E616</f>
        <v>0</v>
      </c>
      <c r="E758" s="20">
        <f>'Landscape Trees '!F616</f>
        <v>0</v>
      </c>
      <c r="F758" s="20">
        <f>'Landscape Trees '!G616</f>
        <v>0</v>
      </c>
      <c r="G758" s="20">
        <f>'Landscape Trees '!H616</f>
        <v>0</v>
      </c>
      <c r="H758" s="20">
        <f>'Landscape Trees '!I616</f>
        <v>0</v>
      </c>
    </row>
    <row r="759" spans="1:8" ht="12.75">
      <c r="A759" s="20">
        <f>'Landscape Trees '!A617</f>
        <v>0</v>
      </c>
      <c r="B759" s="20">
        <f>'Landscape Trees '!C617</f>
        <v>0</v>
      </c>
      <c r="C759" s="20">
        <f>'Landscape Trees '!D617</f>
        <v>0</v>
      </c>
      <c r="D759" s="20">
        <f>'Landscape Trees '!E617</f>
        <v>0</v>
      </c>
      <c r="E759" s="20">
        <f>'Landscape Trees '!F617</f>
        <v>0</v>
      </c>
      <c r="F759" s="20">
        <f>'Landscape Trees '!G617</f>
        <v>0</v>
      </c>
      <c r="G759" s="20">
        <f>'Landscape Trees '!H617</f>
        <v>0</v>
      </c>
      <c r="H759" s="20">
        <f>'Landscape Trees '!I617</f>
        <v>0</v>
      </c>
    </row>
    <row r="760" spans="1:8" ht="12.75">
      <c r="A760" s="20">
        <f>'Landscape Trees '!A618</f>
        <v>0</v>
      </c>
      <c r="B760" s="20">
        <f>'Landscape Trees '!C618</f>
        <v>0</v>
      </c>
      <c r="C760" s="20">
        <f>'Landscape Trees '!D618</f>
        <v>0</v>
      </c>
      <c r="D760" s="20">
        <f>'Landscape Trees '!E618</f>
        <v>0</v>
      </c>
      <c r="E760" s="20">
        <f>'Landscape Trees '!F618</f>
        <v>0</v>
      </c>
      <c r="F760" s="20">
        <f>'Landscape Trees '!G618</f>
        <v>0</v>
      </c>
      <c r="G760" s="20">
        <f>'Landscape Trees '!H618</f>
        <v>0</v>
      </c>
      <c r="H760" s="20">
        <f>'Landscape Trees '!I618</f>
        <v>0</v>
      </c>
    </row>
    <row r="761" spans="1:8" ht="12.75">
      <c r="A761" s="20">
        <f>'Landscape Trees '!A619</f>
        <v>0</v>
      </c>
      <c r="B761" s="20">
        <f>'Landscape Trees '!C619</f>
        <v>0</v>
      </c>
      <c r="C761" s="20">
        <f>'Landscape Trees '!D619</f>
        <v>0</v>
      </c>
      <c r="D761" s="20">
        <f>'Landscape Trees '!E619</f>
        <v>0</v>
      </c>
      <c r="E761" s="20">
        <f>'Landscape Trees '!F619</f>
        <v>0</v>
      </c>
      <c r="F761" s="20">
        <f>'Landscape Trees '!G619</f>
        <v>0</v>
      </c>
      <c r="G761" s="20">
        <f>'Landscape Trees '!H619</f>
        <v>0</v>
      </c>
      <c r="H761" s="20">
        <f>'Landscape Trees '!I619</f>
        <v>0</v>
      </c>
    </row>
    <row r="762" spans="1:8" ht="12.75">
      <c r="A762" s="20">
        <f>'Landscape Trees '!A620</f>
        <v>0</v>
      </c>
      <c r="B762" s="20">
        <f>'Landscape Trees '!C620</f>
        <v>0</v>
      </c>
      <c r="C762" s="20">
        <f>'Landscape Trees '!D620</f>
        <v>0</v>
      </c>
      <c r="D762" s="20">
        <f>'Landscape Trees '!E620</f>
        <v>0</v>
      </c>
      <c r="E762" s="20">
        <f>'Landscape Trees '!F620</f>
        <v>0</v>
      </c>
      <c r="F762" s="20">
        <f>'Landscape Trees '!G620</f>
        <v>0</v>
      </c>
      <c r="G762" s="20">
        <f>'Landscape Trees '!H620</f>
        <v>0</v>
      </c>
      <c r="H762" s="20">
        <f>'Landscape Trees '!I620</f>
        <v>0</v>
      </c>
    </row>
    <row r="763" spans="1:8" ht="12.75">
      <c r="A763" s="20">
        <f>'Landscape Trees '!A621</f>
        <v>0</v>
      </c>
      <c r="B763" s="20">
        <f>'Landscape Trees '!C621</f>
        <v>0</v>
      </c>
      <c r="C763" s="20">
        <f>'Landscape Trees '!D621</f>
        <v>0</v>
      </c>
      <c r="D763" s="20">
        <f>'Landscape Trees '!E621</f>
        <v>0</v>
      </c>
      <c r="E763" s="20">
        <f>'Landscape Trees '!F621</f>
        <v>0</v>
      </c>
      <c r="F763" s="20">
        <f>'Landscape Trees '!G621</f>
        <v>0</v>
      </c>
      <c r="G763" s="20">
        <f>'Landscape Trees '!H621</f>
        <v>0</v>
      </c>
      <c r="H763" s="20">
        <f>'Landscape Trees '!I621</f>
        <v>0</v>
      </c>
    </row>
    <row r="764" spans="1:8" ht="12.75">
      <c r="A764" s="20">
        <f>'Landscape Trees '!A622</f>
        <v>0</v>
      </c>
      <c r="B764" s="20">
        <f>'Landscape Trees '!C622</f>
        <v>0</v>
      </c>
      <c r="C764" s="20">
        <f>'Landscape Trees '!D622</f>
        <v>0</v>
      </c>
      <c r="D764" s="20">
        <f>'Landscape Trees '!E622</f>
        <v>0</v>
      </c>
      <c r="E764" s="20">
        <f>'Landscape Trees '!F622</f>
        <v>0</v>
      </c>
      <c r="F764" s="20">
        <f>'Landscape Trees '!G622</f>
        <v>0</v>
      </c>
      <c r="G764" s="20">
        <f>'Landscape Trees '!H622</f>
        <v>0</v>
      </c>
      <c r="H764" s="20">
        <f>'Landscape Trees '!I622</f>
        <v>0</v>
      </c>
    </row>
    <row r="765" spans="1:8" ht="12.75">
      <c r="A765" s="20">
        <f>'Landscape Trees '!A623</f>
        <v>0</v>
      </c>
      <c r="B765" s="20">
        <f>'Landscape Trees '!C623</f>
        <v>0</v>
      </c>
      <c r="C765" s="20">
        <f>'Landscape Trees '!D623</f>
        <v>0</v>
      </c>
      <c r="D765" s="20">
        <f>'Landscape Trees '!E623</f>
        <v>0</v>
      </c>
      <c r="E765" s="20">
        <f>'Landscape Trees '!F623</f>
        <v>0</v>
      </c>
      <c r="F765" s="20">
        <f>'Landscape Trees '!G623</f>
        <v>0</v>
      </c>
      <c r="G765" s="20">
        <f>'Landscape Trees '!H623</f>
        <v>0</v>
      </c>
      <c r="H765" s="20">
        <f>'Landscape Trees '!I623</f>
        <v>0</v>
      </c>
    </row>
    <row r="766" spans="1:8" ht="12.75">
      <c r="A766" s="20">
        <f>'Landscape Trees '!A624</f>
        <v>0</v>
      </c>
      <c r="B766" s="20">
        <f>'Landscape Trees '!C624</f>
        <v>0</v>
      </c>
      <c r="C766" s="20">
        <f>'Landscape Trees '!D624</f>
        <v>0</v>
      </c>
      <c r="D766" s="20">
        <f>'Landscape Trees '!E624</f>
        <v>0</v>
      </c>
      <c r="E766" s="20">
        <f>'Landscape Trees '!F624</f>
        <v>0</v>
      </c>
      <c r="F766" s="20">
        <f>'Landscape Trees '!G624</f>
        <v>0</v>
      </c>
      <c r="G766" s="20">
        <f>'Landscape Trees '!H624</f>
        <v>0</v>
      </c>
      <c r="H766" s="20">
        <f>'Landscape Trees '!I624</f>
        <v>0</v>
      </c>
    </row>
    <row r="767" spans="1:8" ht="12.75">
      <c r="A767" s="20">
        <f>'Landscape Trees '!A625</f>
        <v>0</v>
      </c>
      <c r="B767" s="20">
        <f>'Landscape Trees '!C625</f>
        <v>0</v>
      </c>
      <c r="C767" s="20">
        <f>'Landscape Trees '!D625</f>
        <v>0</v>
      </c>
      <c r="D767" s="20">
        <f>'Landscape Trees '!E625</f>
        <v>0</v>
      </c>
      <c r="E767" s="20">
        <f>'Landscape Trees '!F625</f>
        <v>0</v>
      </c>
      <c r="F767" s="20">
        <f>'Landscape Trees '!G625</f>
        <v>0</v>
      </c>
      <c r="G767" s="20">
        <f>'Landscape Trees '!H625</f>
        <v>0</v>
      </c>
      <c r="H767" s="20">
        <f>'Landscape Trees '!I625</f>
        <v>0</v>
      </c>
    </row>
    <row r="768" spans="1:8" ht="12.75">
      <c r="A768" s="20">
        <f>'Landscape Trees '!A626</f>
        <v>0</v>
      </c>
      <c r="B768" s="20">
        <f>'Landscape Trees '!C626</f>
        <v>0</v>
      </c>
      <c r="C768" s="20">
        <f>'Landscape Trees '!D626</f>
        <v>0</v>
      </c>
      <c r="D768" s="20">
        <f>'Landscape Trees '!E626</f>
        <v>0</v>
      </c>
      <c r="E768" s="20">
        <f>'Landscape Trees '!F626</f>
        <v>0</v>
      </c>
      <c r="F768" s="20">
        <f>'Landscape Trees '!G626</f>
        <v>0</v>
      </c>
      <c r="G768" s="20">
        <f>'Landscape Trees '!H626</f>
        <v>0</v>
      </c>
      <c r="H768" s="20">
        <f>'Landscape Trees '!I626</f>
        <v>0</v>
      </c>
    </row>
    <row r="769" spans="1:8" ht="12.75">
      <c r="A769" s="20">
        <f>'Landscape Trees '!A627</f>
        <v>0</v>
      </c>
      <c r="B769" s="20">
        <f>'Landscape Trees '!C627</f>
        <v>0</v>
      </c>
      <c r="C769" s="20">
        <f>'Landscape Trees '!D627</f>
        <v>0</v>
      </c>
      <c r="D769" s="20">
        <f>'Landscape Trees '!E627</f>
        <v>0</v>
      </c>
      <c r="E769" s="20">
        <f>'Landscape Trees '!F627</f>
        <v>0</v>
      </c>
      <c r="F769" s="20">
        <f>'Landscape Trees '!G627</f>
        <v>0</v>
      </c>
      <c r="G769" s="20">
        <f>'Landscape Trees '!H627</f>
        <v>0</v>
      </c>
      <c r="H769" s="20">
        <f>'Landscape Trees '!I627</f>
        <v>0</v>
      </c>
    </row>
    <row r="770" spans="1:8" ht="12.75">
      <c r="A770" s="20">
        <f>'Landscape Trees '!A628</f>
        <v>0</v>
      </c>
      <c r="B770" s="20">
        <f>'Landscape Trees '!C628</f>
        <v>0</v>
      </c>
      <c r="C770" s="20">
        <f>'Landscape Trees '!D628</f>
        <v>0</v>
      </c>
      <c r="D770" s="20">
        <f>'Landscape Trees '!E628</f>
        <v>0</v>
      </c>
      <c r="E770" s="20">
        <f>'Landscape Trees '!F628</f>
        <v>0</v>
      </c>
      <c r="F770" s="20">
        <f>'Landscape Trees '!G628</f>
        <v>0</v>
      </c>
      <c r="G770" s="20">
        <f>'Landscape Trees '!H628</f>
        <v>0</v>
      </c>
      <c r="H770" s="20">
        <f>'Landscape Trees '!I628</f>
        <v>0</v>
      </c>
    </row>
    <row r="771" spans="1:8" ht="12.75">
      <c r="A771" s="20">
        <f>'Landscape Trees '!A629</f>
        <v>0</v>
      </c>
      <c r="B771" s="20">
        <f>'Landscape Trees '!C629</f>
        <v>0</v>
      </c>
      <c r="C771" s="20">
        <f>'Landscape Trees '!D629</f>
        <v>0</v>
      </c>
      <c r="D771" s="20">
        <f>'Landscape Trees '!E629</f>
        <v>0</v>
      </c>
      <c r="E771" s="20">
        <f>'Landscape Trees '!F629</f>
        <v>0</v>
      </c>
      <c r="F771" s="20">
        <f>'Landscape Trees '!G629</f>
        <v>0</v>
      </c>
      <c r="G771" s="20">
        <f>'Landscape Trees '!H629</f>
        <v>0</v>
      </c>
      <c r="H771" s="20">
        <f>'Landscape Trees '!I629</f>
        <v>0</v>
      </c>
    </row>
    <row r="772" spans="1:8" ht="12.75">
      <c r="A772" s="20">
        <f>'Landscape Trees '!A630</f>
        <v>0</v>
      </c>
      <c r="B772" s="20">
        <f>'Landscape Trees '!C630</f>
        <v>0</v>
      </c>
      <c r="C772" s="20">
        <f>'Landscape Trees '!D630</f>
        <v>0</v>
      </c>
      <c r="D772" s="20">
        <f>'Landscape Trees '!E630</f>
        <v>0</v>
      </c>
      <c r="E772" s="20">
        <f>'Landscape Trees '!F630</f>
        <v>0</v>
      </c>
      <c r="F772" s="20">
        <f>'Landscape Trees '!G630</f>
        <v>0</v>
      </c>
      <c r="G772" s="20">
        <f>'Landscape Trees '!H630</f>
        <v>0</v>
      </c>
      <c r="H772" s="20">
        <f>'Landscape Trees '!I630</f>
        <v>0</v>
      </c>
    </row>
    <row r="773" spans="1:8" ht="12.75">
      <c r="A773" s="20">
        <f>'Landscape Trees '!A631</f>
        <v>0</v>
      </c>
      <c r="B773" s="20">
        <f>'Landscape Trees '!C631</f>
        <v>0</v>
      </c>
      <c r="C773" s="20">
        <f>'Landscape Trees '!D631</f>
        <v>0</v>
      </c>
      <c r="D773" s="20">
        <f>'Landscape Trees '!E631</f>
        <v>0</v>
      </c>
      <c r="E773" s="20">
        <f>'Landscape Trees '!F631</f>
        <v>0</v>
      </c>
      <c r="F773" s="20">
        <f>'Landscape Trees '!G631</f>
        <v>0</v>
      </c>
      <c r="G773" s="20">
        <f>'Landscape Trees '!H631</f>
        <v>0</v>
      </c>
      <c r="H773" s="20">
        <f>'Landscape Trees '!I631</f>
        <v>0</v>
      </c>
    </row>
    <row r="774" spans="1:8" ht="12.75">
      <c r="A774" s="20">
        <f>'Landscape Trees '!A632</f>
        <v>0</v>
      </c>
      <c r="B774" s="20">
        <f>'Landscape Trees '!C632</f>
        <v>0</v>
      </c>
      <c r="C774" s="20">
        <f>'Landscape Trees '!D632</f>
        <v>0</v>
      </c>
      <c r="D774" s="20">
        <f>'Landscape Trees '!E632</f>
        <v>0</v>
      </c>
      <c r="E774" s="20">
        <f>'Landscape Trees '!F632</f>
        <v>0</v>
      </c>
      <c r="F774" s="20">
        <f>'Landscape Trees '!G632</f>
        <v>0</v>
      </c>
      <c r="G774" s="20">
        <f>'Landscape Trees '!H632</f>
        <v>0</v>
      </c>
      <c r="H774" s="20">
        <f>'Landscape Trees '!I632</f>
        <v>0</v>
      </c>
    </row>
    <row r="775" spans="1:8" ht="12.75">
      <c r="A775" s="20">
        <f>'Landscape Trees '!A633</f>
        <v>0</v>
      </c>
      <c r="B775" s="20">
        <f>'Landscape Trees '!C633</f>
        <v>0</v>
      </c>
      <c r="C775" s="20">
        <f>'Landscape Trees '!D633</f>
        <v>0</v>
      </c>
      <c r="D775" s="20">
        <f>'Landscape Trees '!E633</f>
        <v>0</v>
      </c>
      <c r="E775" s="20">
        <f>'Landscape Trees '!F633</f>
        <v>0</v>
      </c>
      <c r="F775" s="20">
        <f>'Landscape Trees '!G633</f>
        <v>0</v>
      </c>
      <c r="G775" s="20">
        <f>'Landscape Trees '!H633</f>
        <v>0</v>
      </c>
      <c r="H775" s="20">
        <f>'Landscape Trees '!I633</f>
        <v>0</v>
      </c>
    </row>
    <row r="776" spans="1:8" ht="12.75">
      <c r="A776" s="20">
        <f>'Landscape Trees '!A634</f>
        <v>0</v>
      </c>
      <c r="B776" s="20">
        <f>'Landscape Trees '!C634</f>
        <v>0</v>
      </c>
      <c r="C776" s="20">
        <f>'Landscape Trees '!D634</f>
        <v>0</v>
      </c>
      <c r="D776" s="20">
        <f>'Landscape Trees '!E634</f>
        <v>0</v>
      </c>
      <c r="E776" s="20">
        <f>'Landscape Trees '!F634</f>
        <v>0</v>
      </c>
      <c r="F776" s="20">
        <f>'Landscape Trees '!G634</f>
        <v>0</v>
      </c>
      <c r="G776" s="20">
        <f>'Landscape Trees '!H634</f>
        <v>0</v>
      </c>
      <c r="H776" s="20">
        <f>'Landscape Trees '!I634</f>
        <v>0</v>
      </c>
    </row>
    <row r="777" spans="1:8" ht="12.75">
      <c r="A777" s="20">
        <f>'Landscape Trees '!A635</f>
        <v>0</v>
      </c>
      <c r="B777" s="20">
        <f>'Landscape Trees '!C635</f>
        <v>0</v>
      </c>
      <c r="C777" s="20">
        <f>'Landscape Trees '!D635</f>
        <v>0</v>
      </c>
      <c r="D777" s="20">
        <f>'Landscape Trees '!E635</f>
        <v>0</v>
      </c>
      <c r="E777" s="20">
        <f>'Landscape Trees '!F635</f>
        <v>0</v>
      </c>
      <c r="F777" s="20">
        <f>'Landscape Trees '!G635</f>
        <v>0</v>
      </c>
      <c r="G777" s="20">
        <f>'Landscape Trees '!H635</f>
        <v>0</v>
      </c>
      <c r="H777" s="20">
        <f>'Landscape Trees '!I635</f>
        <v>0</v>
      </c>
    </row>
    <row r="778" spans="1:8" ht="12.75">
      <c r="A778" s="20">
        <f>'Landscape Trees '!A636</f>
        <v>0</v>
      </c>
      <c r="B778" s="20">
        <f>'Landscape Trees '!C636</f>
        <v>0</v>
      </c>
      <c r="C778" s="20">
        <f>'Landscape Trees '!D636</f>
        <v>0</v>
      </c>
      <c r="D778" s="20">
        <f>'Landscape Trees '!E636</f>
        <v>0</v>
      </c>
      <c r="E778" s="20">
        <f>'Landscape Trees '!F636</f>
        <v>0</v>
      </c>
      <c r="F778" s="20">
        <f>'Landscape Trees '!G636</f>
        <v>0</v>
      </c>
      <c r="G778" s="20">
        <f>'Landscape Trees '!H636</f>
        <v>0</v>
      </c>
      <c r="H778" s="20">
        <f>'Landscape Trees '!I636</f>
        <v>0</v>
      </c>
    </row>
    <row r="779" spans="1:8" ht="12.75">
      <c r="A779" s="20">
        <f>'Landscape Trees '!A637</f>
        <v>0</v>
      </c>
      <c r="B779" s="20">
        <f>'Landscape Trees '!C637</f>
        <v>0</v>
      </c>
      <c r="C779" s="20">
        <f>'Landscape Trees '!D637</f>
        <v>0</v>
      </c>
      <c r="D779" s="20">
        <f>'Landscape Trees '!E637</f>
        <v>0</v>
      </c>
      <c r="E779" s="20">
        <f>'Landscape Trees '!F637</f>
        <v>0</v>
      </c>
      <c r="F779" s="20">
        <f>'Landscape Trees '!G637</f>
        <v>0</v>
      </c>
      <c r="G779" s="20">
        <f>'Landscape Trees '!H637</f>
        <v>0</v>
      </c>
      <c r="H779" s="20">
        <f>'Landscape Trees '!I637</f>
        <v>0</v>
      </c>
    </row>
    <row r="780" spans="1:8" ht="12.75">
      <c r="A780" s="20">
        <f>'Landscape Trees '!A638</f>
        <v>0</v>
      </c>
      <c r="B780" s="20">
        <f>'Landscape Trees '!C638</f>
        <v>0</v>
      </c>
      <c r="C780" s="20">
        <f>'Landscape Trees '!D638</f>
        <v>0</v>
      </c>
      <c r="D780" s="20">
        <f>'Landscape Trees '!E638</f>
        <v>0</v>
      </c>
      <c r="E780" s="20">
        <f>'Landscape Trees '!F638</f>
        <v>0</v>
      </c>
      <c r="F780" s="20">
        <f>'Landscape Trees '!G638</f>
        <v>0</v>
      </c>
      <c r="G780" s="20">
        <f>'Landscape Trees '!H638</f>
        <v>0</v>
      </c>
      <c r="H780" s="20">
        <f>'Landscape Trees '!I638</f>
        <v>0</v>
      </c>
    </row>
    <row r="781" spans="1:8" ht="12.75">
      <c r="A781" s="20">
        <f>'Landscape Trees '!A639</f>
        <v>0</v>
      </c>
      <c r="B781" s="20">
        <f>'Landscape Trees '!C639</f>
        <v>0</v>
      </c>
      <c r="C781" s="20">
        <f>'Landscape Trees '!D639</f>
        <v>0</v>
      </c>
      <c r="D781" s="20">
        <f>'Landscape Trees '!E639</f>
        <v>0</v>
      </c>
      <c r="E781" s="20">
        <f>'Landscape Trees '!F639</f>
        <v>0</v>
      </c>
      <c r="F781" s="20">
        <f>'Landscape Trees '!G639</f>
        <v>0</v>
      </c>
      <c r="G781" s="20">
        <f>'Landscape Trees '!H639</f>
        <v>0</v>
      </c>
      <c r="H781" s="20">
        <f>'Landscape Trees '!I639</f>
        <v>0</v>
      </c>
    </row>
    <row r="782" spans="1:8" ht="12.75">
      <c r="A782" s="20">
        <f>'Landscape Trees '!A640</f>
        <v>0</v>
      </c>
      <c r="B782" s="20">
        <f>'Landscape Trees '!C640</f>
        <v>0</v>
      </c>
      <c r="C782" s="20">
        <f>'Landscape Trees '!D640</f>
        <v>0</v>
      </c>
      <c r="D782" s="20">
        <f>'Landscape Trees '!E640</f>
        <v>0</v>
      </c>
      <c r="E782" s="20">
        <f>'Landscape Trees '!F640</f>
        <v>0</v>
      </c>
      <c r="F782" s="20">
        <f>'Landscape Trees '!G640</f>
        <v>0</v>
      </c>
      <c r="G782" s="20">
        <f>'Landscape Trees '!H640</f>
        <v>0</v>
      </c>
      <c r="H782" s="20">
        <f>'Landscape Trees '!I640</f>
        <v>0</v>
      </c>
    </row>
    <row r="783" spans="1:8" ht="12.75">
      <c r="A783" s="20">
        <f>'Landscape Trees '!A641</f>
        <v>0</v>
      </c>
      <c r="B783" s="20">
        <f>'Landscape Trees '!C641</f>
        <v>0</v>
      </c>
      <c r="C783" s="20">
        <f>'Landscape Trees '!D641</f>
        <v>0</v>
      </c>
      <c r="D783" s="20">
        <f>'Landscape Trees '!E641</f>
        <v>0</v>
      </c>
      <c r="E783" s="20">
        <f>'Landscape Trees '!F641</f>
        <v>0</v>
      </c>
      <c r="F783" s="20">
        <f>'Landscape Trees '!G641</f>
        <v>0</v>
      </c>
      <c r="G783" s="20">
        <f>'Landscape Trees '!H641</f>
        <v>0</v>
      </c>
      <c r="H783" s="20">
        <f>'Landscape Trees '!I641</f>
        <v>0</v>
      </c>
    </row>
    <row r="784" spans="1:8" ht="12.75">
      <c r="A784" s="20">
        <f>'Landscape Trees '!A642</f>
        <v>0</v>
      </c>
      <c r="B784" s="20">
        <f>'Landscape Trees '!C642</f>
        <v>0</v>
      </c>
      <c r="C784" s="20">
        <f>'Landscape Trees '!D642</f>
        <v>0</v>
      </c>
      <c r="D784" s="20">
        <f>'Landscape Trees '!E642</f>
        <v>0</v>
      </c>
      <c r="E784" s="20">
        <f>'Landscape Trees '!F642</f>
        <v>0</v>
      </c>
      <c r="F784" s="20">
        <f>'Landscape Trees '!G642</f>
        <v>0</v>
      </c>
      <c r="G784" s="20">
        <f>'Landscape Trees '!H642</f>
        <v>0</v>
      </c>
      <c r="H784" s="20">
        <f>'Landscape Trees '!I642</f>
        <v>0</v>
      </c>
    </row>
    <row r="785" spans="1:8" ht="12.75">
      <c r="A785" s="20">
        <f>'Landscape Trees '!A643</f>
        <v>0</v>
      </c>
      <c r="B785" s="20">
        <f>'Landscape Trees '!C643</f>
        <v>0</v>
      </c>
      <c r="C785" s="20">
        <f>'Landscape Trees '!D643</f>
        <v>0</v>
      </c>
      <c r="D785" s="20">
        <f>'Landscape Trees '!E643</f>
        <v>0</v>
      </c>
      <c r="E785" s="20">
        <f>'Landscape Trees '!F643</f>
        <v>0</v>
      </c>
      <c r="F785" s="20">
        <f>'Landscape Trees '!G643</f>
        <v>0</v>
      </c>
      <c r="G785" s="20">
        <f>'Landscape Trees '!H643</f>
        <v>0</v>
      </c>
      <c r="H785" s="20">
        <f>'Landscape Trees '!I643</f>
        <v>0</v>
      </c>
    </row>
    <row r="786" spans="1:8" ht="12.75">
      <c r="A786" s="20">
        <f>'Landscape Trees '!A644</f>
        <v>0</v>
      </c>
      <c r="B786" s="20">
        <f>'Landscape Trees '!C644</f>
        <v>0</v>
      </c>
      <c r="C786" s="20">
        <f>'Landscape Trees '!D644</f>
        <v>0</v>
      </c>
      <c r="D786" s="20">
        <f>'Landscape Trees '!E644</f>
        <v>0</v>
      </c>
      <c r="E786" s="20">
        <f>'Landscape Trees '!F644</f>
        <v>0</v>
      </c>
      <c r="F786" s="20">
        <f>'Landscape Trees '!G644</f>
        <v>0</v>
      </c>
      <c r="G786" s="20">
        <f>'Landscape Trees '!H644</f>
        <v>0</v>
      </c>
      <c r="H786" s="20">
        <f>'Landscape Trees '!I644</f>
        <v>0</v>
      </c>
    </row>
    <row r="787" spans="1:8" ht="12.75">
      <c r="A787" s="20">
        <f>'Landscape Trees '!A645</f>
        <v>0</v>
      </c>
      <c r="B787" s="20">
        <f>'Landscape Trees '!C645</f>
        <v>0</v>
      </c>
      <c r="C787" s="20">
        <f>'Landscape Trees '!D645</f>
        <v>0</v>
      </c>
      <c r="D787" s="20">
        <f>'Landscape Trees '!E645</f>
        <v>0</v>
      </c>
      <c r="E787" s="20">
        <f>'Landscape Trees '!F645</f>
        <v>0</v>
      </c>
      <c r="F787" s="20">
        <f>'Landscape Trees '!G645</f>
        <v>0</v>
      </c>
      <c r="G787" s="20">
        <f>'Landscape Trees '!H645</f>
        <v>0</v>
      </c>
      <c r="H787" s="20">
        <f>'Landscape Trees '!I645</f>
        <v>0</v>
      </c>
    </row>
    <row r="788" spans="1:8" ht="12.75">
      <c r="A788" s="20">
        <f>'Landscape Trees '!A646</f>
        <v>0</v>
      </c>
      <c r="B788" s="20">
        <f>'Landscape Trees '!C646</f>
        <v>0</v>
      </c>
      <c r="C788" s="20">
        <f>'Landscape Trees '!D646</f>
        <v>0</v>
      </c>
      <c r="D788" s="20">
        <f>'Landscape Trees '!E646</f>
        <v>0</v>
      </c>
      <c r="E788" s="20">
        <f>'Landscape Trees '!F646</f>
        <v>0</v>
      </c>
      <c r="F788" s="20">
        <f>'Landscape Trees '!G646</f>
        <v>0</v>
      </c>
      <c r="G788" s="20">
        <f>'Landscape Trees '!H646</f>
        <v>0</v>
      </c>
      <c r="H788" s="20">
        <f>'Landscape Trees '!I646</f>
        <v>0</v>
      </c>
    </row>
    <row r="789" spans="1:8" ht="12.75">
      <c r="A789" s="20">
        <f>'Landscape Trees '!A647</f>
        <v>0</v>
      </c>
      <c r="B789" s="20">
        <f>'Landscape Trees '!C647</f>
        <v>0</v>
      </c>
      <c r="C789" s="20">
        <f>'Landscape Trees '!D647</f>
        <v>0</v>
      </c>
      <c r="D789" s="20">
        <f>'Landscape Trees '!E647</f>
        <v>0</v>
      </c>
      <c r="E789" s="20">
        <f>'Landscape Trees '!F647</f>
        <v>0</v>
      </c>
      <c r="F789" s="20">
        <f>'Landscape Trees '!G647</f>
        <v>0</v>
      </c>
      <c r="G789" s="20">
        <f>'Landscape Trees '!H647</f>
        <v>0</v>
      </c>
      <c r="H789" s="20">
        <f>'Landscape Trees '!I647</f>
        <v>0</v>
      </c>
    </row>
    <row r="790" spans="1:8" ht="12.75">
      <c r="A790" s="20">
        <f>'Landscape Trees '!A648</f>
        <v>0</v>
      </c>
      <c r="B790" s="20">
        <f>'Landscape Trees '!C648</f>
        <v>0</v>
      </c>
      <c r="C790" s="20">
        <f>'Landscape Trees '!D648</f>
        <v>0</v>
      </c>
      <c r="D790" s="20">
        <f>'Landscape Trees '!E648</f>
        <v>0</v>
      </c>
      <c r="E790" s="20">
        <f>'Landscape Trees '!F648</f>
        <v>0</v>
      </c>
      <c r="F790" s="20">
        <f>'Landscape Trees '!G648</f>
        <v>0</v>
      </c>
      <c r="G790" s="20">
        <f>'Landscape Trees '!H648</f>
        <v>0</v>
      </c>
      <c r="H790" s="20">
        <f>'Landscape Trees '!I648</f>
        <v>0</v>
      </c>
    </row>
    <row r="791" spans="1:8" ht="12.75">
      <c r="A791" s="20">
        <f>'Landscape Trees '!A649</f>
        <v>0</v>
      </c>
      <c r="B791" s="20">
        <f>'Landscape Trees '!C649</f>
        <v>0</v>
      </c>
      <c r="C791" s="20">
        <f>'Landscape Trees '!D649</f>
        <v>0</v>
      </c>
      <c r="D791" s="20">
        <f>'Landscape Trees '!E649</f>
        <v>0</v>
      </c>
      <c r="E791" s="20">
        <f>'Landscape Trees '!F649</f>
        <v>0</v>
      </c>
      <c r="F791" s="20">
        <f>'Landscape Trees '!G649</f>
        <v>0</v>
      </c>
      <c r="G791" s="20">
        <f>'Landscape Trees '!H649</f>
        <v>0</v>
      </c>
      <c r="H791" s="20">
        <f>'Landscape Trees '!I649</f>
        <v>0</v>
      </c>
    </row>
    <row r="792" spans="1:8" ht="12.75">
      <c r="A792" s="20">
        <f>'Landscape Trees '!A650</f>
        <v>0</v>
      </c>
      <c r="B792" s="20">
        <f>'Landscape Trees '!C650</f>
        <v>0</v>
      </c>
      <c r="C792" s="20">
        <f>'Landscape Trees '!D650</f>
        <v>0</v>
      </c>
      <c r="D792" s="20">
        <f>'Landscape Trees '!E650</f>
        <v>0</v>
      </c>
      <c r="E792" s="20">
        <f>'Landscape Trees '!F650</f>
        <v>0</v>
      </c>
      <c r="F792" s="20">
        <f>'Landscape Trees '!G650</f>
        <v>0</v>
      </c>
      <c r="G792" s="20">
        <f>'Landscape Trees '!H650</f>
        <v>0</v>
      </c>
      <c r="H792" s="20">
        <f>'Landscape Trees '!I650</f>
        <v>0</v>
      </c>
    </row>
    <row r="793" spans="1:8" ht="12.75">
      <c r="A793" s="20">
        <f>'Landscape Trees '!A651</f>
        <v>0</v>
      </c>
      <c r="B793" s="20">
        <f>'Landscape Trees '!C651</f>
        <v>0</v>
      </c>
      <c r="C793" s="20">
        <f>'Landscape Trees '!D651</f>
        <v>0</v>
      </c>
      <c r="D793" s="20">
        <f>'Landscape Trees '!E651</f>
        <v>0</v>
      </c>
      <c r="E793" s="20">
        <f>'Landscape Trees '!F651</f>
        <v>0</v>
      </c>
      <c r="F793" s="20">
        <f>'Landscape Trees '!G651</f>
        <v>0</v>
      </c>
      <c r="G793" s="20">
        <f>'Landscape Trees '!H651</f>
        <v>0</v>
      </c>
      <c r="H793" s="20">
        <f>'Landscape Trees '!I651</f>
        <v>0</v>
      </c>
    </row>
    <row r="794" spans="1:8" ht="12.75">
      <c r="A794" s="20">
        <f>'Landscape Trees '!A652</f>
        <v>0</v>
      </c>
      <c r="B794" s="20">
        <f>'Landscape Trees '!C652</f>
        <v>0</v>
      </c>
      <c r="C794" s="20">
        <f>'Landscape Trees '!D652</f>
        <v>0</v>
      </c>
      <c r="D794" s="20">
        <f>'Landscape Trees '!E652</f>
        <v>0</v>
      </c>
      <c r="E794" s="20">
        <f>'Landscape Trees '!F652</f>
        <v>0</v>
      </c>
      <c r="F794" s="20">
        <f>'Landscape Trees '!G652</f>
        <v>0</v>
      </c>
      <c r="G794" s="20">
        <f>'Landscape Trees '!H652</f>
        <v>0</v>
      </c>
      <c r="H794" s="20">
        <f>'Landscape Trees '!I652</f>
        <v>0</v>
      </c>
    </row>
    <row r="795" spans="1:8" ht="12.75">
      <c r="A795" s="20">
        <f>'Landscape Trees '!A653</f>
        <v>0</v>
      </c>
      <c r="B795" s="20">
        <f>'Landscape Trees '!C653</f>
        <v>0</v>
      </c>
      <c r="C795" s="20">
        <f>'Landscape Trees '!D653</f>
        <v>0</v>
      </c>
      <c r="D795" s="20">
        <f>'Landscape Trees '!E653</f>
        <v>0</v>
      </c>
      <c r="E795" s="20">
        <f>'Landscape Trees '!F653</f>
        <v>0</v>
      </c>
      <c r="F795" s="20">
        <f>'Landscape Trees '!G653</f>
        <v>0</v>
      </c>
      <c r="G795" s="20">
        <f>'Landscape Trees '!H653</f>
        <v>0</v>
      </c>
      <c r="H795" s="20">
        <f>'Landscape Trees '!I653</f>
        <v>0</v>
      </c>
    </row>
    <row r="796" spans="1:8" ht="12.75">
      <c r="A796" s="20">
        <f>'Landscape Trees '!A654</f>
        <v>0</v>
      </c>
      <c r="B796" s="20">
        <f>'Landscape Trees '!C654</f>
        <v>0</v>
      </c>
      <c r="C796" s="20">
        <f>'Landscape Trees '!D654</f>
        <v>0</v>
      </c>
      <c r="D796" s="20">
        <f>'Landscape Trees '!E654</f>
        <v>0</v>
      </c>
      <c r="E796" s="20">
        <f>'Landscape Trees '!F654</f>
        <v>0</v>
      </c>
      <c r="F796" s="20">
        <f>'Landscape Trees '!G654</f>
        <v>0</v>
      </c>
      <c r="G796" s="20">
        <f>'Landscape Trees '!H654</f>
        <v>0</v>
      </c>
      <c r="H796" s="20">
        <f>'Landscape Trees '!I654</f>
        <v>0</v>
      </c>
    </row>
    <row r="797" spans="1:8" ht="12.75">
      <c r="A797" s="20">
        <f>'Landscape Trees '!A655</f>
        <v>0</v>
      </c>
      <c r="B797" s="20">
        <f>'Landscape Trees '!C655</f>
        <v>0</v>
      </c>
      <c r="C797" s="20">
        <f>'Landscape Trees '!D655</f>
        <v>0</v>
      </c>
      <c r="D797" s="20">
        <f>'Landscape Trees '!E655</f>
        <v>0</v>
      </c>
      <c r="E797" s="20">
        <f>'Landscape Trees '!F655</f>
        <v>0</v>
      </c>
      <c r="F797" s="20">
        <f>'Landscape Trees '!G655</f>
        <v>0</v>
      </c>
      <c r="G797" s="20">
        <f>'Landscape Trees '!H655</f>
        <v>0</v>
      </c>
      <c r="H797" s="20">
        <f>'Landscape Trees '!I655</f>
        <v>0</v>
      </c>
    </row>
    <row r="798" spans="1:8" ht="12.75">
      <c r="A798" s="20">
        <f>'Landscape Trees '!A656</f>
        <v>0</v>
      </c>
      <c r="B798" s="20">
        <f>'Landscape Trees '!C656</f>
        <v>0</v>
      </c>
      <c r="C798" s="20">
        <f>'Landscape Trees '!D656</f>
        <v>0</v>
      </c>
      <c r="D798" s="20">
        <f>'Landscape Trees '!E656</f>
        <v>0</v>
      </c>
      <c r="E798" s="20">
        <f>'Landscape Trees '!F656</f>
        <v>0</v>
      </c>
      <c r="F798" s="20">
        <f>'Landscape Trees '!G656</f>
        <v>0</v>
      </c>
      <c r="G798" s="20">
        <f>'Landscape Trees '!H656</f>
        <v>0</v>
      </c>
      <c r="H798" s="20">
        <f>'Landscape Trees '!I656</f>
        <v>0</v>
      </c>
    </row>
    <row r="799" spans="1:8" ht="12.75">
      <c r="A799" s="20">
        <f>'Landscape Trees '!A657</f>
        <v>0</v>
      </c>
      <c r="B799" s="20">
        <f>'Landscape Trees '!C657</f>
        <v>0</v>
      </c>
      <c r="C799" s="20">
        <f>'Landscape Trees '!D657</f>
        <v>0</v>
      </c>
      <c r="D799" s="20">
        <f>'Landscape Trees '!E657</f>
        <v>0</v>
      </c>
      <c r="E799" s="20">
        <f>'Landscape Trees '!F657</f>
        <v>0</v>
      </c>
      <c r="F799" s="20">
        <f>'Landscape Trees '!G657</f>
        <v>0</v>
      </c>
      <c r="G799" s="20">
        <f>'Landscape Trees '!H657</f>
        <v>0</v>
      </c>
      <c r="H799" s="20">
        <f>'Landscape Trees '!I657</f>
        <v>0</v>
      </c>
    </row>
    <row r="800" spans="1:8" ht="12.75">
      <c r="A800" s="20">
        <f>'Landscape Trees '!A658</f>
        <v>0</v>
      </c>
      <c r="B800" s="20">
        <f>'Landscape Trees '!C658</f>
        <v>0</v>
      </c>
      <c r="C800" s="20">
        <f>'Landscape Trees '!D658</f>
        <v>0</v>
      </c>
      <c r="D800" s="20">
        <f>'Landscape Trees '!E658</f>
        <v>0</v>
      </c>
      <c r="E800" s="20">
        <f>'Landscape Trees '!F658</f>
        <v>0</v>
      </c>
      <c r="F800" s="20">
        <f>'Landscape Trees '!G658</f>
        <v>0</v>
      </c>
      <c r="G800" s="20">
        <f>'Landscape Trees '!H658</f>
        <v>0</v>
      </c>
      <c r="H800" s="20">
        <f>'Landscape Trees '!I658</f>
        <v>0</v>
      </c>
    </row>
    <row r="801" spans="1:8" ht="12.75">
      <c r="A801" s="20">
        <f>'Landscape Trees '!A659</f>
        <v>0</v>
      </c>
      <c r="B801" s="20">
        <f>'Landscape Trees '!C659</f>
        <v>0</v>
      </c>
      <c r="C801" s="20">
        <f>'Landscape Trees '!D659</f>
        <v>0</v>
      </c>
      <c r="D801" s="20">
        <f>'Landscape Trees '!E659</f>
        <v>0</v>
      </c>
      <c r="E801" s="20">
        <f>'Landscape Trees '!F659</f>
        <v>0</v>
      </c>
      <c r="F801" s="20">
        <f>'Landscape Trees '!G659</f>
        <v>0</v>
      </c>
      <c r="G801" s="20">
        <f>'Landscape Trees '!H659</f>
        <v>0</v>
      </c>
      <c r="H801" s="20">
        <f>'Landscape Trees '!I659</f>
        <v>0</v>
      </c>
    </row>
    <row r="802" spans="1:8" ht="12.75">
      <c r="A802" s="20">
        <f>'Landscape Trees '!A660</f>
        <v>0</v>
      </c>
      <c r="B802" s="20">
        <f>'Landscape Trees '!C660</f>
        <v>0</v>
      </c>
      <c r="C802" s="20">
        <f>'Landscape Trees '!D660</f>
        <v>0</v>
      </c>
      <c r="D802" s="20">
        <f>'Landscape Trees '!E660</f>
        <v>0</v>
      </c>
      <c r="E802" s="20">
        <f>'Landscape Trees '!F660</f>
        <v>0</v>
      </c>
      <c r="F802" s="20">
        <f>'Landscape Trees '!G660</f>
        <v>0</v>
      </c>
      <c r="G802" s="20">
        <f>'Landscape Trees '!H660</f>
        <v>0</v>
      </c>
      <c r="H802" s="20">
        <f>'Landscape Trees '!I660</f>
        <v>0</v>
      </c>
    </row>
    <row r="803" spans="1:8" ht="12.75">
      <c r="A803" s="20">
        <f>'Landscape Trees '!A661</f>
        <v>0</v>
      </c>
      <c r="B803" s="20">
        <f>'Landscape Trees '!C661</f>
        <v>0</v>
      </c>
      <c r="C803" s="20">
        <f>'Landscape Trees '!D661</f>
        <v>0</v>
      </c>
      <c r="D803" s="20">
        <f>'Landscape Trees '!E661</f>
        <v>0</v>
      </c>
      <c r="E803" s="20">
        <f>'Landscape Trees '!F661</f>
        <v>0</v>
      </c>
      <c r="F803" s="20">
        <f>'Landscape Trees '!G661</f>
        <v>0</v>
      </c>
      <c r="G803" s="20">
        <f>'Landscape Trees '!H661</f>
        <v>0</v>
      </c>
      <c r="H803" s="20">
        <f>'Landscape Trees '!I661</f>
        <v>0</v>
      </c>
    </row>
    <row r="804" spans="1:8" ht="12.75">
      <c r="A804" s="20">
        <f>'Landscape Trees '!A662</f>
        <v>0</v>
      </c>
      <c r="B804" s="20">
        <f>'Landscape Trees '!C662</f>
        <v>0</v>
      </c>
      <c r="C804" s="20">
        <f>'Landscape Trees '!D662</f>
        <v>0</v>
      </c>
      <c r="D804" s="20">
        <f>'Landscape Trees '!E662</f>
        <v>0</v>
      </c>
      <c r="E804" s="20">
        <f>'Landscape Trees '!F662</f>
        <v>0</v>
      </c>
      <c r="F804" s="20">
        <f>'Landscape Trees '!G662</f>
        <v>0</v>
      </c>
      <c r="G804" s="20">
        <f>'Landscape Trees '!H662</f>
        <v>0</v>
      </c>
      <c r="H804" s="20">
        <f>'Landscape Trees '!I662</f>
        <v>0</v>
      </c>
    </row>
    <row r="805" spans="1:8" ht="12.75">
      <c r="A805" s="20">
        <f>'Landscape Trees '!A663</f>
        <v>0</v>
      </c>
      <c r="B805" s="20">
        <f>'Landscape Trees '!C663</f>
        <v>0</v>
      </c>
      <c r="C805" s="20">
        <f>'Landscape Trees '!D663</f>
        <v>0</v>
      </c>
      <c r="D805" s="20">
        <f>'Landscape Trees '!E663</f>
        <v>0</v>
      </c>
      <c r="E805" s="20">
        <f>'Landscape Trees '!F663</f>
        <v>0</v>
      </c>
      <c r="F805" s="20">
        <f>'Landscape Trees '!G663</f>
        <v>0</v>
      </c>
      <c r="G805" s="20">
        <f>'Landscape Trees '!H663</f>
        <v>0</v>
      </c>
      <c r="H805" s="20">
        <f>'Landscape Trees '!I663</f>
        <v>0</v>
      </c>
    </row>
    <row r="806" spans="1:8" ht="12.75">
      <c r="A806" s="20">
        <f>'Landscape Trees '!A664</f>
        <v>0</v>
      </c>
      <c r="B806" s="20">
        <f>'Landscape Trees '!C664</f>
        <v>0</v>
      </c>
      <c r="C806" s="20">
        <f>'Landscape Trees '!D664</f>
        <v>0</v>
      </c>
      <c r="D806" s="20">
        <f>'Landscape Trees '!E664</f>
        <v>0</v>
      </c>
      <c r="E806" s="20">
        <f>'Landscape Trees '!F664</f>
        <v>0</v>
      </c>
      <c r="F806" s="20">
        <f>'Landscape Trees '!G664</f>
        <v>0</v>
      </c>
      <c r="G806" s="20">
        <f>'Landscape Trees '!H664</f>
        <v>0</v>
      </c>
      <c r="H806" s="20">
        <f>'Landscape Trees '!I664</f>
        <v>0</v>
      </c>
    </row>
    <row r="807" spans="1:8" ht="12.75">
      <c r="A807" s="20">
        <f>'Landscape Trees '!A665</f>
        <v>0</v>
      </c>
      <c r="B807" s="20">
        <f>'Landscape Trees '!C665</f>
        <v>0</v>
      </c>
      <c r="C807" s="20">
        <f>'Landscape Trees '!D665</f>
        <v>0</v>
      </c>
      <c r="D807" s="20">
        <f>'Landscape Trees '!E665</f>
        <v>0</v>
      </c>
      <c r="E807" s="20">
        <f>'Landscape Trees '!F665</f>
        <v>0</v>
      </c>
      <c r="F807" s="20">
        <f>'Landscape Trees '!G665</f>
        <v>0</v>
      </c>
      <c r="G807" s="20">
        <f>'Landscape Trees '!H665</f>
        <v>0</v>
      </c>
      <c r="H807" s="20">
        <f>'Landscape Trees '!I665</f>
        <v>0</v>
      </c>
    </row>
    <row r="808" spans="1:8" ht="12.75">
      <c r="A808" s="20">
        <f>'Landscape Trees '!A666</f>
        <v>0</v>
      </c>
      <c r="B808" s="20">
        <f>'Landscape Trees '!C666</f>
        <v>0</v>
      </c>
      <c r="C808" s="20">
        <f>'Landscape Trees '!D666</f>
        <v>0</v>
      </c>
      <c r="D808" s="20">
        <f>'Landscape Trees '!E666</f>
        <v>0</v>
      </c>
      <c r="E808" s="20">
        <f>'Landscape Trees '!F666</f>
        <v>0</v>
      </c>
      <c r="F808" s="20">
        <f>'Landscape Trees '!G666</f>
        <v>0</v>
      </c>
      <c r="G808" s="20">
        <f>'Landscape Trees '!H666</f>
        <v>0</v>
      </c>
      <c r="H808" s="20">
        <f>'Landscape Trees '!I666</f>
        <v>0</v>
      </c>
    </row>
    <row r="809" spans="1:8" ht="12.75">
      <c r="A809" s="20">
        <f>'Landscape Trees '!A667</f>
        <v>0</v>
      </c>
      <c r="B809" s="20">
        <f>'Landscape Trees '!C667</f>
        <v>0</v>
      </c>
      <c r="C809" s="20">
        <f>'Landscape Trees '!D667</f>
        <v>0</v>
      </c>
      <c r="D809" s="20">
        <f>'Landscape Trees '!E667</f>
        <v>0</v>
      </c>
      <c r="E809" s="20">
        <f>'Landscape Trees '!F667</f>
        <v>0</v>
      </c>
      <c r="F809" s="20">
        <f>'Landscape Trees '!G667</f>
        <v>0</v>
      </c>
      <c r="G809" s="20">
        <f>'Landscape Trees '!H667</f>
        <v>0</v>
      </c>
      <c r="H809" s="20">
        <f>'Landscape Trees '!I667</f>
        <v>0</v>
      </c>
    </row>
    <row r="810" spans="1:8" ht="12.75">
      <c r="A810" s="20">
        <f>'Landscape Trees '!A668</f>
        <v>0</v>
      </c>
      <c r="B810" s="20">
        <f>'Landscape Trees '!C668</f>
        <v>0</v>
      </c>
      <c r="C810" s="20">
        <f>'Landscape Trees '!D668</f>
        <v>0</v>
      </c>
      <c r="D810" s="20">
        <f>'Landscape Trees '!E668</f>
        <v>0</v>
      </c>
      <c r="E810" s="20">
        <f>'Landscape Trees '!F668</f>
        <v>0</v>
      </c>
      <c r="F810" s="20">
        <f>'Landscape Trees '!G668</f>
        <v>0</v>
      </c>
      <c r="G810" s="20">
        <f>'Landscape Trees '!H668</f>
        <v>0</v>
      </c>
      <c r="H810" s="20">
        <f>'Landscape Trees '!I668</f>
        <v>0</v>
      </c>
    </row>
    <row r="811" spans="1:8" ht="12.75">
      <c r="A811" s="20">
        <f>'Landscape Trees '!A669</f>
        <v>0</v>
      </c>
      <c r="B811" s="20">
        <f>'Landscape Trees '!C669</f>
        <v>0</v>
      </c>
      <c r="C811" s="20">
        <f>'Landscape Trees '!D669</f>
        <v>0</v>
      </c>
      <c r="D811" s="20">
        <f>'Landscape Trees '!E669</f>
        <v>0</v>
      </c>
      <c r="E811" s="20">
        <f>'Landscape Trees '!F669</f>
        <v>0</v>
      </c>
      <c r="F811" s="20">
        <f>'Landscape Trees '!G669</f>
        <v>0</v>
      </c>
      <c r="G811" s="20">
        <f>'Landscape Trees '!H669</f>
        <v>0</v>
      </c>
      <c r="H811" s="20">
        <f>'Landscape Trees '!I669</f>
        <v>0</v>
      </c>
    </row>
    <row r="812" spans="1:8" ht="12.75">
      <c r="A812" s="20">
        <f>'Landscape Trees '!A670</f>
        <v>0</v>
      </c>
      <c r="B812" s="20">
        <f>'Landscape Trees '!C670</f>
        <v>0</v>
      </c>
      <c r="C812" s="20">
        <f>'Landscape Trees '!D670</f>
        <v>0</v>
      </c>
      <c r="D812" s="20">
        <f>'Landscape Trees '!E670</f>
        <v>0</v>
      </c>
      <c r="E812" s="20">
        <f>'Landscape Trees '!F670</f>
        <v>0</v>
      </c>
      <c r="F812" s="20">
        <f>'Landscape Trees '!G670</f>
        <v>0</v>
      </c>
      <c r="G812" s="20">
        <f>'Landscape Trees '!H670</f>
        <v>0</v>
      </c>
      <c r="H812" s="20">
        <f>'Landscape Trees '!I670</f>
        <v>0</v>
      </c>
    </row>
    <row r="813" spans="1:8" ht="12.75">
      <c r="A813" s="20">
        <f>'Landscape Trees '!A671</f>
        <v>0</v>
      </c>
      <c r="B813" s="20">
        <f>'Landscape Trees '!C671</f>
        <v>0</v>
      </c>
      <c r="C813" s="20">
        <f>'Landscape Trees '!D671</f>
        <v>0</v>
      </c>
      <c r="D813" s="20">
        <f>'Landscape Trees '!E671</f>
        <v>0</v>
      </c>
      <c r="E813" s="20">
        <f>'Landscape Trees '!F671</f>
        <v>0</v>
      </c>
      <c r="F813" s="20">
        <f>'Landscape Trees '!G671</f>
        <v>0</v>
      </c>
      <c r="G813" s="20">
        <f>'Landscape Trees '!H671</f>
        <v>0</v>
      </c>
      <c r="H813" s="20">
        <f>'Landscape Trees '!I671</f>
        <v>0</v>
      </c>
    </row>
    <row r="814" spans="1:8" ht="12.75">
      <c r="A814" s="20">
        <f>'Landscape Trees '!A672</f>
        <v>0</v>
      </c>
      <c r="B814" s="20">
        <f>'Landscape Trees '!C672</f>
        <v>0</v>
      </c>
      <c r="C814" s="20">
        <f>'Landscape Trees '!D672</f>
        <v>0</v>
      </c>
      <c r="D814" s="20">
        <f>'Landscape Trees '!E672</f>
        <v>0</v>
      </c>
      <c r="E814" s="20">
        <f>'Landscape Trees '!F672</f>
        <v>0</v>
      </c>
      <c r="F814" s="20">
        <f>'Landscape Trees '!G672</f>
        <v>0</v>
      </c>
      <c r="G814" s="20">
        <f>'Landscape Trees '!H672</f>
        <v>0</v>
      </c>
      <c r="H814" s="20">
        <f>'Landscape Trees '!I672</f>
        <v>0</v>
      </c>
    </row>
    <row r="815" spans="1:8" ht="12.75">
      <c r="A815" s="20">
        <f>'Landscape Trees '!A673</f>
        <v>0</v>
      </c>
      <c r="B815" s="20">
        <f>'Landscape Trees '!C673</f>
        <v>0</v>
      </c>
      <c r="C815" s="20">
        <f>'Landscape Trees '!D673</f>
        <v>0</v>
      </c>
      <c r="D815" s="20">
        <f>'Landscape Trees '!E673</f>
        <v>0</v>
      </c>
      <c r="E815" s="20">
        <f>'Landscape Trees '!F673</f>
        <v>0</v>
      </c>
      <c r="F815" s="20">
        <f>'Landscape Trees '!G673</f>
        <v>0</v>
      </c>
      <c r="G815" s="20">
        <f>'Landscape Trees '!H673</f>
        <v>0</v>
      </c>
      <c r="H815" s="20">
        <f>'Landscape Trees '!I673</f>
        <v>0</v>
      </c>
    </row>
    <row r="816" spans="1:8" ht="12.75">
      <c r="A816" s="20">
        <f>'Landscape Trees '!A674</f>
        <v>0</v>
      </c>
      <c r="B816" s="20">
        <f>'Landscape Trees '!C674</f>
        <v>0</v>
      </c>
      <c r="C816" s="20">
        <f>'Landscape Trees '!D674</f>
        <v>0</v>
      </c>
      <c r="D816" s="20">
        <f>'Landscape Trees '!E674</f>
        <v>0</v>
      </c>
      <c r="E816" s="20">
        <f>'Landscape Trees '!F674</f>
        <v>0</v>
      </c>
      <c r="F816" s="20">
        <f>'Landscape Trees '!G674</f>
        <v>0</v>
      </c>
      <c r="G816" s="20">
        <f>'Landscape Trees '!H674</f>
        <v>0</v>
      </c>
      <c r="H816" s="20">
        <f>'Landscape Trees '!I674</f>
        <v>0</v>
      </c>
    </row>
    <row r="817" spans="1:8" ht="12.75">
      <c r="A817" s="20">
        <f>'Landscape Trees '!A675</f>
        <v>0</v>
      </c>
      <c r="B817" s="20">
        <f>'Landscape Trees '!C675</f>
        <v>0</v>
      </c>
      <c r="C817" s="20">
        <f>'Landscape Trees '!D675</f>
        <v>0</v>
      </c>
      <c r="D817" s="20">
        <f>'Landscape Trees '!E675</f>
        <v>0</v>
      </c>
      <c r="E817" s="20">
        <f>'Landscape Trees '!F675</f>
        <v>0</v>
      </c>
      <c r="F817" s="20">
        <f>'Landscape Trees '!G675</f>
        <v>0</v>
      </c>
      <c r="G817" s="20">
        <f>'Landscape Trees '!H675</f>
        <v>0</v>
      </c>
      <c r="H817" s="20">
        <f>'Landscape Trees '!I675</f>
        <v>0</v>
      </c>
    </row>
    <row r="818" spans="1:8" ht="12.75">
      <c r="A818" s="20">
        <f>'Landscape Trees '!A676</f>
        <v>0</v>
      </c>
      <c r="B818" s="20">
        <f>'Landscape Trees '!C676</f>
        <v>0</v>
      </c>
      <c r="C818" s="20">
        <f>'Landscape Trees '!D676</f>
        <v>0</v>
      </c>
      <c r="D818" s="20">
        <f>'Landscape Trees '!E676</f>
        <v>0</v>
      </c>
      <c r="E818" s="20">
        <f>'Landscape Trees '!F676</f>
        <v>0</v>
      </c>
      <c r="F818" s="20">
        <f>'Landscape Trees '!G676</f>
        <v>0</v>
      </c>
      <c r="G818" s="20">
        <f>'Landscape Trees '!H676</f>
        <v>0</v>
      </c>
      <c r="H818" s="20">
        <f>'Landscape Trees '!I676</f>
        <v>0</v>
      </c>
    </row>
    <row r="819" spans="1:8" ht="12.75">
      <c r="A819" s="20">
        <f>'Landscape Trees '!A677</f>
        <v>0</v>
      </c>
      <c r="B819" s="20">
        <f>'Landscape Trees '!C677</f>
        <v>0</v>
      </c>
      <c r="C819" s="20">
        <f>'Landscape Trees '!D677</f>
        <v>0</v>
      </c>
      <c r="D819" s="20">
        <f>'Landscape Trees '!E677</f>
        <v>0</v>
      </c>
      <c r="E819" s="20">
        <f>'Landscape Trees '!F677</f>
        <v>0</v>
      </c>
      <c r="F819" s="20">
        <f>'Landscape Trees '!G677</f>
        <v>0</v>
      </c>
      <c r="G819" s="20">
        <f>'Landscape Trees '!H677</f>
        <v>0</v>
      </c>
      <c r="H819" s="20">
        <f>'Landscape Trees '!I677</f>
        <v>0</v>
      </c>
    </row>
    <row r="820" spans="1:8" ht="12.75">
      <c r="A820" s="20">
        <f>'Landscape Trees '!A678</f>
        <v>0</v>
      </c>
      <c r="B820" s="20">
        <f>'Landscape Trees '!C678</f>
        <v>0</v>
      </c>
      <c r="C820" s="20">
        <f>'Landscape Trees '!D678</f>
        <v>0</v>
      </c>
      <c r="D820" s="20">
        <f>'Landscape Trees '!E678</f>
        <v>0</v>
      </c>
      <c r="E820" s="20">
        <f>'Landscape Trees '!F678</f>
        <v>0</v>
      </c>
      <c r="F820" s="20">
        <f>'Landscape Trees '!G678</f>
        <v>0</v>
      </c>
      <c r="G820" s="20">
        <f>'Landscape Trees '!H678</f>
        <v>0</v>
      </c>
      <c r="H820" s="20">
        <f>'Landscape Trees '!I678</f>
        <v>0</v>
      </c>
    </row>
    <row r="821" spans="1:8" ht="12.75">
      <c r="A821" s="20">
        <f>'Landscape Trees '!A679</f>
        <v>0</v>
      </c>
      <c r="B821" s="20">
        <f>'Landscape Trees '!C679</f>
        <v>0</v>
      </c>
      <c r="C821" s="20">
        <f>'Landscape Trees '!D679</f>
        <v>0</v>
      </c>
      <c r="D821" s="20">
        <f>'Landscape Trees '!E679</f>
        <v>0</v>
      </c>
      <c r="E821" s="20">
        <f>'Landscape Trees '!F679</f>
        <v>0</v>
      </c>
      <c r="F821" s="20">
        <f>'Landscape Trees '!G679</f>
        <v>0</v>
      </c>
      <c r="G821" s="20">
        <f>'Landscape Trees '!H679</f>
        <v>0</v>
      </c>
      <c r="H821" s="20">
        <f>'Landscape Trees '!I679</f>
        <v>0</v>
      </c>
    </row>
    <row r="822" spans="1:8" ht="12.75">
      <c r="A822" s="20">
        <f>'Landscape Trees '!A680</f>
        <v>0</v>
      </c>
      <c r="B822" s="20">
        <f>'Landscape Trees '!C680</f>
        <v>0</v>
      </c>
      <c r="C822" s="20">
        <f>'Landscape Trees '!D680</f>
        <v>0</v>
      </c>
      <c r="D822" s="20">
        <f>'Landscape Trees '!E680</f>
        <v>0</v>
      </c>
      <c r="E822" s="20">
        <f>'Landscape Trees '!F680</f>
        <v>0</v>
      </c>
      <c r="F822" s="20">
        <f>'Landscape Trees '!G680</f>
        <v>0</v>
      </c>
      <c r="G822" s="20">
        <f>'Landscape Trees '!H680</f>
        <v>0</v>
      </c>
      <c r="H822" s="20">
        <f>'Landscape Trees '!I680</f>
        <v>0</v>
      </c>
    </row>
    <row r="823" spans="1:8" ht="12.75">
      <c r="A823" s="20">
        <f>'Landscape Trees '!A681</f>
        <v>0</v>
      </c>
      <c r="B823" s="20">
        <f>'Landscape Trees '!C681</f>
        <v>0</v>
      </c>
      <c r="C823" s="20">
        <f>'Landscape Trees '!D681</f>
        <v>0</v>
      </c>
      <c r="D823" s="20">
        <f>'Landscape Trees '!E681</f>
        <v>0</v>
      </c>
      <c r="E823" s="20">
        <f>'Landscape Trees '!F681</f>
        <v>0</v>
      </c>
      <c r="F823" s="20">
        <f>'Landscape Trees '!G681</f>
        <v>0</v>
      </c>
      <c r="G823" s="20">
        <f>'Landscape Trees '!H681</f>
        <v>0</v>
      </c>
      <c r="H823" s="20">
        <f>'Landscape Trees '!I681</f>
        <v>0</v>
      </c>
    </row>
    <row r="824" spans="1:8" ht="12.75">
      <c r="A824" s="20">
        <f>'Landscape Trees '!A682</f>
        <v>0</v>
      </c>
      <c r="B824" s="20">
        <f>'Landscape Trees '!C682</f>
        <v>0</v>
      </c>
      <c r="C824" s="20">
        <f>'Landscape Trees '!D682</f>
        <v>0</v>
      </c>
      <c r="D824" s="20">
        <f>'Landscape Trees '!E682</f>
        <v>0</v>
      </c>
      <c r="E824" s="20">
        <f>'Landscape Trees '!F682</f>
        <v>0</v>
      </c>
      <c r="F824" s="20">
        <f>'Landscape Trees '!G682</f>
        <v>0</v>
      </c>
      <c r="G824" s="20">
        <f>'Landscape Trees '!H682</f>
        <v>0</v>
      </c>
      <c r="H824" s="20">
        <f>'Landscape Trees '!I682</f>
        <v>0</v>
      </c>
    </row>
    <row r="825" spans="1:8" ht="12.75">
      <c r="A825" s="20">
        <f>'Landscape Trees '!A683</f>
        <v>0</v>
      </c>
      <c r="B825" s="20">
        <f>'Landscape Trees '!C683</f>
        <v>0</v>
      </c>
      <c r="C825" s="20">
        <f>'Landscape Trees '!D683</f>
        <v>0</v>
      </c>
      <c r="D825" s="20">
        <f>'Landscape Trees '!E683</f>
        <v>0</v>
      </c>
      <c r="E825" s="20">
        <f>'Landscape Trees '!F683</f>
        <v>0</v>
      </c>
      <c r="F825" s="20">
        <f>'Landscape Trees '!G683</f>
        <v>0</v>
      </c>
      <c r="G825" s="20">
        <f>'Landscape Trees '!H683</f>
        <v>0</v>
      </c>
      <c r="H825" s="20">
        <f>'Landscape Trees '!I683</f>
        <v>0</v>
      </c>
    </row>
    <row r="826" spans="1:8" ht="12.75">
      <c r="A826" s="20">
        <f>'Landscape Trees '!A684</f>
        <v>0</v>
      </c>
      <c r="B826" s="20">
        <f>'Landscape Trees '!C684</f>
        <v>0</v>
      </c>
      <c r="C826" s="20">
        <f>'Landscape Trees '!D684</f>
        <v>0</v>
      </c>
      <c r="D826" s="20">
        <f>'Landscape Trees '!E684</f>
        <v>0</v>
      </c>
      <c r="E826" s="20">
        <f>'Landscape Trees '!F684</f>
        <v>0</v>
      </c>
      <c r="F826" s="20">
        <f>'Landscape Trees '!G684</f>
        <v>0</v>
      </c>
      <c r="G826" s="20">
        <f>'Landscape Trees '!H684</f>
        <v>0</v>
      </c>
      <c r="H826" s="20">
        <f>'Landscape Trees '!I684</f>
        <v>0</v>
      </c>
    </row>
    <row r="827" spans="1:8" ht="12.75">
      <c r="A827" s="20">
        <f>'Landscape Trees '!A685</f>
        <v>0</v>
      </c>
      <c r="B827" s="20">
        <f>'Landscape Trees '!C685</f>
        <v>0</v>
      </c>
      <c r="C827" s="20">
        <f>'Landscape Trees '!D685</f>
        <v>0</v>
      </c>
      <c r="D827" s="20">
        <f>'Landscape Trees '!E685</f>
        <v>0</v>
      </c>
      <c r="E827" s="20">
        <f>'Landscape Trees '!F685</f>
        <v>0</v>
      </c>
      <c r="F827" s="20">
        <f>'Landscape Trees '!G685</f>
        <v>0</v>
      </c>
      <c r="G827" s="20">
        <f>'Landscape Trees '!H685</f>
        <v>0</v>
      </c>
      <c r="H827" s="20">
        <f>'Landscape Trees '!I685</f>
        <v>0</v>
      </c>
    </row>
    <row r="828" spans="1:8" ht="12.75">
      <c r="A828" s="20">
        <f>'Landscape Trees '!A686</f>
        <v>0</v>
      </c>
      <c r="B828" s="20">
        <f>'Landscape Trees '!C686</f>
        <v>0</v>
      </c>
      <c r="C828" s="20">
        <f>'Landscape Trees '!D686</f>
        <v>0</v>
      </c>
      <c r="D828" s="20">
        <f>'Landscape Trees '!E686</f>
        <v>0</v>
      </c>
      <c r="E828" s="20">
        <f>'Landscape Trees '!F686</f>
        <v>0</v>
      </c>
      <c r="F828" s="20">
        <f>'Landscape Trees '!G686</f>
        <v>0</v>
      </c>
      <c r="G828" s="20">
        <f>'Landscape Trees '!H686</f>
        <v>0</v>
      </c>
      <c r="H828" s="20">
        <f>'Landscape Trees '!I686</f>
        <v>0</v>
      </c>
    </row>
    <row r="829" spans="1:8" ht="12.75">
      <c r="A829" s="20">
        <f>'Landscape Trees '!A687</f>
        <v>0</v>
      </c>
      <c r="B829" s="20">
        <f>'Landscape Trees '!C687</f>
        <v>0</v>
      </c>
      <c r="C829" s="20">
        <f>'Landscape Trees '!D687</f>
        <v>0</v>
      </c>
      <c r="D829" s="20">
        <f>'Landscape Trees '!E687</f>
        <v>0</v>
      </c>
      <c r="E829" s="20">
        <f>'Landscape Trees '!F687</f>
        <v>0</v>
      </c>
      <c r="F829" s="20">
        <f>'Landscape Trees '!G687</f>
        <v>0</v>
      </c>
      <c r="G829" s="20">
        <f>'Landscape Trees '!H687</f>
        <v>0</v>
      </c>
      <c r="H829" s="20">
        <f>'Landscape Trees '!I687</f>
        <v>0</v>
      </c>
    </row>
    <row r="830" spans="1:8" ht="12.75">
      <c r="A830" s="20">
        <f>'Landscape Trees '!A688</f>
        <v>0</v>
      </c>
      <c r="B830" s="20">
        <f>'Landscape Trees '!C688</f>
        <v>0</v>
      </c>
      <c r="C830" s="20">
        <f>'Landscape Trees '!D688</f>
        <v>0</v>
      </c>
      <c r="D830" s="20">
        <f>'Landscape Trees '!E688</f>
        <v>0</v>
      </c>
      <c r="E830" s="20">
        <f>'Landscape Trees '!F688</f>
        <v>0</v>
      </c>
      <c r="F830" s="20">
        <f>'Landscape Trees '!G688</f>
        <v>0</v>
      </c>
      <c r="G830" s="20">
        <f>'Landscape Trees '!H688</f>
        <v>0</v>
      </c>
      <c r="H830" s="20">
        <f>'Landscape Trees '!I688</f>
        <v>0</v>
      </c>
    </row>
    <row r="831" spans="1:8" ht="12.75">
      <c r="A831" s="20">
        <f>'Landscape Trees '!A689</f>
        <v>0</v>
      </c>
      <c r="B831" s="20">
        <f>'Landscape Trees '!C689</f>
        <v>0</v>
      </c>
      <c r="C831" s="20">
        <f>'Landscape Trees '!D689</f>
        <v>0</v>
      </c>
      <c r="D831" s="20">
        <f>'Landscape Trees '!E689</f>
        <v>0</v>
      </c>
      <c r="E831" s="20">
        <f>'Landscape Trees '!F689</f>
        <v>0</v>
      </c>
      <c r="F831" s="20">
        <f>'Landscape Trees '!G689</f>
        <v>0</v>
      </c>
      <c r="G831" s="20">
        <f>'Landscape Trees '!H689</f>
        <v>0</v>
      </c>
      <c r="H831" s="20">
        <f>'Landscape Trees '!I689</f>
        <v>0</v>
      </c>
    </row>
    <row r="832" spans="1:8" ht="12.75">
      <c r="A832" s="20">
        <f>'Landscape Trees '!A690</f>
        <v>0</v>
      </c>
      <c r="B832" s="20">
        <f>'Landscape Trees '!C690</f>
        <v>0</v>
      </c>
      <c r="C832" s="20">
        <f>'Landscape Trees '!D690</f>
        <v>0</v>
      </c>
      <c r="D832" s="20">
        <f>'Landscape Trees '!E690</f>
        <v>0</v>
      </c>
      <c r="E832" s="20">
        <f>'Landscape Trees '!F690</f>
        <v>0</v>
      </c>
      <c r="F832" s="20">
        <f>'Landscape Trees '!G690</f>
        <v>0</v>
      </c>
      <c r="G832" s="20">
        <f>'Landscape Trees '!H690</f>
        <v>0</v>
      </c>
      <c r="H832" s="20">
        <f>'Landscape Trees '!I690</f>
        <v>0</v>
      </c>
    </row>
    <row r="833" spans="1:8" ht="12.75">
      <c r="A833" s="20">
        <f>'Landscape Trees '!A691</f>
        <v>0</v>
      </c>
      <c r="B833" s="20">
        <f>'Landscape Trees '!C691</f>
        <v>0</v>
      </c>
      <c r="C833" s="20">
        <f>'Landscape Trees '!D691</f>
        <v>0</v>
      </c>
      <c r="D833" s="20">
        <f>'Landscape Trees '!E691</f>
        <v>0</v>
      </c>
      <c r="E833" s="20">
        <f>'Landscape Trees '!F691</f>
        <v>0</v>
      </c>
      <c r="F833" s="20">
        <f>'Landscape Trees '!G691</f>
        <v>0</v>
      </c>
      <c r="G833" s="20">
        <f>'Landscape Trees '!H691</f>
        <v>0</v>
      </c>
      <c r="H833" s="20">
        <f>'Landscape Trees '!I691</f>
        <v>0</v>
      </c>
    </row>
    <row r="834" spans="1:8" ht="12.75">
      <c r="A834" s="20">
        <f>'Landscape Trees '!A692</f>
        <v>0</v>
      </c>
      <c r="B834" s="20">
        <f>'Landscape Trees '!C692</f>
        <v>0</v>
      </c>
      <c r="C834" s="20">
        <f>'Landscape Trees '!D692</f>
        <v>0</v>
      </c>
      <c r="D834" s="20">
        <f>'Landscape Trees '!E692</f>
        <v>0</v>
      </c>
      <c r="E834" s="20">
        <f>'Landscape Trees '!F692</f>
        <v>0</v>
      </c>
      <c r="F834" s="20">
        <f>'Landscape Trees '!G692</f>
        <v>0</v>
      </c>
      <c r="G834" s="20">
        <f>'Landscape Trees '!H692</f>
        <v>0</v>
      </c>
      <c r="H834" s="20">
        <f>'Landscape Trees '!I692</f>
        <v>0</v>
      </c>
    </row>
    <row r="835" spans="1:8" ht="12.75">
      <c r="A835" s="20">
        <f>'Landscape Trees '!A693</f>
        <v>0</v>
      </c>
      <c r="B835" s="20">
        <f>'Landscape Trees '!C693</f>
        <v>0</v>
      </c>
      <c r="C835" s="20">
        <f>'Landscape Trees '!D693</f>
        <v>0</v>
      </c>
      <c r="D835" s="20">
        <f>'Landscape Trees '!E693</f>
        <v>0</v>
      </c>
      <c r="E835" s="20">
        <f>'Landscape Trees '!F693</f>
        <v>0</v>
      </c>
      <c r="F835" s="20">
        <f>'Landscape Trees '!G693</f>
        <v>0</v>
      </c>
      <c r="G835" s="20">
        <f>'Landscape Trees '!H693</f>
        <v>0</v>
      </c>
      <c r="H835" s="20">
        <f>'Landscape Trees '!I693</f>
        <v>0</v>
      </c>
    </row>
    <row r="836" spans="1:8" ht="12.75">
      <c r="A836" s="20">
        <f>'Landscape Trees '!A694</f>
        <v>0</v>
      </c>
      <c r="B836" s="20">
        <f>'Landscape Trees '!C694</f>
        <v>0</v>
      </c>
      <c r="C836" s="20">
        <f>'Landscape Trees '!D694</f>
        <v>0</v>
      </c>
      <c r="D836" s="20">
        <f>'Landscape Trees '!E694</f>
        <v>0</v>
      </c>
      <c r="E836" s="20">
        <f>'Landscape Trees '!F694</f>
        <v>0</v>
      </c>
      <c r="F836" s="20">
        <f>'Landscape Trees '!G694</f>
        <v>0</v>
      </c>
      <c r="G836" s="20">
        <f>'Landscape Trees '!H694</f>
        <v>0</v>
      </c>
      <c r="H836" s="20">
        <f>'Landscape Trees '!I694</f>
        <v>0</v>
      </c>
    </row>
    <row r="837" spans="1:8" ht="12.75">
      <c r="A837" s="20">
        <f>'Landscape Trees '!A695</f>
        <v>0</v>
      </c>
      <c r="B837" s="20">
        <f>'Landscape Trees '!C695</f>
        <v>0</v>
      </c>
      <c r="C837" s="20">
        <f>'Landscape Trees '!D695</f>
        <v>0</v>
      </c>
      <c r="D837" s="20">
        <f>'Landscape Trees '!E695</f>
        <v>0</v>
      </c>
      <c r="E837" s="20">
        <f>'Landscape Trees '!F695</f>
        <v>0</v>
      </c>
      <c r="F837" s="20">
        <f>'Landscape Trees '!G695</f>
        <v>0</v>
      </c>
      <c r="G837" s="20">
        <f>'Landscape Trees '!H695</f>
        <v>0</v>
      </c>
      <c r="H837" s="20">
        <f>'Landscape Trees '!I695</f>
        <v>0</v>
      </c>
    </row>
    <row r="838" spans="1:8" ht="12.75">
      <c r="A838" s="20">
        <f>'Landscape Trees '!A696</f>
        <v>0</v>
      </c>
      <c r="B838" s="20">
        <f>'Landscape Trees '!C696</f>
        <v>0</v>
      </c>
      <c r="C838" s="20">
        <f>'Landscape Trees '!D696</f>
        <v>0</v>
      </c>
      <c r="D838" s="20">
        <f>'Landscape Trees '!E696</f>
        <v>0</v>
      </c>
      <c r="E838" s="20">
        <f>'Landscape Trees '!F696</f>
        <v>0</v>
      </c>
      <c r="F838" s="20">
        <f>'Landscape Trees '!G696</f>
        <v>0</v>
      </c>
      <c r="G838" s="20">
        <f>'Landscape Trees '!H696</f>
        <v>0</v>
      </c>
      <c r="H838" s="20">
        <f>'Landscape Trees '!I696</f>
        <v>0</v>
      </c>
    </row>
    <row r="839" spans="1:8" ht="12.75">
      <c r="A839" s="20">
        <f>'Landscape Trees '!A697</f>
        <v>0</v>
      </c>
      <c r="B839" s="20">
        <f>'Landscape Trees '!C697</f>
        <v>0</v>
      </c>
      <c r="C839" s="20">
        <f>'Landscape Trees '!D697</f>
        <v>0</v>
      </c>
      <c r="D839" s="20">
        <f>'Landscape Trees '!E697</f>
        <v>0</v>
      </c>
      <c r="E839" s="20">
        <f>'Landscape Trees '!F697</f>
        <v>0</v>
      </c>
      <c r="F839" s="20">
        <f>'Landscape Trees '!G697</f>
        <v>0</v>
      </c>
      <c r="G839" s="20">
        <f>'Landscape Trees '!H697</f>
        <v>0</v>
      </c>
      <c r="H839" s="20">
        <f>'Landscape Trees '!I697</f>
        <v>0</v>
      </c>
    </row>
    <row r="840" spans="1:8" ht="12.75">
      <c r="A840" s="20">
        <f>'Landscape Trees '!A698</f>
        <v>0</v>
      </c>
      <c r="B840" s="20">
        <f>'Landscape Trees '!C698</f>
        <v>0</v>
      </c>
      <c r="C840" s="20">
        <f>'Landscape Trees '!D698</f>
        <v>0</v>
      </c>
      <c r="D840" s="20">
        <f>'Landscape Trees '!E698</f>
        <v>0</v>
      </c>
      <c r="E840" s="20">
        <f>'Landscape Trees '!F698</f>
        <v>0</v>
      </c>
      <c r="F840" s="20">
        <f>'Landscape Trees '!G698</f>
        <v>0</v>
      </c>
      <c r="G840" s="20">
        <f>'Landscape Trees '!H698</f>
        <v>0</v>
      </c>
      <c r="H840" s="20">
        <f>'Landscape Trees '!I698</f>
        <v>0</v>
      </c>
    </row>
    <row r="841" spans="1:8" ht="12.75">
      <c r="A841" s="20">
        <f>'Landscape Trees '!A699</f>
        <v>0</v>
      </c>
      <c r="B841" s="20">
        <f>'Landscape Trees '!C699</f>
        <v>0</v>
      </c>
      <c r="C841" s="20">
        <f>'Landscape Trees '!D699</f>
        <v>0</v>
      </c>
      <c r="D841" s="20">
        <f>'Landscape Trees '!E699</f>
        <v>0</v>
      </c>
      <c r="E841" s="20">
        <f>'Landscape Trees '!F699</f>
        <v>0</v>
      </c>
      <c r="F841" s="20">
        <f>'Landscape Trees '!G699</f>
        <v>0</v>
      </c>
      <c r="G841" s="20">
        <f>'Landscape Trees '!H699</f>
        <v>0</v>
      </c>
      <c r="H841" s="20">
        <f>'Landscape Trees '!I699</f>
        <v>0</v>
      </c>
    </row>
    <row r="842" spans="1:8" ht="12.75">
      <c r="A842" s="20">
        <f>'Landscape Trees '!A700</f>
        <v>0</v>
      </c>
      <c r="B842" s="20">
        <f>'Landscape Trees '!C700</f>
        <v>0</v>
      </c>
      <c r="C842" s="20">
        <f>'Landscape Trees '!D700</f>
        <v>0</v>
      </c>
      <c r="D842" s="20">
        <f>'Landscape Trees '!E700</f>
        <v>0</v>
      </c>
      <c r="E842" s="20">
        <f>'Landscape Trees '!F700</f>
        <v>0</v>
      </c>
      <c r="F842" s="20">
        <f>'Landscape Trees '!G700</f>
        <v>0</v>
      </c>
      <c r="G842" s="20">
        <f>'Landscape Trees '!H700</f>
        <v>0</v>
      </c>
      <c r="H842" s="20">
        <f>'Landscape Trees '!I700</f>
        <v>0</v>
      </c>
    </row>
    <row r="843" spans="1:8" ht="12.75">
      <c r="A843" s="20">
        <f>'Landscape Trees '!A701</f>
        <v>0</v>
      </c>
      <c r="B843" s="20">
        <f>'Landscape Trees '!C701</f>
        <v>0</v>
      </c>
      <c r="C843" s="20">
        <f>'Landscape Trees '!D701</f>
        <v>0</v>
      </c>
      <c r="D843" s="20">
        <f>'Landscape Trees '!E701</f>
        <v>0</v>
      </c>
      <c r="E843" s="20">
        <f>'Landscape Trees '!F701</f>
        <v>0</v>
      </c>
      <c r="F843" s="20">
        <f>'Landscape Trees '!G701</f>
        <v>0</v>
      </c>
      <c r="G843" s="20">
        <f>'Landscape Trees '!H701</f>
        <v>0</v>
      </c>
      <c r="H843" s="20">
        <f>'Landscape Trees '!I701</f>
        <v>0</v>
      </c>
    </row>
    <row r="844" spans="1:8" ht="12.75">
      <c r="A844" s="20">
        <f>'Landscape Trees '!A702</f>
        <v>0</v>
      </c>
      <c r="B844" s="20">
        <f>'Landscape Trees '!C702</f>
        <v>0</v>
      </c>
      <c r="C844" s="20">
        <f>'Landscape Trees '!D702</f>
        <v>0</v>
      </c>
      <c r="D844" s="20">
        <f>'Landscape Trees '!E702</f>
        <v>0</v>
      </c>
      <c r="E844" s="20">
        <f>'Landscape Trees '!F702</f>
        <v>0</v>
      </c>
      <c r="F844" s="20">
        <f>'Landscape Trees '!G702</f>
        <v>0</v>
      </c>
      <c r="G844" s="20">
        <f>'Landscape Trees '!H702</f>
        <v>0</v>
      </c>
      <c r="H844" s="20">
        <f>'Landscape Trees '!I702</f>
        <v>0</v>
      </c>
    </row>
    <row r="845" spans="1:8" ht="12.75">
      <c r="A845" s="20">
        <f>'Landscape Trees '!A703</f>
        <v>0</v>
      </c>
      <c r="B845" s="20">
        <f>'Landscape Trees '!C703</f>
        <v>0</v>
      </c>
      <c r="C845" s="20">
        <f>'Landscape Trees '!D703</f>
        <v>0</v>
      </c>
      <c r="D845" s="20">
        <f>'Landscape Trees '!E703</f>
        <v>0</v>
      </c>
      <c r="E845" s="20">
        <f>'Landscape Trees '!F703</f>
        <v>0</v>
      </c>
      <c r="F845" s="20">
        <f>'Landscape Trees '!G703</f>
        <v>0</v>
      </c>
      <c r="G845" s="20">
        <f>'Landscape Trees '!H703</f>
        <v>0</v>
      </c>
      <c r="H845" s="20">
        <f>'Landscape Trees '!I703</f>
        <v>0</v>
      </c>
    </row>
    <row r="846" spans="1:8" ht="12.75">
      <c r="A846" s="20">
        <f>'Landscape Trees '!A704</f>
        <v>0</v>
      </c>
      <c r="B846" s="20">
        <f>'Landscape Trees '!C704</f>
        <v>0</v>
      </c>
      <c r="C846" s="20">
        <f>'Landscape Trees '!D704</f>
        <v>0</v>
      </c>
      <c r="D846" s="20">
        <f>'Landscape Trees '!E704</f>
        <v>0</v>
      </c>
      <c r="E846" s="20">
        <f>'Landscape Trees '!F704</f>
        <v>0</v>
      </c>
      <c r="F846" s="20">
        <f>'Landscape Trees '!G704</f>
        <v>0</v>
      </c>
      <c r="G846" s="20">
        <f>'Landscape Trees '!H704</f>
        <v>0</v>
      </c>
      <c r="H846" s="20">
        <f>'Landscape Trees '!I704</f>
        <v>0</v>
      </c>
    </row>
    <row r="847" spans="1:8" ht="12.75">
      <c r="A847" s="20">
        <f>'Landscape Trees '!A705</f>
        <v>0</v>
      </c>
      <c r="B847" s="20">
        <f>'Landscape Trees '!C705</f>
        <v>0</v>
      </c>
      <c r="C847" s="20">
        <f>'Landscape Trees '!D705</f>
        <v>0</v>
      </c>
      <c r="D847" s="20">
        <f>'Landscape Trees '!E705</f>
        <v>0</v>
      </c>
      <c r="E847" s="20">
        <f>'Landscape Trees '!F705</f>
        <v>0</v>
      </c>
      <c r="F847" s="20">
        <f>'Landscape Trees '!G705</f>
        <v>0</v>
      </c>
      <c r="G847" s="20">
        <f>'Landscape Trees '!H705</f>
        <v>0</v>
      </c>
      <c r="H847" s="20">
        <f>'Landscape Trees '!I705</f>
        <v>0</v>
      </c>
    </row>
    <row r="848" spans="1:8" ht="12.75">
      <c r="A848" s="20">
        <f>'Landscape Trees '!A706</f>
        <v>0</v>
      </c>
      <c r="B848" s="20">
        <f>'Landscape Trees '!C706</f>
        <v>0</v>
      </c>
      <c r="C848" s="20">
        <f>'Landscape Trees '!D706</f>
        <v>0</v>
      </c>
      <c r="D848" s="20">
        <f>'Landscape Trees '!E706</f>
        <v>0</v>
      </c>
      <c r="E848" s="20">
        <f>'Landscape Trees '!F706</f>
        <v>0</v>
      </c>
      <c r="F848" s="20">
        <f>'Landscape Trees '!G706</f>
        <v>0</v>
      </c>
      <c r="G848" s="20">
        <f>'Landscape Trees '!H706</f>
        <v>0</v>
      </c>
      <c r="H848" s="20">
        <f>'Landscape Trees '!I706</f>
        <v>0</v>
      </c>
    </row>
    <row r="849" spans="1:8" ht="12.75">
      <c r="A849" s="20">
        <f>'Landscape Trees '!A707</f>
        <v>0</v>
      </c>
      <c r="B849" s="20">
        <f>'Landscape Trees '!C707</f>
        <v>0</v>
      </c>
      <c r="C849" s="20">
        <f>'Landscape Trees '!D707</f>
        <v>0</v>
      </c>
      <c r="D849" s="20">
        <f>'Landscape Trees '!E707</f>
        <v>0</v>
      </c>
      <c r="E849" s="20">
        <f>'Landscape Trees '!F707</f>
        <v>0</v>
      </c>
      <c r="F849" s="20">
        <f>'Landscape Trees '!G707</f>
        <v>0</v>
      </c>
      <c r="G849" s="20">
        <f>'Landscape Trees '!H707</f>
        <v>0</v>
      </c>
      <c r="H849" s="20">
        <f>'Landscape Trees '!I707</f>
        <v>0</v>
      </c>
    </row>
    <row r="850" spans="1:8" ht="12.75">
      <c r="A850" s="20">
        <f>'Landscape Trees '!A708</f>
        <v>0</v>
      </c>
      <c r="B850" s="20">
        <f>'Landscape Trees '!C708</f>
        <v>0</v>
      </c>
      <c r="C850" s="20">
        <f>'Landscape Trees '!D708</f>
        <v>0</v>
      </c>
      <c r="D850" s="20">
        <f>'Landscape Trees '!E708</f>
        <v>0</v>
      </c>
      <c r="E850" s="20">
        <f>'Landscape Trees '!F708</f>
        <v>0</v>
      </c>
      <c r="F850" s="20">
        <f>'Landscape Trees '!G708</f>
        <v>0</v>
      </c>
      <c r="G850" s="20">
        <f>'Landscape Trees '!H708</f>
        <v>0</v>
      </c>
      <c r="H850" s="20">
        <f>'Landscape Trees '!I708</f>
        <v>0</v>
      </c>
    </row>
    <row r="851" spans="1:8" ht="12.75">
      <c r="A851" s="20">
        <f>'Landscape Trees '!A709</f>
        <v>0</v>
      </c>
      <c r="B851" s="20">
        <f>'Landscape Trees '!C709</f>
        <v>0</v>
      </c>
      <c r="C851" s="20">
        <f>'Landscape Trees '!D709</f>
        <v>0</v>
      </c>
      <c r="D851" s="20">
        <f>'Landscape Trees '!E709</f>
        <v>0</v>
      </c>
      <c r="E851" s="20">
        <f>'Landscape Trees '!F709</f>
        <v>0</v>
      </c>
      <c r="F851" s="20">
        <f>'Landscape Trees '!G709</f>
        <v>0</v>
      </c>
      <c r="G851" s="20">
        <f>'Landscape Trees '!H709</f>
        <v>0</v>
      </c>
      <c r="H851" s="20">
        <f>'Landscape Trees '!I709</f>
        <v>0</v>
      </c>
    </row>
    <row r="852" spans="1:8" ht="12.75">
      <c r="A852" s="20">
        <f>'Landscape Trees '!A710</f>
        <v>0</v>
      </c>
      <c r="B852" s="20">
        <f>'Landscape Trees '!C710</f>
        <v>0</v>
      </c>
      <c r="C852" s="20">
        <f>'Landscape Trees '!D710</f>
        <v>0</v>
      </c>
      <c r="D852" s="20">
        <f>'Landscape Trees '!E710</f>
        <v>0</v>
      </c>
      <c r="E852" s="20">
        <f>'Landscape Trees '!F710</f>
        <v>0</v>
      </c>
      <c r="F852" s="20">
        <f>'Landscape Trees '!G710</f>
        <v>0</v>
      </c>
      <c r="G852" s="20">
        <f>'Landscape Trees '!H710</f>
        <v>0</v>
      </c>
      <c r="H852" s="20">
        <f>'Landscape Trees '!I710</f>
        <v>0</v>
      </c>
    </row>
    <row r="853" spans="1:8" ht="12.75">
      <c r="A853" s="20">
        <f>'Landscape Trees '!A711</f>
        <v>0</v>
      </c>
      <c r="B853" s="20">
        <f>'Landscape Trees '!C711</f>
        <v>0</v>
      </c>
      <c r="C853" s="20">
        <f>'Landscape Trees '!D711</f>
        <v>0</v>
      </c>
      <c r="D853" s="20">
        <f>'Landscape Trees '!E711</f>
        <v>0</v>
      </c>
      <c r="E853" s="20">
        <f>'Landscape Trees '!F711</f>
        <v>0</v>
      </c>
      <c r="F853" s="20">
        <f>'Landscape Trees '!G711</f>
        <v>0</v>
      </c>
      <c r="G853" s="20">
        <f>'Landscape Trees '!H711</f>
        <v>0</v>
      </c>
      <c r="H853" s="20">
        <f>'Landscape Trees '!I711</f>
        <v>0</v>
      </c>
    </row>
    <row r="854" spans="1:8" ht="12.75">
      <c r="A854" s="20">
        <f>'Landscape Trees '!A712</f>
        <v>0</v>
      </c>
      <c r="B854" s="20">
        <f>'Landscape Trees '!C712</f>
        <v>0</v>
      </c>
      <c r="C854" s="20">
        <f>'Landscape Trees '!D712</f>
        <v>0</v>
      </c>
      <c r="D854" s="20">
        <f>'Landscape Trees '!E712</f>
        <v>0</v>
      </c>
      <c r="E854" s="20">
        <f>'Landscape Trees '!F712</f>
        <v>0</v>
      </c>
      <c r="F854" s="20">
        <f>'Landscape Trees '!G712</f>
        <v>0</v>
      </c>
      <c r="G854" s="20">
        <f>'Landscape Trees '!H712</f>
        <v>0</v>
      </c>
      <c r="H854" s="20">
        <f>'Landscape Trees '!I712</f>
        <v>0</v>
      </c>
    </row>
    <row r="855" spans="1:8" ht="12.75">
      <c r="A855" s="20">
        <f>'Landscape Trees '!A713</f>
        <v>0</v>
      </c>
      <c r="B855" s="20">
        <f>'Landscape Trees '!C713</f>
        <v>0</v>
      </c>
      <c r="C855" s="20">
        <f>'Landscape Trees '!D713</f>
        <v>0</v>
      </c>
      <c r="D855" s="20">
        <f>'Landscape Trees '!E713</f>
        <v>0</v>
      </c>
      <c r="E855" s="20">
        <f>'Landscape Trees '!F713</f>
        <v>0</v>
      </c>
      <c r="F855" s="20">
        <f>'Landscape Trees '!G713</f>
        <v>0</v>
      </c>
      <c r="G855" s="20">
        <f>'Landscape Trees '!H713</f>
        <v>0</v>
      </c>
      <c r="H855" s="20">
        <f>'Landscape Trees '!I713</f>
        <v>0</v>
      </c>
    </row>
    <row r="856" spans="1:8" ht="12.75">
      <c r="A856" s="20">
        <f>'Landscape Trees '!A714</f>
        <v>0</v>
      </c>
      <c r="B856" s="20">
        <f>'Landscape Trees '!C714</f>
        <v>0</v>
      </c>
      <c r="C856" s="20">
        <f>'Landscape Trees '!D714</f>
        <v>0</v>
      </c>
      <c r="D856" s="20">
        <f>'Landscape Trees '!E714</f>
        <v>0</v>
      </c>
      <c r="E856" s="20">
        <f>'Landscape Trees '!F714</f>
        <v>0</v>
      </c>
      <c r="F856" s="20">
        <f>'Landscape Trees '!G714</f>
        <v>0</v>
      </c>
      <c r="G856" s="20">
        <f>'Landscape Trees '!H714</f>
        <v>0</v>
      </c>
      <c r="H856" s="20">
        <f>'Landscape Trees '!I714</f>
        <v>0</v>
      </c>
    </row>
    <row r="857" spans="1:8" ht="12.75">
      <c r="A857" s="20">
        <f>'Landscape Trees '!A715</f>
        <v>0</v>
      </c>
      <c r="B857" s="20">
        <f>'Landscape Trees '!C715</f>
        <v>0</v>
      </c>
      <c r="C857" s="20">
        <f>'Landscape Trees '!D715</f>
        <v>0</v>
      </c>
      <c r="D857" s="20">
        <f>'Landscape Trees '!E715</f>
        <v>0</v>
      </c>
      <c r="E857" s="20">
        <f>'Landscape Trees '!F715</f>
        <v>0</v>
      </c>
      <c r="F857" s="20">
        <f>'Landscape Trees '!G715</f>
        <v>0</v>
      </c>
      <c r="G857" s="20">
        <f>'Landscape Trees '!H715</f>
        <v>0</v>
      </c>
      <c r="H857" s="20">
        <f>'Landscape Trees '!I715</f>
        <v>0</v>
      </c>
    </row>
    <row r="858" spans="1:8" ht="12.75">
      <c r="A858" s="20">
        <f>'Landscape Trees '!A716</f>
        <v>0</v>
      </c>
      <c r="B858" s="20">
        <f>'Landscape Trees '!C716</f>
        <v>0</v>
      </c>
      <c r="C858" s="20">
        <f>'Landscape Trees '!D716</f>
        <v>0</v>
      </c>
      <c r="D858" s="20">
        <f>'Landscape Trees '!E716</f>
        <v>0</v>
      </c>
      <c r="E858" s="20">
        <f>'Landscape Trees '!F716</f>
        <v>0</v>
      </c>
      <c r="F858" s="20">
        <f>'Landscape Trees '!G716</f>
        <v>0</v>
      </c>
      <c r="G858" s="20">
        <f>'Landscape Trees '!H716</f>
        <v>0</v>
      </c>
      <c r="H858" s="20">
        <f>'Landscape Trees '!I716</f>
        <v>0</v>
      </c>
    </row>
    <row r="859" spans="1:8" ht="12.75">
      <c r="A859" s="20">
        <f>'Landscape Trees '!A717</f>
        <v>0</v>
      </c>
      <c r="B859" s="20">
        <f>'Landscape Trees '!C717</f>
        <v>0</v>
      </c>
      <c r="C859" s="20">
        <f>'Landscape Trees '!D717</f>
        <v>0</v>
      </c>
      <c r="D859" s="20">
        <f>'Landscape Trees '!E717</f>
        <v>0</v>
      </c>
      <c r="E859" s="20">
        <f>'Landscape Trees '!F717</f>
        <v>0</v>
      </c>
      <c r="F859" s="20">
        <f>'Landscape Trees '!G717</f>
        <v>0</v>
      </c>
      <c r="G859" s="20">
        <f>'Landscape Trees '!H717</f>
        <v>0</v>
      </c>
      <c r="H859" s="20">
        <f>'Landscape Trees '!I717</f>
        <v>0</v>
      </c>
    </row>
    <row r="860" spans="1:8" ht="12.75">
      <c r="A860" s="20">
        <f>'Landscape Trees '!A718</f>
        <v>0</v>
      </c>
      <c r="B860" s="20">
        <f>'Landscape Trees '!C718</f>
        <v>0</v>
      </c>
      <c r="C860" s="20">
        <f>'Landscape Trees '!D718</f>
        <v>0</v>
      </c>
      <c r="D860" s="20">
        <f>'Landscape Trees '!E718</f>
        <v>0</v>
      </c>
      <c r="E860" s="20">
        <f>'Landscape Trees '!F718</f>
        <v>0</v>
      </c>
      <c r="F860" s="20">
        <f>'Landscape Trees '!G718</f>
        <v>0</v>
      </c>
      <c r="G860" s="20">
        <f>'Landscape Trees '!H718</f>
        <v>0</v>
      </c>
      <c r="H860" s="20">
        <f>'Landscape Trees '!I718</f>
        <v>0</v>
      </c>
    </row>
    <row r="861" spans="1:8" ht="12.75">
      <c r="A861" s="20">
        <f>'Landscape Trees '!A719</f>
        <v>0</v>
      </c>
      <c r="B861" s="20">
        <f>'Landscape Trees '!C719</f>
        <v>0</v>
      </c>
      <c r="C861" s="20">
        <f>'Landscape Trees '!D719</f>
        <v>0</v>
      </c>
      <c r="D861" s="20">
        <f>'Landscape Trees '!E719</f>
        <v>0</v>
      </c>
      <c r="E861" s="20">
        <f>'Landscape Trees '!F719</f>
        <v>0</v>
      </c>
      <c r="F861" s="20">
        <f>'Landscape Trees '!G719</f>
        <v>0</v>
      </c>
      <c r="G861" s="20">
        <f>'Landscape Trees '!H719</f>
        <v>0</v>
      </c>
      <c r="H861" s="20">
        <f>'Landscape Trees '!I719</f>
        <v>0</v>
      </c>
    </row>
    <row r="862" spans="1:8" ht="12.75">
      <c r="A862" s="20">
        <f>'Landscape Trees '!A720</f>
        <v>0</v>
      </c>
      <c r="B862" s="20">
        <f>'Landscape Trees '!C720</f>
        <v>0</v>
      </c>
      <c r="C862" s="20">
        <f>'Landscape Trees '!D720</f>
        <v>0</v>
      </c>
      <c r="D862" s="20">
        <f>'Landscape Trees '!E720</f>
        <v>0</v>
      </c>
      <c r="E862" s="20">
        <f>'Landscape Trees '!F720</f>
        <v>0</v>
      </c>
      <c r="F862" s="20">
        <f>'Landscape Trees '!G720</f>
        <v>0</v>
      </c>
      <c r="G862" s="20">
        <f>'Landscape Trees '!H720</f>
        <v>0</v>
      </c>
      <c r="H862" s="20">
        <f>'Landscape Trees '!I720</f>
        <v>0</v>
      </c>
    </row>
    <row r="863" spans="1:8" ht="12.75">
      <c r="A863" s="20">
        <f>'Landscape Trees '!A721</f>
        <v>0</v>
      </c>
      <c r="B863" s="20">
        <f>'Landscape Trees '!C721</f>
        <v>0</v>
      </c>
      <c r="C863" s="20">
        <f>'Landscape Trees '!D721</f>
        <v>0</v>
      </c>
      <c r="D863" s="20">
        <f>'Landscape Trees '!E721</f>
        <v>0</v>
      </c>
      <c r="E863" s="20">
        <f>'Landscape Trees '!F721</f>
        <v>0</v>
      </c>
      <c r="F863" s="20">
        <f>'Landscape Trees '!G721</f>
        <v>0</v>
      </c>
      <c r="G863" s="20">
        <f>'Landscape Trees '!H721</f>
        <v>0</v>
      </c>
      <c r="H863" s="20">
        <f>'Landscape Trees '!I721</f>
        <v>0</v>
      </c>
    </row>
    <row r="864" spans="1:8" ht="12.75">
      <c r="A864" s="20">
        <f>'Landscape Trees '!A722</f>
        <v>0</v>
      </c>
      <c r="B864" s="20">
        <f>'Landscape Trees '!C722</f>
        <v>0</v>
      </c>
      <c r="C864" s="20">
        <f>'Landscape Trees '!D722</f>
        <v>0</v>
      </c>
      <c r="D864" s="20">
        <f>'Landscape Trees '!E722</f>
        <v>0</v>
      </c>
      <c r="E864" s="20">
        <f>'Landscape Trees '!F722</f>
        <v>0</v>
      </c>
      <c r="F864" s="20">
        <f>'Landscape Trees '!G722</f>
        <v>0</v>
      </c>
      <c r="G864" s="20">
        <f>'Landscape Trees '!H722</f>
        <v>0</v>
      </c>
      <c r="H864" s="20">
        <f>'Landscape Trees '!I722</f>
        <v>0</v>
      </c>
    </row>
    <row r="865" spans="1:8" ht="12.75">
      <c r="A865" s="20">
        <f>'Landscape Trees '!A723</f>
        <v>0</v>
      </c>
      <c r="B865" s="20">
        <f>'Landscape Trees '!C723</f>
        <v>0</v>
      </c>
      <c r="C865" s="20">
        <f>'Landscape Trees '!D723</f>
        <v>0</v>
      </c>
      <c r="D865" s="20">
        <f>'Landscape Trees '!E723</f>
        <v>0</v>
      </c>
      <c r="E865" s="20">
        <f>'Landscape Trees '!F723</f>
        <v>0</v>
      </c>
      <c r="F865" s="20">
        <f>'Landscape Trees '!G723</f>
        <v>0</v>
      </c>
      <c r="G865" s="20">
        <f>'Landscape Trees '!H723</f>
        <v>0</v>
      </c>
      <c r="H865" s="20">
        <f>'Landscape Trees '!I723</f>
        <v>0</v>
      </c>
    </row>
    <row r="866" spans="1:8" ht="12.75">
      <c r="A866" s="20">
        <f>'Landscape Trees '!A724</f>
        <v>0</v>
      </c>
      <c r="B866" s="20">
        <f>'Landscape Trees '!C724</f>
        <v>0</v>
      </c>
      <c r="C866" s="20">
        <f>'Landscape Trees '!D724</f>
        <v>0</v>
      </c>
      <c r="D866" s="20">
        <f>'Landscape Trees '!E724</f>
        <v>0</v>
      </c>
      <c r="E866" s="20">
        <f>'Landscape Trees '!F724</f>
        <v>0</v>
      </c>
      <c r="F866" s="20">
        <f>'Landscape Trees '!G724</f>
        <v>0</v>
      </c>
      <c r="G866" s="20">
        <f>'Landscape Trees '!H724</f>
        <v>0</v>
      </c>
      <c r="H866" s="20">
        <f>'Landscape Trees '!I724</f>
        <v>0</v>
      </c>
    </row>
    <row r="867" spans="1:8" ht="12.75">
      <c r="A867" s="20">
        <f>'Landscape Trees '!A725</f>
        <v>0</v>
      </c>
      <c r="B867" s="20">
        <f>'Landscape Trees '!C725</f>
        <v>0</v>
      </c>
      <c r="C867" s="20">
        <f>'Landscape Trees '!D725</f>
        <v>0</v>
      </c>
      <c r="D867" s="20">
        <f>'Landscape Trees '!E725</f>
        <v>0</v>
      </c>
      <c r="E867" s="20">
        <f>'Landscape Trees '!F725</f>
        <v>0</v>
      </c>
      <c r="F867" s="20">
        <f>'Landscape Trees '!G725</f>
        <v>0</v>
      </c>
      <c r="G867" s="20">
        <f>'Landscape Trees '!H725</f>
        <v>0</v>
      </c>
      <c r="H867" s="20">
        <f>'Landscape Trees '!I725</f>
        <v>0</v>
      </c>
    </row>
    <row r="868" spans="1:8" ht="12.75">
      <c r="A868" s="20">
        <f>'Landscape Trees '!A726</f>
        <v>0</v>
      </c>
      <c r="B868" s="20">
        <f>'Landscape Trees '!C726</f>
        <v>0</v>
      </c>
      <c r="C868" s="20">
        <f>'Landscape Trees '!D726</f>
        <v>0</v>
      </c>
      <c r="D868" s="20">
        <f>'Landscape Trees '!E726</f>
        <v>0</v>
      </c>
      <c r="E868" s="20">
        <f>'Landscape Trees '!F726</f>
        <v>0</v>
      </c>
      <c r="F868" s="20">
        <f>'Landscape Trees '!G726</f>
        <v>0</v>
      </c>
      <c r="G868" s="20">
        <f>'Landscape Trees '!H726</f>
        <v>0</v>
      </c>
      <c r="H868" s="20">
        <f>'Landscape Trees '!I726</f>
        <v>0</v>
      </c>
    </row>
    <row r="869" spans="1:8" ht="12.75">
      <c r="A869" s="20">
        <f>'Landscape Trees '!A727</f>
        <v>0</v>
      </c>
      <c r="B869" s="20">
        <f>'Landscape Trees '!C727</f>
        <v>0</v>
      </c>
      <c r="C869" s="20">
        <f>'Landscape Trees '!D727</f>
        <v>0</v>
      </c>
      <c r="D869" s="20">
        <f>'Landscape Trees '!E727</f>
        <v>0</v>
      </c>
      <c r="E869" s="20">
        <f>'Landscape Trees '!F727</f>
        <v>0</v>
      </c>
      <c r="F869" s="20">
        <f>'Landscape Trees '!G727</f>
        <v>0</v>
      </c>
      <c r="G869" s="20">
        <f>'Landscape Trees '!H727</f>
        <v>0</v>
      </c>
      <c r="H869" s="20">
        <f>'Landscape Trees '!I727</f>
        <v>0</v>
      </c>
    </row>
    <row r="870" spans="1:8" ht="12.75">
      <c r="A870" s="20">
        <f>'Landscape Trees '!A728</f>
        <v>0</v>
      </c>
      <c r="B870" s="20">
        <f>'Landscape Trees '!C728</f>
        <v>0</v>
      </c>
      <c r="C870" s="20">
        <f>'Landscape Trees '!D728</f>
        <v>0</v>
      </c>
      <c r="D870" s="20">
        <f>'Landscape Trees '!E728</f>
        <v>0</v>
      </c>
      <c r="E870" s="20">
        <f>'Landscape Trees '!F728</f>
        <v>0</v>
      </c>
      <c r="F870" s="20">
        <f>'Landscape Trees '!G728</f>
        <v>0</v>
      </c>
      <c r="G870" s="20">
        <f>'Landscape Trees '!H728</f>
        <v>0</v>
      </c>
      <c r="H870" s="20">
        <f>'Landscape Trees '!I728</f>
        <v>0</v>
      </c>
    </row>
    <row r="871" spans="1:8" ht="12.75">
      <c r="A871" s="20">
        <f>'Landscape Trees '!A729</f>
        <v>0</v>
      </c>
      <c r="B871" s="20">
        <f>'Landscape Trees '!C729</f>
        <v>0</v>
      </c>
      <c r="C871" s="20">
        <f>'Landscape Trees '!D729</f>
        <v>0</v>
      </c>
      <c r="D871" s="20">
        <f>'Landscape Trees '!E729</f>
        <v>0</v>
      </c>
      <c r="E871" s="20">
        <f>'Landscape Trees '!F729</f>
        <v>0</v>
      </c>
      <c r="F871" s="20">
        <f>'Landscape Trees '!G729</f>
        <v>0</v>
      </c>
      <c r="G871" s="20">
        <f>'Landscape Trees '!H729</f>
        <v>0</v>
      </c>
      <c r="H871" s="20">
        <f>'Landscape Trees '!I729</f>
        <v>0</v>
      </c>
    </row>
    <row r="872" spans="1:8" ht="12.75">
      <c r="A872" s="20">
        <f>'Landscape Trees '!A730</f>
        <v>0</v>
      </c>
      <c r="B872" s="20">
        <f>'Landscape Trees '!C730</f>
        <v>0</v>
      </c>
      <c r="C872" s="20">
        <f>'Landscape Trees '!D730</f>
        <v>0</v>
      </c>
      <c r="D872" s="20">
        <f>'Landscape Trees '!E730</f>
        <v>0</v>
      </c>
      <c r="E872" s="20">
        <f>'Landscape Trees '!F730</f>
        <v>0</v>
      </c>
      <c r="F872" s="20">
        <f>'Landscape Trees '!G730</f>
        <v>0</v>
      </c>
      <c r="G872" s="20">
        <f>'Landscape Trees '!H730</f>
        <v>0</v>
      </c>
      <c r="H872" s="20">
        <f>'Landscape Trees '!I730</f>
        <v>0</v>
      </c>
    </row>
    <row r="873" spans="1:8" ht="12.75">
      <c r="A873" s="20">
        <f>'Landscape Trees '!A731</f>
        <v>0</v>
      </c>
      <c r="B873" s="20">
        <f>'Landscape Trees '!C731</f>
        <v>0</v>
      </c>
      <c r="C873" s="20">
        <f>'Landscape Trees '!D731</f>
        <v>0</v>
      </c>
      <c r="D873" s="20">
        <f>'Landscape Trees '!E731</f>
        <v>0</v>
      </c>
      <c r="E873" s="20">
        <f>'Landscape Trees '!F731</f>
        <v>0</v>
      </c>
      <c r="F873" s="20">
        <f>'Landscape Trees '!G731</f>
        <v>0</v>
      </c>
      <c r="G873" s="20">
        <f>'Landscape Trees '!H731</f>
        <v>0</v>
      </c>
      <c r="H873" s="20">
        <f>'Landscape Trees '!I731</f>
        <v>0</v>
      </c>
    </row>
    <row r="874" spans="1:8" ht="12.75">
      <c r="A874" s="20">
        <f>'Landscape Trees '!A732</f>
        <v>0</v>
      </c>
      <c r="B874" s="20">
        <f>'Landscape Trees '!C732</f>
        <v>0</v>
      </c>
      <c r="C874" s="20">
        <f>'Landscape Trees '!D732</f>
        <v>0</v>
      </c>
      <c r="D874" s="20">
        <f>'Landscape Trees '!E732</f>
        <v>0</v>
      </c>
      <c r="E874" s="20">
        <f>'Landscape Trees '!F732</f>
        <v>0</v>
      </c>
      <c r="F874" s="20">
        <f>'Landscape Trees '!G732</f>
        <v>0</v>
      </c>
      <c r="G874" s="20">
        <f>'Landscape Trees '!H732</f>
        <v>0</v>
      </c>
      <c r="H874" s="20">
        <f>'Landscape Trees '!I732</f>
        <v>0</v>
      </c>
    </row>
    <row r="875" spans="1:8" ht="12.75">
      <c r="A875" s="20">
        <f>'Landscape Trees '!A733</f>
        <v>0</v>
      </c>
      <c r="B875" s="20">
        <f>'Landscape Trees '!C733</f>
        <v>0</v>
      </c>
      <c r="C875" s="20">
        <f>'Landscape Trees '!D733</f>
        <v>0</v>
      </c>
      <c r="D875" s="20">
        <f>'Landscape Trees '!E733</f>
        <v>0</v>
      </c>
      <c r="E875" s="20">
        <f>'Landscape Trees '!F733</f>
        <v>0</v>
      </c>
      <c r="F875" s="20">
        <f>'Landscape Trees '!G733</f>
        <v>0</v>
      </c>
      <c r="G875" s="20">
        <f>'Landscape Trees '!H733</f>
        <v>0</v>
      </c>
      <c r="H875" s="20">
        <f>'Landscape Trees '!I733</f>
        <v>0</v>
      </c>
    </row>
    <row r="876" spans="1:8" ht="12.75">
      <c r="A876" s="20">
        <f>'Landscape Trees '!A734</f>
        <v>0</v>
      </c>
      <c r="B876" s="20">
        <f>'Landscape Trees '!C734</f>
        <v>0</v>
      </c>
      <c r="C876" s="20">
        <f>'Landscape Trees '!D734</f>
        <v>0</v>
      </c>
      <c r="D876" s="20">
        <f>'Landscape Trees '!E734</f>
        <v>0</v>
      </c>
      <c r="E876" s="20">
        <f>'Landscape Trees '!F734</f>
        <v>0</v>
      </c>
      <c r="F876" s="20">
        <f>'Landscape Trees '!G734</f>
        <v>0</v>
      </c>
      <c r="G876" s="20">
        <f>'Landscape Trees '!H734</f>
        <v>0</v>
      </c>
      <c r="H876" s="20">
        <f>'Landscape Trees '!I734</f>
        <v>0</v>
      </c>
    </row>
    <row r="877" spans="1:8" ht="12.75">
      <c r="A877" s="20">
        <f>'Landscape Trees '!A735</f>
        <v>0</v>
      </c>
      <c r="B877" s="20">
        <f>'Landscape Trees '!C735</f>
        <v>0</v>
      </c>
      <c r="C877" s="20">
        <f>'Landscape Trees '!D735</f>
        <v>0</v>
      </c>
      <c r="D877" s="20">
        <f>'Landscape Trees '!E735</f>
        <v>0</v>
      </c>
      <c r="E877" s="20">
        <f>'Landscape Trees '!F735</f>
        <v>0</v>
      </c>
      <c r="F877" s="20">
        <f>'Landscape Trees '!G735</f>
        <v>0</v>
      </c>
      <c r="G877" s="20">
        <f>'Landscape Trees '!H735</f>
        <v>0</v>
      </c>
      <c r="H877" s="20">
        <f>'Landscape Trees '!I735</f>
        <v>0</v>
      </c>
    </row>
    <row r="878" spans="1:8" ht="12.75">
      <c r="A878" s="20">
        <f>'Landscape Trees '!A736</f>
        <v>0</v>
      </c>
      <c r="B878" s="20">
        <f>'Landscape Trees '!C736</f>
        <v>0</v>
      </c>
      <c r="C878" s="20">
        <f>'Landscape Trees '!D736</f>
        <v>0</v>
      </c>
      <c r="D878" s="20">
        <f>'Landscape Trees '!E736</f>
        <v>0</v>
      </c>
      <c r="E878" s="20">
        <f>'Landscape Trees '!F736</f>
        <v>0</v>
      </c>
      <c r="F878" s="20">
        <f>'Landscape Trees '!G736</f>
        <v>0</v>
      </c>
      <c r="G878" s="20">
        <f>'Landscape Trees '!H736</f>
        <v>0</v>
      </c>
      <c r="H878" s="20">
        <f>'Landscape Trees '!I736</f>
        <v>0</v>
      </c>
    </row>
    <row r="879" spans="1:8" ht="12.75">
      <c r="A879" s="20">
        <f>'Landscape Trees '!A737</f>
        <v>0</v>
      </c>
      <c r="B879" s="20">
        <f>'Landscape Trees '!C737</f>
        <v>0</v>
      </c>
      <c r="C879" s="20">
        <f>'Landscape Trees '!D737</f>
        <v>0</v>
      </c>
      <c r="D879" s="20">
        <f>'Landscape Trees '!E737</f>
        <v>0</v>
      </c>
      <c r="E879" s="20">
        <f>'Landscape Trees '!F737</f>
        <v>0</v>
      </c>
      <c r="F879" s="20">
        <f>'Landscape Trees '!G737</f>
        <v>0</v>
      </c>
      <c r="G879" s="20">
        <f>'Landscape Trees '!H737</f>
        <v>0</v>
      </c>
      <c r="H879" s="20">
        <f>'Landscape Trees '!I737</f>
        <v>0</v>
      </c>
    </row>
    <row r="880" spans="1:8" ht="12.75">
      <c r="A880" s="20">
        <f>'Landscape Trees '!A738</f>
        <v>0</v>
      </c>
      <c r="B880" s="20">
        <f>'Landscape Trees '!C738</f>
        <v>0</v>
      </c>
      <c r="C880" s="20">
        <f>'Landscape Trees '!D738</f>
        <v>0</v>
      </c>
      <c r="D880" s="20">
        <f>'Landscape Trees '!E738</f>
        <v>0</v>
      </c>
      <c r="E880" s="20">
        <f>'Landscape Trees '!F738</f>
        <v>0</v>
      </c>
      <c r="F880" s="20">
        <f>'Landscape Trees '!G738</f>
        <v>0</v>
      </c>
      <c r="G880" s="20">
        <f>'Landscape Trees '!H738</f>
        <v>0</v>
      </c>
      <c r="H880" s="20">
        <f>'Landscape Trees '!I738</f>
        <v>0</v>
      </c>
    </row>
    <row r="881" spans="1:8" ht="12.75">
      <c r="A881" s="20">
        <f>'Landscape Trees '!A739</f>
        <v>0</v>
      </c>
      <c r="B881" s="20">
        <f>'Landscape Trees '!C739</f>
        <v>0</v>
      </c>
      <c r="C881" s="20">
        <f>'Landscape Trees '!D739</f>
        <v>0</v>
      </c>
      <c r="D881" s="20">
        <f>'Landscape Trees '!E739</f>
        <v>0</v>
      </c>
      <c r="E881" s="20">
        <f>'Landscape Trees '!F739</f>
        <v>0</v>
      </c>
      <c r="F881" s="20">
        <f>'Landscape Trees '!G739</f>
        <v>0</v>
      </c>
      <c r="G881" s="20">
        <f>'Landscape Trees '!H739</f>
        <v>0</v>
      </c>
      <c r="H881" s="20">
        <f>'Landscape Trees '!I739</f>
        <v>0</v>
      </c>
    </row>
    <row r="882" spans="1:8" ht="12.75">
      <c r="A882" s="20">
        <f>'Landscape Trees '!A740</f>
        <v>0</v>
      </c>
      <c r="B882" s="20">
        <f>'Landscape Trees '!C740</f>
        <v>0</v>
      </c>
      <c r="C882" s="20">
        <f>'Landscape Trees '!D740</f>
        <v>0</v>
      </c>
      <c r="D882" s="20">
        <f>'Landscape Trees '!E740</f>
        <v>0</v>
      </c>
      <c r="E882" s="20">
        <f>'Landscape Trees '!F740</f>
        <v>0</v>
      </c>
      <c r="F882" s="20">
        <f>'Landscape Trees '!G740</f>
        <v>0</v>
      </c>
      <c r="G882" s="20">
        <f>'Landscape Trees '!H740</f>
        <v>0</v>
      </c>
      <c r="H882" s="20">
        <f>'Landscape Trees '!I740</f>
        <v>0</v>
      </c>
    </row>
    <row r="883" spans="1:8" ht="12.75">
      <c r="A883" s="20">
        <f>'Landscape Trees '!A741</f>
        <v>0</v>
      </c>
      <c r="B883" s="20">
        <f>'Landscape Trees '!C741</f>
        <v>0</v>
      </c>
      <c r="C883" s="20">
        <f>'Landscape Trees '!D741</f>
        <v>0</v>
      </c>
      <c r="D883" s="20">
        <f>'Landscape Trees '!E741</f>
        <v>0</v>
      </c>
      <c r="E883" s="20">
        <f>'Landscape Trees '!F741</f>
        <v>0</v>
      </c>
      <c r="F883" s="20">
        <f>'Landscape Trees '!G741</f>
        <v>0</v>
      </c>
      <c r="G883" s="20">
        <f>'Landscape Trees '!H741</f>
        <v>0</v>
      </c>
      <c r="H883" s="20">
        <f>'Landscape Trees '!I741</f>
        <v>0</v>
      </c>
    </row>
    <row r="884" spans="1:8" ht="12.75">
      <c r="A884" s="20">
        <f>'Landscape Trees '!A742</f>
        <v>0</v>
      </c>
      <c r="B884" s="20">
        <f>'Landscape Trees '!C742</f>
        <v>0</v>
      </c>
      <c r="C884" s="20">
        <f>'Landscape Trees '!D742</f>
        <v>0</v>
      </c>
      <c r="D884" s="20">
        <f>'Landscape Trees '!E742</f>
        <v>0</v>
      </c>
      <c r="E884" s="20">
        <f>'Landscape Trees '!F742</f>
        <v>0</v>
      </c>
      <c r="F884" s="20">
        <f>'Landscape Trees '!G742</f>
        <v>0</v>
      </c>
      <c r="G884" s="20">
        <f>'Landscape Trees '!H742</f>
        <v>0</v>
      </c>
      <c r="H884" s="20">
        <f>'Landscape Trees '!I742</f>
        <v>0</v>
      </c>
    </row>
    <row r="885" spans="1:8" ht="12.75">
      <c r="A885" s="20">
        <f>'Landscape Trees '!A743</f>
        <v>0</v>
      </c>
      <c r="B885" s="20">
        <f>'Landscape Trees '!C743</f>
        <v>0</v>
      </c>
      <c r="C885" s="20">
        <f>'Landscape Trees '!D743</f>
        <v>0</v>
      </c>
      <c r="D885" s="20">
        <f>'Landscape Trees '!E743</f>
        <v>0</v>
      </c>
      <c r="E885" s="20">
        <f>'Landscape Trees '!F743</f>
        <v>0</v>
      </c>
      <c r="F885" s="20">
        <f>'Landscape Trees '!G743</f>
        <v>0</v>
      </c>
      <c r="G885" s="20">
        <f>'Landscape Trees '!H743</f>
        <v>0</v>
      </c>
      <c r="H885" s="20">
        <f>'Landscape Trees '!I743</f>
        <v>0</v>
      </c>
    </row>
    <row r="886" spans="1:8" ht="12.75">
      <c r="A886" s="20">
        <f>'Landscape Trees '!A744</f>
        <v>0</v>
      </c>
      <c r="B886" s="20">
        <f>'Landscape Trees '!C744</f>
        <v>0</v>
      </c>
      <c r="C886" s="20">
        <f>'Landscape Trees '!D744</f>
        <v>0</v>
      </c>
      <c r="D886" s="20">
        <f>'Landscape Trees '!E744</f>
        <v>0</v>
      </c>
      <c r="E886" s="20">
        <f>'Landscape Trees '!F744</f>
        <v>0</v>
      </c>
      <c r="F886" s="20">
        <f>'Landscape Trees '!G744</f>
        <v>0</v>
      </c>
      <c r="G886" s="20">
        <f>'Landscape Trees '!H744</f>
        <v>0</v>
      </c>
      <c r="H886" s="20">
        <f>'Landscape Trees '!I744</f>
        <v>0</v>
      </c>
    </row>
    <row r="887" spans="1:8" ht="12.75">
      <c r="A887" s="20">
        <f>'Landscape Trees '!A745</f>
        <v>0</v>
      </c>
      <c r="B887" s="20">
        <f>'Landscape Trees '!C745</f>
        <v>0</v>
      </c>
      <c r="C887" s="20">
        <f>'Landscape Trees '!D745</f>
        <v>0</v>
      </c>
      <c r="D887" s="20">
        <f>'Landscape Trees '!E745</f>
        <v>0</v>
      </c>
      <c r="E887" s="20">
        <f>'Landscape Trees '!F745</f>
        <v>0</v>
      </c>
      <c r="F887" s="20">
        <f>'Landscape Trees '!G745</f>
        <v>0</v>
      </c>
      <c r="G887" s="20">
        <f>'Landscape Trees '!H745</f>
        <v>0</v>
      </c>
      <c r="H887" s="20">
        <f>'Landscape Trees '!I745</f>
        <v>0</v>
      </c>
    </row>
    <row r="888" spans="1:8" ht="12.75">
      <c r="A888" s="20">
        <f>'Landscape Trees '!A746</f>
        <v>0</v>
      </c>
      <c r="B888" s="20">
        <f>'Landscape Trees '!C746</f>
        <v>0</v>
      </c>
      <c r="C888" s="20">
        <f>'Landscape Trees '!D746</f>
        <v>0</v>
      </c>
      <c r="D888" s="20">
        <f>'Landscape Trees '!E746</f>
        <v>0</v>
      </c>
      <c r="E888" s="20">
        <f>'Landscape Trees '!F746</f>
        <v>0</v>
      </c>
      <c r="F888" s="20">
        <f>'Landscape Trees '!G746</f>
        <v>0</v>
      </c>
      <c r="G888" s="20">
        <f>'Landscape Trees '!H746</f>
        <v>0</v>
      </c>
      <c r="H888" s="20">
        <f>'Landscape Trees '!I746</f>
        <v>0</v>
      </c>
    </row>
    <row r="889" spans="1:8" ht="12.75">
      <c r="A889" s="20">
        <f>'Landscape Trees '!A747</f>
        <v>0</v>
      </c>
      <c r="B889" s="20">
        <f>'Landscape Trees '!C747</f>
        <v>0</v>
      </c>
      <c r="C889" s="20">
        <f>'Landscape Trees '!D747</f>
        <v>0</v>
      </c>
      <c r="D889" s="20">
        <f>'Landscape Trees '!E747</f>
        <v>0</v>
      </c>
      <c r="E889" s="20">
        <f>'Landscape Trees '!F747</f>
        <v>0</v>
      </c>
      <c r="F889" s="20">
        <f>'Landscape Trees '!G747</f>
        <v>0</v>
      </c>
      <c r="G889" s="20">
        <f>'Landscape Trees '!H747</f>
        <v>0</v>
      </c>
      <c r="H889" s="20">
        <f>'Landscape Trees '!I747</f>
        <v>0</v>
      </c>
    </row>
    <row r="890" spans="1:8" ht="12.75">
      <c r="A890" s="20">
        <f>'Landscape Trees '!A748</f>
        <v>0</v>
      </c>
      <c r="B890" s="20">
        <f>'Landscape Trees '!C748</f>
        <v>0</v>
      </c>
      <c r="C890" s="20">
        <f>'Landscape Trees '!D748</f>
        <v>0</v>
      </c>
      <c r="D890" s="20">
        <f>'Landscape Trees '!E748</f>
        <v>0</v>
      </c>
      <c r="E890" s="20">
        <f>'Landscape Trees '!F748</f>
        <v>0</v>
      </c>
      <c r="F890" s="20">
        <f>'Landscape Trees '!G748</f>
        <v>0</v>
      </c>
      <c r="G890" s="20">
        <f>'Landscape Trees '!H748</f>
        <v>0</v>
      </c>
      <c r="H890" s="20">
        <f>'Landscape Trees '!I748</f>
        <v>0</v>
      </c>
    </row>
    <row r="891" spans="1:8" ht="12.75">
      <c r="A891" s="20">
        <f>'Landscape Trees '!A749</f>
        <v>0</v>
      </c>
      <c r="B891" s="20">
        <f>'Landscape Trees '!C749</f>
        <v>0</v>
      </c>
      <c r="C891" s="20">
        <f>'Landscape Trees '!D749</f>
        <v>0</v>
      </c>
      <c r="D891" s="20">
        <f>'Landscape Trees '!E749</f>
        <v>0</v>
      </c>
      <c r="E891" s="20">
        <f>'Landscape Trees '!F749</f>
        <v>0</v>
      </c>
      <c r="F891" s="20">
        <f>'Landscape Trees '!G749</f>
        <v>0</v>
      </c>
      <c r="G891" s="20">
        <f>'Landscape Trees '!H749</f>
        <v>0</v>
      </c>
      <c r="H891" s="20">
        <f>'Landscape Trees '!I749</f>
        <v>0</v>
      </c>
    </row>
    <row r="892" spans="1:8" ht="12.75">
      <c r="A892" s="20">
        <f>'Landscape Trees '!A750</f>
        <v>0</v>
      </c>
      <c r="B892" s="20">
        <f>'Landscape Trees '!C750</f>
        <v>0</v>
      </c>
      <c r="C892" s="20">
        <f>'Landscape Trees '!D750</f>
        <v>0</v>
      </c>
      <c r="D892" s="20">
        <f>'Landscape Trees '!E750</f>
        <v>0</v>
      </c>
      <c r="E892" s="20">
        <f>'Landscape Trees '!F750</f>
        <v>0</v>
      </c>
      <c r="F892" s="20">
        <f>'Landscape Trees '!G750</f>
        <v>0</v>
      </c>
      <c r="G892" s="20">
        <f>'Landscape Trees '!H750</f>
        <v>0</v>
      </c>
      <c r="H892" s="20">
        <f>'Landscape Trees '!I750</f>
        <v>0</v>
      </c>
    </row>
    <row r="893" spans="1:8" ht="12.75">
      <c r="A893" s="20">
        <f>'Landscape Trees '!A751</f>
        <v>0</v>
      </c>
      <c r="B893" s="20">
        <f>'Landscape Trees '!C751</f>
        <v>0</v>
      </c>
      <c r="C893" s="20">
        <f>'Landscape Trees '!D751</f>
        <v>0</v>
      </c>
      <c r="D893" s="20">
        <f>'Landscape Trees '!E751</f>
        <v>0</v>
      </c>
      <c r="E893" s="20">
        <f>'Landscape Trees '!F751</f>
        <v>0</v>
      </c>
      <c r="F893" s="20">
        <f>'Landscape Trees '!G751</f>
        <v>0</v>
      </c>
      <c r="G893" s="20">
        <f>'Landscape Trees '!H751</f>
        <v>0</v>
      </c>
      <c r="H893" s="20">
        <f>'Landscape Trees '!I751</f>
        <v>0</v>
      </c>
    </row>
    <row r="894" spans="1:8" ht="12.75">
      <c r="A894" s="20">
        <f>'Landscape Trees '!A752</f>
        <v>0</v>
      </c>
      <c r="B894" s="20">
        <f>'Landscape Trees '!C752</f>
        <v>0</v>
      </c>
      <c r="C894" s="20">
        <f>'Landscape Trees '!D752</f>
        <v>0</v>
      </c>
      <c r="D894" s="20">
        <f>'Landscape Trees '!E752</f>
        <v>0</v>
      </c>
      <c r="E894" s="20">
        <f>'Landscape Trees '!F752</f>
        <v>0</v>
      </c>
      <c r="F894" s="20">
        <f>'Landscape Trees '!G752</f>
        <v>0</v>
      </c>
      <c r="G894" s="20">
        <f>'Landscape Trees '!H752</f>
        <v>0</v>
      </c>
      <c r="H894" s="20">
        <f>'Landscape Trees '!I752</f>
        <v>0</v>
      </c>
    </row>
    <row r="895" spans="1:8" ht="12.75">
      <c r="A895" s="20">
        <f>'Landscape Trees '!A753</f>
        <v>0</v>
      </c>
      <c r="B895" s="20">
        <f>'Landscape Trees '!C753</f>
        <v>0</v>
      </c>
      <c r="C895" s="20">
        <f>'Landscape Trees '!D753</f>
        <v>0</v>
      </c>
      <c r="D895" s="20">
        <f>'Landscape Trees '!E753</f>
        <v>0</v>
      </c>
      <c r="E895" s="20">
        <f>'Landscape Trees '!F753</f>
        <v>0</v>
      </c>
      <c r="F895" s="20">
        <f>'Landscape Trees '!G753</f>
        <v>0</v>
      </c>
      <c r="G895" s="20">
        <f>'Landscape Trees '!H753</f>
        <v>0</v>
      </c>
      <c r="H895" s="20">
        <f>'Landscape Trees '!I753</f>
        <v>0</v>
      </c>
    </row>
    <row r="896" spans="1:8" ht="12.75">
      <c r="A896" s="20">
        <f>'Landscape Trees '!A754</f>
        <v>0</v>
      </c>
      <c r="B896" s="20">
        <f>'Landscape Trees '!C754</f>
        <v>0</v>
      </c>
      <c r="C896" s="20">
        <f>'Landscape Trees '!D754</f>
        <v>0</v>
      </c>
      <c r="D896" s="20">
        <f>'Landscape Trees '!E754</f>
        <v>0</v>
      </c>
      <c r="E896" s="20">
        <f>'Landscape Trees '!F754</f>
        <v>0</v>
      </c>
      <c r="F896" s="20">
        <f>'Landscape Trees '!G754</f>
        <v>0</v>
      </c>
      <c r="G896" s="20">
        <f>'Landscape Trees '!H754</f>
        <v>0</v>
      </c>
      <c r="H896" s="20">
        <f>'Landscape Trees '!I754</f>
        <v>0</v>
      </c>
    </row>
    <row r="897" spans="1:8" ht="12.75">
      <c r="A897" s="20">
        <f>'Landscape Trees '!A755</f>
        <v>0</v>
      </c>
      <c r="B897" s="20">
        <f>'Landscape Trees '!C755</f>
        <v>0</v>
      </c>
      <c r="C897" s="20">
        <f>'Landscape Trees '!D755</f>
        <v>0</v>
      </c>
      <c r="D897" s="20">
        <f>'Landscape Trees '!E755</f>
        <v>0</v>
      </c>
      <c r="E897" s="20">
        <f>'Landscape Trees '!F755</f>
        <v>0</v>
      </c>
      <c r="F897" s="20">
        <f>'Landscape Trees '!G755</f>
        <v>0</v>
      </c>
      <c r="G897" s="20">
        <f>'Landscape Trees '!H755</f>
        <v>0</v>
      </c>
      <c r="H897" s="20">
        <f>'Landscape Trees '!I755</f>
        <v>0</v>
      </c>
    </row>
    <row r="898" spans="1:8" ht="12.75">
      <c r="A898" s="20">
        <f>'Landscape Trees '!A756</f>
        <v>0</v>
      </c>
      <c r="B898" s="20">
        <f>'Landscape Trees '!C756</f>
        <v>0</v>
      </c>
      <c r="C898" s="20">
        <f>'Landscape Trees '!D756</f>
        <v>0</v>
      </c>
      <c r="D898" s="20">
        <f>'Landscape Trees '!E756</f>
        <v>0</v>
      </c>
      <c r="E898" s="20">
        <f>'Landscape Trees '!F756</f>
        <v>0</v>
      </c>
      <c r="F898" s="20">
        <f>'Landscape Trees '!G756</f>
        <v>0</v>
      </c>
      <c r="G898" s="20">
        <f>'Landscape Trees '!H756</f>
        <v>0</v>
      </c>
      <c r="H898" s="20">
        <f>'Landscape Trees '!I756</f>
        <v>0</v>
      </c>
    </row>
    <row r="899" spans="1:8" ht="12.75">
      <c r="A899" s="20">
        <f>'Landscape Trees '!A757</f>
        <v>0</v>
      </c>
      <c r="B899" s="20">
        <f>'Landscape Trees '!C757</f>
        <v>0</v>
      </c>
      <c r="C899" s="20">
        <f>'Landscape Trees '!D757</f>
        <v>0</v>
      </c>
      <c r="D899" s="20">
        <f>'Landscape Trees '!E757</f>
        <v>0</v>
      </c>
      <c r="E899" s="20">
        <f>'Landscape Trees '!F757</f>
        <v>0</v>
      </c>
      <c r="F899" s="20">
        <f>'Landscape Trees '!G757</f>
        <v>0</v>
      </c>
      <c r="G899" s="20">
        <f>'Landscape Trees '!H757</f>
        <v>0</v>
      </c>
      <c r="H899" s="20">
        <f>'Landscape Trees '!I757</f>
        <v>0</v>
      </c>
    </row>
    <row r="900" spans="1:8" ht="12.75">
      <c r="A900" s="20">
        <f>'Landscape Trees '!A758</f>
        <v>0</v>
      </c>
      <c r="B900" s="20">
        <f>'Landscape Trees '!C758</f>
        <v>0</v>
      </c>
      <c r="C900" s="20">
        <f>'Landscape Trees '!D758</f>
        <v>0</v>
      </c>
      <c r="D900" s="20">
        <f>'Landscape Trees '!E758</f>
        <v>0</v>
      </c>
      <c r="E900" s="20">
        <f>'Landscape Trees '!F758</f>
        <v>0</v>
      </c>
      <c r="F900" s="20">
        <f>'Landscape Trees '!G758</f>
        <v>0</v>
      </c>
      <c r="G900" s="20">
        <f>'Landscape Trees '!H758</f>
        <v>0</v>
      </c>
      <c r="H900" s="20">
        <f>'Landscape Trees '!I758</f>
        <v>0</v>
      </c>
    </row>
    <row r="901" spans="1:8" ht="12.75">
      <c r="A901" s="20">
        <f>'Landscape Trees '!A759</f>
        <v>0</v>
      </c>
      <c r="B901" s="20">
        <f>'Landscape Trees '!C759</f>
        <v>0</v>
      </c>
      <c r="C901" s="20">
        <f>'Landscape Trees '!D759</f>
        <v>0</v>
      </c>
      <c r="D901" s="20">
        <f>'Landscape Trees '!E759</f>
        <v>0</v>
      </c>
      <c r="E901" s="20">
        <f>'Landscape Trees '!F759</f>
        <v>0</v>
      </c>
      <c r="F901" s="20">
        <f>'Landscape Trees '!G759</f>
        <v>0</v>
      </c>
      <c r="G901" s="20">
        <f>'Landscape Trees '!H759</f>
        <v>0</v>
      </c>
      <c r="H901" s="20">
        <f>'Landscape Trees '!I759</f>
        <v>0</v>
      </c>
    </row>
    <row r="902" spans="1:8" ht="12.75">
      <c r="A902" s="20">
        <f>'Landscape Trees '!A760</f>
        <v>0</v>
      </c>
      <c r="B902" s="20">
        <f>'Landscape Trees '!C760</f>
        <v>0</v>
      </c>
      <c r="C902" s="20">
        <f>'Landscape Trees '!D760</f>
        <v>0</v>
      </c>
      <c r="D902" s="20">
        <f>'Landscape Trees '!E760</f>
        <v>0</v>
      </c>
      <c r="E902" s="20">
        <f>'Landscape Trees '!F760</f>
        <v>0</v>
      </c>
      <c r="F902" s="20">
        <f>'Landscape Trees '!G760</f>
        <v>0</v>
      </c>
      <c r="G902" s="20">
        <f>'Landscape Trees '!H760</f>
        <v>0</v>
      </c>
      <c r="H902" s="20">
        <f>'Landscape Trees '!I760</f>
        <v>0</v>
      </c>
    </row>
    <row r="903" spans="1:8" ht="12.75">
      <c r="A903" s="20">
        <f>'Landscape Trees '!A761</f>
        <v>0</v>
      </c>
      <c r="B903" s="20">
        <f>'Landscape Trees '!C761</f>
        <v>0</v>
      </c>
      <c r="C903" s="20">
        <f>'Landscape Trees '!D761</f>
        <v>0</v>
      </c>
      <c r="D903" s="20">
        <f>'Landscape Trees '!E761</f>
        <v>0</v>
      </c>
      <c r="E903" s="20">
        <f>'Landscape Trees '!F761</f>
        <v>0</v>
      </c>
      <c r="F903" s="20">
        <f>'Landscape Trees '!G761</f>
        <v>0</v>
      </c>
      <c r="G903" s="20">
        <f>'Landscape Trees '!H761</f>
        <v>0</v>
      </c>
      <c r="H903" s="20">
        <f>'Landscape Trees '!I761</f>
        <v>0</v>
      </c>
    </row>
    <row r="904" spans="1:8" ht="12.75">
      <c r="A904" s="20">
        <f>'Landscape Trees '!A762</f>
        <v>0</v>
      </c>
      <c r="B904" s="20">
        <f>'Landscape Trees '!C762</f>
        <v>0</v>
      </c>
      <c r="C904" s="20">
        <f>'Landscape Trees '!D762</f>
        <v>0</v>
      </c>
      <c r="D904" s="20">
        <f>'Landscape Trees '!E762</f>
        <v>0</v>
      </c>
      <c r="E904" s="20">
        <f>'Landscape Trees '!F762</f>
        <v>0</v>
      </c>
      <c r="F904" s="20">
        <f>'Landscape Trees '!G762</f>
        <v>0</v>
      </c>
      <c r="G904" s="20">
        <f>'Landscape Trees '!H762</f>
        <v>0</v>
      </c>
      <c r="H904" s="20">
        <f>'Landscape Trees '!I762</f>
        <v>0</v>
      </c>
    </row>
    <row r="905" spans="1:8" ht="12.75">
      <c r="A905" s="20">
        <f>'Landscape Trees '!A763</f>
        <v>0</v>
      </c>
      <c r="B905" s="20">
        <f>'Landscape Trees '!C763</f>
        <v>0</v>
      </c>
      <c r="C905" s="20">
        <f>'Landscape Trees '!D763</f>
        <v>0</v>
      </c>
      <c r="D905" s="20">
        <f>'Landscape Trees '!E763</f>
        <v>0</v>
      </c>
      <c r="E905" s="20">
        <f>'Landscape Trees '!F763</f>
        <v>0</v>
      </c>
      <c r="F905" s="20">
        <f>'Landscape Trees '!G763</f>
        <v>0</v>
      </c>
      <c r="G905" s="20">
        <f>'Landscape Trees '!H763</f>
        <v>0</v>
      </c>
      <c r="H905" s="20">
        <f>'Landscape Trees '!I763</f>
        <v>0</v>
      </c>
    </row>
    <row r="906" spans="1:8" ht="12.75">
      <c r="A906" s="20">
        <f>'Landscape Trees '!A764</f>
        <v>0</v>
      </c>
      <c r="B906" s="20">
        <f>'Landscape Trees '!C764</f>
        <v>0</v>
      </c>
      <c r="C906" s="20">
        <f>'Landscape Trees '!D764</f>
        <v>0</v>
      </c>
      <c r="D906" s="20">
        <f>'Landscape Trees '!E764</f>
        <v>0</v>
      </c>
      <c r="E906" s="20">
        <f>'Landscape Trees '!F764</f>
        <v>0</v>
      </c>
      <c r="F906" s="20">
        <f>'Landscape Trees '!G764</f>
        <v>0</v>
      </c>
      <c r="G906" s="20">
        <f>'Landscape Trees '!H764</f>
        <v>0</v>
      </c>
      <c r="H906" s="20">
        <f>'Landscape Trees '!I764</f>
        <v>0</v>
      </c>
    </row>
    <row r="907" spans="1:8" ht="12.75">
      <c r="A907" s="20">
        <f>'Landscape Trees '!A765</f>
        <v>0</v>
      </c>
      <c r="B907" s="20">
        <f>'Landscape Trees '!C765</f>
        <v>0</v>
      </c>
      <c r="C907" s="20">
        <f>'Landscape Trees '!D765</f>
        <v>0</v>
      </c>
      <c r="D907" s="20">
        <f>'Landscape Trees '!E765</f>
        <v>0</v>
      </c>
      <c r="E907" s="20">
        <f>'Landscape Trees '!F765</f>
        <v>0</v>
      </c>
      <c r="F907" s="20">
        <f>'Landscape Trees '!G765</f>
        <v>0</v>
      </c>
      <c r="G907" s="20">
        <f>'Landscape Trees '!H765</f>
        <v>0</v>
      </c>
      <c r="H907" s="20">
        <f>'Landscape Trees '!I765</f>
        <v>0</v>
      </c>
    </row>
    <row r="908" spans="1:8" ht="12.75">
      <c r="A908" s="20">
        <f>'Landscape Trees '!A766</f>
        <v>0</v>
      </c>
      <c r="B908" s="20">
        <f>'Landscape Trees '!C766</f>
        <v>0</v>
      </c>
      <c r="C908" s="20">
        <f>'Landscape Trees '!D766</f>
        <v>0</v>
      </c>
      <c r="D908" s="20">
        <f>'Landscape Trees '!E766</f>
        <v>0</v>
      </c>
      <c r="E908" s="20">
        <f>'Landscape Trees '!F766</f>
        <v>0</v>
      </c>
      <c r="F908" s="20">
        <f>'Landscape Trees '!G766</f>
        <v>0</v>
      </c>
      <c r="G908" s="20">
        <f>'Landscape Trees '!H766</f>
        <v>0</v>
      </c>
      <c r="H908" s="20">
        <f>'Landscape Trees '!I766</f>
        <v>0</v>
      </c>
    </row>
    <row r="909" spans="1:8" ht="12.75">
      <c r="A909" s="20">
        <f>'Landscape Trees '!A767</f>
        <v>0</v>
      </c>
      <c r="B909" s="20">
        <f>'Landscape Trees '!C767</f>
        <v>0</v>
      </c>
      <c r="C909" s="20">
        <f>'Landscape Trees '!D767</f>
        <v>0</v>
      </c>
      <c r="D909" s="20">
        <f>'Landscape Trees '!E767</f>
        <v>0</v>
      </c>
      <c r="E909" s="20">
        <f>'Landscape Trees '!F767</f>
        <v>0</v>
      </c>
      <c r="F909" s="20">
        <f>'Landscape Trees '!G767</f>
        <v>0</v>
      </c>
      <c r="G909" s="20">
        <f>'Landscape Trees '!H767</f>
        <v>0</v>
      </c>
      <c r="H909" s="20">
        <f>'Landscape Trees '!I767</f>
        <v>0</v>
      </c>
    </row>
    <row r="910" spans="1:8" ht="12.75">
      <c r="A910" s="20">
        <f>'Landscape Trees '!A768</f>
        <v>0</v>
      </c>
      <c r="B910" s="20">
        <f>'Landscape Trees '!C768</f>
        <v>0</v>
      </c>
      <c r="C910" s="20">
        <f>'Landscape Trees '!D768</f>
        <v>0</v>
      </c>
      <c r="D910" s="20">
        <f>'Landscape Trees '!E768</f>
        <v>0</v>
      </c>
      <c r="E910" s="20">
        <f>'Landscape Trees '!F768</f>
        <v>0</v>
      </c>
      <c r="F910" s="20">
        <f>'Landscape Trees '!G768</f>
        <v>0</v>
      </c>
      <c r="G910" s="20">
        <f>'Landscape Trees '!H768</f>
        <v>0</v>
      </c>
      <c r="H910" s="20">
        <f>'Landscape Trees '!I768</f>
        <v>0</v>
      </c>
    </row>
    <row r="911" spans="1:8" ht="12.75">
      <c r="A911" s="20">
        <f>'Landscape Trees '!A769</f>
        <v>0</v>
      </c>
      <c r="B911" s="20">
        <f>'Landscape Trees '!C769</f>
        <v>0</v>
      </c>
      <c r="C911" s="20">
        <f>'Landscape Trees '!D769</f>
        <v>0</v>
      </c>
      <c r="D911" s="20">
        <f>'Landscape Trees '!E769</f>
        <v>0</v>
      </c>
      <c r="E911" s="20">
        <f>'Landscape Trees '!F769</f>
        <v>0</v>
      </c>
      <c r="F911" s="20">
        <f>'Landscape Trees '!G769</f>
        <v>0</v>
      </c>
      <c r="G911" s="20">
        <f>'Landscape Trees '!H769</f>
        <v>0</v>
      </c>
      <c r="H911" s="20">
        <f>'Landscape Trees '!I769</f>
        <v>0</v>
      </c>
    </row>
    <row r="912" spans="1:8" ht="12.75">
      <c r="A912" s="20">
        <f>'Landscape Trees '!A770</f>
        <v>0</v>
      </c>
      <c r="B912" s="20">
        <f>'Landscape Trees '!C770</f>
        <v>0</v>
      </c>
      <c r="C912" s="20">
        <f>'Landscape Trees '!D770</f>
        <v>0</v>
      </c>
      <c r="D912" s="20">
        <f>'Landscape Trees '!E770</f>
        <v>0</v>
      </c>
      <c r="E912" s="20">
        <f>'Landscape Trees '!F770</f>
        <v>0</v>
      </c>
      <c r="F912" s="20">
        <f>'Landscape Trees '!G770</f>
        <v>0</v>
      </c>
      <c r="G912" s="20">
        <f>'Landscape Trees '!H770</f>
        <v>0</v>
      </c>
      <c r="H912" s="20">
        <f>'Landscape Trees '!I770</f>
        <v>0</v>
      </c>
    </row>
    <row r="913" spans="1:8" ht="12.75">
      <c r="A913" s="20">
        <f>'Landscape Trees '!A771</f>
        <v>0</v>
      </c>
      <c r="B913" s="20">
        <f>'Landscape Trees '!C771</f>
        <v>0</v>
      </c>
      <c r="C913" s="20">
        <f>'Landscape Trees '!D771</f>
        <v>0</v>
      </c>
      <c r="D913" s="20">
        <f>'Landscape Trees '!E771</f>
        <v>0</v>
      </c>
      <c r="E913" s="20">
        <f>'Landscape Trees '!F771</f>
        <v>0</v>
      </c>
      <c r="F913" s="20">
        <f>'Landscape Trees '!G771</f>
        <v>0</v>
      </c>
      <c r="G913" s="20">
        <f>'Landscape Trees '!H771</f>
        <v>0</v>
      </c>
      <c r="H913" s="20">
        <f>'Landscape Trees '!I771</f>
        <v>0</v>
      </c>
    </row>
    <row r="914" spans="1:8" ht="12.75">
      <c r="A914" s="20">
        <f>'Landscape Trees '!A772</f>
        <v>0</v>
      </c>
      <c r="B914" s="20">
        <f>'Landscape Trees '!C772</f>
        <v>0</v>
      </c>
      <c r="C914" s="20">
        <f>'Landscape Trees '!D772</f>
        <v>0</v>
      </c>
      <c r="D914" s="20">
        <f>'Landscape Trees '!E772</f>
        <v>0</v>
      </c>
      <c r="E914" s="20">
        <f>'Landscape Trees '!F772</f>
        <v>0</v>
      </c>
      <c r="F914" s="20">
        <f>'Landscape Trees '!G772</f>
        <v>0</v>
      </c>
      <c r="G914" s="20">
        <f>'Landscape Trees '!H772</f>
        <v>0</v>
      </c>
      <c r="H914" s="20">
        <f>'Landscape Trees '!I772</f>
        <v>0</v>
      </c>
    </row>
    <row r="915" spans="1:8" ht="12.75">
      <c r="A915" s="20">
        <f>'Landscape Trees '!A773</f>
        <v>0</v>
      </c>
      <c r="B915" s="20">
        <f>'Landscape Trees '!C773</f>
        <v>0</v>
      </c>
      <c r="C915" s="20">
        <f>'Landscape Trees '!D773</f>
        <v>0</v>
      </c>
      <c r="D915" s="20">
        <f>'Landscape Trees '!E773</f>
        <v>0</v>
      </c>
      <c r="E915" s="20">
        <f>'Landscape Trees '!F773</f>
        <v>0</v>
      </c>
      <c r="F915" s="20">
        <f>'Landscape Trees '!G773</f>
        <v>0</v>
      </c>
      <c r="G915" s="20">
        <f>'Landscape Trees '!H773</f>
        <v>0</v>
      </c>
      <c r="H915" s="20">
        <f>'Landscape Trees '!I773</f>
        <v>0</v>
      </c>
    </row>
    <row r="916" spans="1:8" ht="12.75">
      <c r="A916" s="20">
        <f>'Landscape Trees '!A774</f>
        <v>0</v>
      </c>
      <c r="B916" s="20">
        <f>'Landscape Trees '!C774</f>
        <v>0</v>
      </c>
      <c r="C916" s="20">
        <f>'Landscape Trees '!D774</f>
        <v>0</v>
      </c>
      <c r="D916" s="20">
        <f>'Landscape Trees '!E774</f>
        <v>0</v>
      </c>
      <c r="E916" s="20">
        <f>'Landscape Trees '!F774</f>
        <v>0</v>
      </c>
      <c r="F916" s="20">
        <f>'Landscape Trees '!G774</f>
        <v>0</v>
      </c>
      <c r="G916" s="20">
        <f>'Landscape Trees '!H774</f>
        <v>0</v>
      </c>
      <c r="H916" s="20">
        <f>'Landscape Trees '!I774</f>
        <v>0</v>
      </c>
    </row>
    <row r="917" spans="1:8" ht="12.75">
      <c r="A917" s="20">
        <f>'Landscape Trees '!A775</f>
        <v>0</v>
      </c>
      <c r="B917" s="20">
        <f>'Landscape Trees '!C775</f>
        <v>0</v>
      </c>
      <c r="C917" s="20">
        <f>'Landscape Trees '!D775</f>
        <v>0</v>
      </c>
      <c r="D917" s="20">
        <f>'Landscape Trees '!E775</f>
        <v>0</v>
      </c>
      <c r="E917" s="20">
        <f>'Landscape Trees '!F775</f>
        <v>0</v>
      </c>
      <c r="F917" s="20">
        <f>'Landscape Trees '!G775</f>
        <v>0</v>
      </c>
      <c r="G917" s="20">
        <f>'Landscape Trees '!H775</f>
        <v>0</v>
      </c>
      <c r="H917" s="20">
        <f>'Landscape Trees '!I775</f>
        <v>0</v>
      </c>
    </row>
    <row r="918" spans="1:8" ht="12.75">
      <c r="A918" s="20">
        <f>'Landscape Trees '!A776</f>
        <v>0</v>
      </c>
      <c r="B918" s="20">
        <f>'Landscape Trees '!C776</f>
        <v>0</v>
      </c>
      <c r="C918" s="20">
        <f>'Landscape Trees '!D776</f>
        <v>0</v>
      </c>
      <c r="D918" s="20">
        <f>'Landscape Trees '!E776</f>
        <v>0</v>
      </c>
      <c r="E918" s="20">
        <f>'Landscape Trees '!F776</f>
        <v>0</v>
      </c>
      <c r="F918" s="20">
        <f>'Landscape Trees '!G776</f>
        <v>0</v>
      </c>
      <c r="G918" s="20">
        <f>'Landscape Trees '!H776</f>
        <v>0</v>
      </c>
      <c r="H918" s="20">
        <f>'Landscape Trees '!I776</f>
        <v>0</v>
      </c>
    </row>
    <row r="919" spans="1:8" ht="12.75">
      <c r="A919" s="20">
        <f>'Landscape Trees '!A777</f>
        <v>0</v>
      </c>
      <c r="B919" s="20">
        <f>'Landscape Trees '!C777</f>
        <v>0</v>
      </c>
      <c r="C919" s="20">
        <f>'Landscape Trees '!D777</f>
        <v>0</v>
      </c>
      <c r="D919" s="20">
        <f>'Landscape Trees '!E777</f>
        <v>0</v>
      </c>
      <c r="E919" s="20">
        <f>'Landscape Trees '!F777</f>
        <v>0</v>
      </c>
      <c r="F919" s="20">
        <f>'Landscape Trees '!G777</f>
        <v>0</v>
      </c>
      <c r="G919" s="20">
        <f>'Landscape Trees '!H777</f>
        <v>0</v>
      </c>
      <c r="H919" s="20">
        <f>'Landscape Trees '!I777</f>
        <v>0</v>
      </c>
    </row>
    <row r="920" spans="1:8" ht="12.75">
      <c r="A920" s="20">
        <f>'Landscape Trees '!A778</f>
        <v>0</v>
      </c>
      <c r="B920" s="20">
        <f>'Landscape Trees '!C778</f>
        <v>0</v>
      </c>
      <c r="C920" s="20">
        <f>'Landscape Trees '!D778</f>
        <v>0</v>
      </c>
      <c r="D920" s="20">
        <f>'Landscape Trees '!E778</f>
        <v>0</v>
      </c>
      <c r="E920" s="20">
        <f>'Landscape Trees '!F778</f>
        <v>0</v>
      </c>
      <c r="F920" s="20">
        <f>'Landscape Trees '!G778</f>
        <v>0</v>
      </c>
      <c r="G920" s="20">
        <f>'Landscape Trees '!H778</f>
        <v>0</v>
      </c>
      <c r="H920" s="20">
        <f>'Landscape Trees '!I778</f>
        <v>0</v>
      </c>
    </row>
    <row r="921" spans="1:8" ht="12.75">
      <c r="A921" s="20">
        <f>'Landscape Trees '!A779</f>
        <v>0</v>
      </c>
      <c r="B921" s="20">
        <f>'Landscape Trees '!C779</f>
        <v>0</v>
      </c>
      <c r="C921" s="20">
        <f>'Landscape Trees '!D779</f>
        <v>0</v>
      </c>
      <c r="D921" s="20">
        <f>'Landscape Trees '!E779</f>
        <v>0</v>
      </c>
      <c r="E921" s="20">
        <f>'Landscape Trees '!F779</f>
        <v>0</v>
      </c>
      <c r="F921" s="20">
        <f>'Landscape Trees '!G779</f>
        <v>0</v>
      </c>
      <c r="G921" s="20">
        <f>'Landscape Trees '!H779</f>
        <v>0</v>
      </c>
      <c r="H921" s="20">
        <f>'Landscape Trees '!I779</f>
        <v>0</v>
      </c>
    </row>
    <row r="922" spans="1:8" ht="12.75">
      <c r="A922" s="20">
        <f>'Landscape Trees '!A780</f>
        <v>0</v>
      </c>
      <c r="B922" s="20">
        <f>'Landscape Trees '!C780</f>
        <v>0</v>
      </c>
      <c r="C922" s="20">
        <f>'Landscape Trees '!D780</f>
        <v>0</v>
      </c>
      <c r="D922" s="20">
        <f>'Landscape Trees '!E780</f>
        <v>0</v>
      </c>
      <c r="E922" s="20">
        <f>'Landscape Trees '!F780</f>
        <v>0</v>
      </c>
      <c r="F922" s="20">
        <f>'Landscape Trees '!G780</f>
        <v>0</v>
      </c>
      <c r="G922" s="20">
        <f>'Landscape Trees '!H780</f>
        <v>0</v>
      </c>
      <c r="H922" s="20">
        <f>'Landscape Trees '!I780</f>
        <v>0</v>
      </c>
    </row>
    <row r="923" spans="1:8" ht="12.75">
      <c r="A923" s="20">
        <f>'Landscape Trees '!A781</f>
        <v>0</v>
      </c>
      <c r="B923" s="20">
        <f>'Landscape Trees '!C781</f>
        <v>0</v>
      </c>
      <c r="C923" s="20">
        <f>'Landscape Trees '!D781</f>
        <v>0</v>
      </c>
      <c r="D923" s="20">
        <f>'Landscape Trees '!E781</f>
        <v>0</v>
      </c>
      <c r="E923" s="20">
        <f>'Landscape Trees '!F781</f>
        <v>0</v>
      </c>
      <c r="F923" s="20">
        <f>'Landscape Trees '!G781</f>
        <v>0</v>
      </c>
      <c r="G923" s="20">
        <f>'Landscape Trees '!H781</f>
        <v>0</v>
      </c>
      <c r="H923" s="20">
        <f>'Landscape Trees '!I781</f>
        <v>0</v>
      </c>
    </row>
    <row r="924" spans="1:8" ht="12.75">
      <c r="A924" s="20">
        <f>'Landscape Trees '!A782</f>
        <v>0</v>
      </c>
      <c r="B924" s="20">
        <f>'Landscape Trees '!C782</f>
        <v>0</v>
      </c>
      <c r="C924" s="20">
        <f>'Landscape Trees '!D782</f>
        <v>0</v>
      </c>
      <c r="D924" s="20">
        <f>'Landscape Trees '!E782</f>
        <v>0</v>
      </c>
      <c r="E924" s="20">
        <f>'Landscape Trees '!F782</f>
        <v>0</v>
      </c>
      <c r="F924" s="20">
        <f>'Landscape Trees '!G782</f>
        <v>0</v>
      </c>
      <c r="G924" s="20">
        <f>'Landscape Trees '!H782</f>
        <v>0</v>
      </c>
      <c r="H924" s="20">
        <f>'Landscape Trees '!I782</f>
        <v>0</v>
      </c>
    </row>
    <row r="925" spans="1:8" ht="12.75">
      <c r="A925" s="20">
        <f>'Landscape Trees '!A783</f>
        <v>0</v>
      </c>
      <c r="B925" s="20">
        <f>'Landscape Trees '!C783</f>
        <v>0</v>
      </c>
      <c r="C925" s="20">
        <f>'Landscape Trees '!D783</f>
        <v>0</v>
      </c>
      <c r="D925" s="20">
        <f>'Landscape Trees '!E783</f>
        <v>0</v>
      </c>
      <c r="E925" s="20">
        <f>'Landscape Trees '!F783</f>
        <v>0</v>
      </c>
      <c r="F925" s="20">
        <f>'Landscape Trees '!G783</f>
        <v>0</v>
      </c>
      <c r="G925" s="20">
        <f>'Landscape Trees '!H783</f>
        <v>0</v>
      </c>
      <c r="H925" s="20">
        <f>'Landscape Trees '!I783</f>
        <v>0</v>
      </c>
    </row>
    <row r="926" spans="1:8" ht="12.75">
      <c r="A926" s="20">
        <f>'Landscape Trees '!A784</f>
        <v>0</v>
      </c>
      <c r="B926" s="20">
        <f>'Landscape Trees '!C784</f>
        <v>0</v>
      </c>
      <c r="C926" s="20">
        <f>'Landscape Trees '!D784</f>
        <v>0</v>
      </c>
      <c r="D926" s="20">
        <f>'Landscape Trees '!E784</f>
        <v>0</v>
      </c>
      <c r="E926" s="20">
        <f>'Landscape Trees '!F784</f>
        <v>0</v>
      </c>
      <c r="F926" s="20">
        <f>'Landscape Trees '!G784</f>
        <v>0</v>
      </c>
      <c r="G926" s="20">
        <f>'Landscape Trees '!H784</f>
        <v>0</v>
      </c>
      <c r="H926" s="20">
        <f>'Landscape Trees '!I784</f>
        <v>0</v>
      </c>
    </row>
    <row r="927" spans="1:8" ht="12.75">
      <c r="A927" s="20">
        <f>'Landscape Trees '!A785</f>
        <v>0</v>
      </c>
      <c r="B927" s="20">
        <f>'Landscape Trees '!C785</f>
        <v>0</v>
      </c>
      <c r="C927" s="20">
        <f>'Landscape Trees '!D785</f>
        <v>0</v>
      </c>
      <c r="D927" s="20">
        <f>'Landscape Trees '!E785</f>
        <v>0</v>
      </c>
      <c r="E927" s="20">
        <f>'Landscape Trees '!F785</f>
        <v>0</v>
      </c>
      <c r="F927" s="20">
        <f>'Landscape Trees '!G785</f>
        <v>0</v>
      </c>
      <c r="G927" s="20">
        <f>'Landscape Trees '!H785</f>
        <v>0</v>
      </c>
      <c r="H927" s="20">
        <f>'Landscape Trees '!I785</f>
        <v>0</v>
      </c>
    </row>
    <row r="928" spans="1:8" ht="12.75">
      <c r="A928" s="20">
        <f>'Landscape Trees '!A786</f>
        <v>0</v>
      </c>
      <c r="B928" s="20">
        <f>'Landscape Trees '!C786</f>
        <v>0</v>
      </c>
      <c r="C928" s="20">
        <f>'Landscape Trees '!D786</f>
        <v>0</v>
      </c>
      <c r="D928" s="20">
        <f>'Landscape Trees '!E786</f>
        <v>0</v>
      </c>
      <c r="E928" s="20">
        <f>'Landscape Trees '!F786</f>
        <v>0</v>
      </c>
      <c r="F928" s="20">
        <f>'Landscape Trees '!G786</f>
        <v>0</v>
      </c>
      <c r="G928" s="20">
        <f>'Landscape Trees '!H786</f>
        <v>0</v>
      </c>
      <c r="H928" s="20">
        <f>'Landscape Trees '!I786</f>
        <v>0</v>
      </c>
    </row>
    <row r="929" spans="1:8" ht="12.75">
      <c r="A929" s="20">
        <f>'Landscape Trees '!A787</f>
        <v>0</v>
      </c>
      <c r="B929" s="20">
        <f>'Landscape Trees '!C787</f>
        <v>0</v>
      </c>
      <c r="C929" s="20">
        <f>'Landscape Trees '!D787</f>
        <v>0</v>
      </c>
      <c r="D929" s="20">
        <f>'Landscape Trees '!E787</f>
        <v>0</v>
      </c>
      <c r="E929" s="20">
        <f>'Landscape Trees '!F787</f>
        <v>0</v>
      </c>
      <c r="F929" s="20">
        <f>'Landscape Trees '!G787</f>
        <v>0</v>
      </c>
      <c r="G929" s="20">
        <f>'Landscape Trees '!H787</f>
        <v>0</v>
      </c>
      <c r="H929" s="20">
        <f>'Landscape Trees '!I787</f>
        <v>0</v>
      </c>
    </row>
    <row r="930" spans="1:8" ht="12.75">
      <c r="A930" s="20">
        <f>'Landscape Trees '!A788</f>
        <v>0</v>
      </c>
      <c r="B930" s="20">
        <f>'Landscape Trees '!C788</f>
        <v>0</v>
      </c>
      <c r="C930" s="20">
        <f>'Landscape Trees '!D788</f>
        <v>0</v>
      </c>
      <c r="D930" s="20">
        <f>'Landscape Trees '!E788</f>
        <v>0</v>
      </c>
      <c r="E930" s="20">
        <f>'Landscape Trees '!F788</f>
        <v>0</v>
      </c>
      <c r="F930" s="20">
        <f>'Landscape Trees '!G788</f>
        <v>0</v>
      </c>
      <c r="G930" s="20">
        <f>'Landscape Trees '!H788</f>
        <v>0</v>
      </c>
      <c r="H930" s="20">
        <f>'Landscape Trees '!I788</f>
        <v>0</v>
      </c>
    </row>
    <row r="931" spans="1:8" ht="12.75">
      <c r="A931" s="20">
        <f>'Landscape Trees '!A789</f>
        <v>0</v>
      </c>
      <c r="B931" s="20">
        <f>'Landscape Trees '!C789</f>
        <v>0</v>
      </c>
      <c r="C931" s="20">
        <f>'Landscape Trees '!D789</f>
        <v>0</v>
      </c>
      <c r="D931" s="20">
        <f>'Landscape Trees '!E789</f>
        <v>0</v>
      </c>
      <c r="E931" s="20">
        <f>'Landscape Trees '!F789</f>
        <v>0</v>
      </c>
      <c r="F931" s="20">
        <f>'Landscape Trees '!G789</f>
        <v>0</v>
      </c>
      <c r="G931" s="20">
        <f>'Landscape Trees '!H789</f>
        <v>0</v>
      </c>
      <c r="H931" s="20">
        <f>'Landscape Trees '!I789</f>
        <v>0</v>
      </c>
    </row>
    <row r="932" spans="1:8" ht="12.75">
      <c r="A932" s="20">
        <f>'Landscape Trees '!A790</f>
        <v>0</v>
      </c>
      <c r="B932" s="20">
        <f>'Landscape Trees '!C790</f>
        <v>0</v>
      </c>
      <c r="C932" s="20">
        <f>'Landscape Trees '!D790</f>
        <v>0</v>
      </c>
      <c r="D932" s="20">
        <f>'Landscape Trees '!E790</f>
        <v>0</v>
      </c>
      <c r="E932" s="20">
        <f>'Landscape Trees '!F790</f>
        <v>0</v>
      </c>
      <c r="F932" s="20">
        <f>'Landscape Trees '!G790</f>
        <v>0</v>
      </c>
      <c r="G932" s="20">
        <f>'Landscape Trees '!H790</f>
        <v>0</v>
      </c>
      <c r="H932" s="20">
        <f>'Landscape Trees '!I790</f>
        <v>0</v>
      </c>
    </row>
    <row r="933" spans="1:8" ht="12.75">
      <c r="A933" s="20">
        <f>'Landscape Trees '!A791</f>
        <v>0</v>
      </c>
      <c r="B933" s="20">
        <f>'Landscape Trees '!C791</f>
        <v>0</v>
      </c>
      <c r="C933" s="20">
        <f>'Landscape Trees '!D791</f>
        <v>0</v>
      </c>
      <c r="D933" s="20">
        <f>'Landscape Trees '!E791</f>
        <v>0</v>
      </c>
      <c r="E933" s="20">
        <f>'Landscape Trees '!F791</f>
        <v>0</v>
      </c>
      <c r="F933" s="20">
        <f>'Landscape Trees '!G791</f>
        <v>0</v>
      </c>
      <c r="G933" s="20">
        <f>'Landscape Trees '!H791</f>
        <v>0</v>
      </c>
      <c r="H933" s="20">
        <f>'Landscape Trees '!I791</f>
        <v>0</v>
      </c>
    </row>
    <row r="934" spans="1:8" ht="12.75">
      <c r="A934" s="20">
        <f>'Landscape Trees '!A792</f>
        <v>0</v>
      </c>
      <c r="B934" s="20">
        <f>'Landscape Trees '!C792</f>
        <v>0</v>
      </c>
      <c r="C934" s="20">
        <f>'Landscape Trees '!D792</f>
        <v>0</v>
      </c>
      <c r="D934" s="20">
        <f>'Landscape Trees '!E792</f>
        <v>0</v>
      </c>
      <c r="E934" s="20">
        <f>'Landscape Trees '!F792</f>
        <v>0</v>
      </c>
      <c r="F934" s="20">
        <f>'Landscape Trees '!G792</f>
        <v>0</v>
      </c>
      <c r="G934" s="20">
        <f>'Landscape Trees '!H792</f>
        <v>0</v>
      </c>
      <c r="H934" s="20">
        <f>'Landscape Trees '!I792</f>
        <v>0</v>
      </c>
    </row>
    <row r="935" spans="1:8" ht="12.75">
      <c r="A935" s="20">
        <f>'Landscape Trees '!A793</f>
        <v>0</v>
      </c>
      <c r="B935" s="20">
        <f>'Landscape Trees '!C793</f>
        <v>0</v>
      </c>
      <c r="C935" s="20">
        <f>'Landscape Trees '!D793</f>
        <v>0</v>
      </c>
      <c r="D935" s="20">
        <f>'Landscape Trees '!E793</f>
        <v>0</v>
      </c>
      <c r="E935" s="20">
        <f>'Landscape Trees '!F793</f>
        <v>0</v>
      </c>
      <c r="F935" s="20">
        <f>'Landscape Trees '!G793</f>
        <v>0</v>
      </c>
      <c r="G935" s="20">
        <f>'Landscape Trees '!H793</f>
        <v>0</v>
      </c>
      <c r="H935" s="20">
        <f>'Landscape Trees '!I793</f>
        <v>0</v>
      </c>
    </row>
    <row r="936" spans="1:8" ht="12.75">
      <c r="A936" s="20">
        <f>'Landscape Trees '!A794</f>
        <v>0</v>
      </c>
      <c r="B936" s="20">
        <f>'Landscape Trees '!C794</f>
        <v>0</v>
      </c>
      <c r="C936" s="20">
        <f>'Landscape Trees '!D794</f>
        <v>0</v>
      </c>
      <c r="D936" s="20">
        <f>'Landscape Trees '!E794</f>
        <v>0</v>
      </c>
      <c r="E936" s="20">
        <f>'Landscape Trees '!F794</f>
        <v>0</v>
      </c>
      <c r="F936" s="20">
        <f>'Landscape Trees '!G794</f>
        <v>0</v>
      </c>
      <c r="G936" s="20">
        <f>'Landscape Trees '!H794</f>
        <v>0</v>
      </c>
      <c r="H936" s="20">
        <f>'Landscape Trees '!I794</f>
        <v>0</v>
      </c>
    </row>
    <row r="937" spans="1:8" ht="12.75">
      <c r="A937" s="20">
        <f>'Landscape Trees '!A795</f>
        <v>0</v>
      </c>
      <c r="B937" s="20">
        <f>'Landscape Trees '!C795</f>
        <v>0</v>
      </c>
      <c r="C937" s="20">
        <f>'Landscape Trees '!D795</f>
        <v>0</v>
      </c>
      <c r="D937" s="20">
        <f>'Landscape Trees '!E795</f>
        <v>0</v>
      </c>
      <c r="E937" s="20">
        <f>'Landscape Trees '!F795</f>
        <v>0</v>
      </c>
      <c r="F937" s="20">
        <f>'Landscape Trees '!G795</f>
        <v>0</v>
      </c>
      <c r="G937" s="20">
        <f>'Landscape Trees '!H795</f>
        <v>0</v>
      </c>
      <c r="H937" s="20">
        <f>'Landscape Trees '!I795</f>
        <v>0</v>
      </c>
    </row>
    <row r="938" spans="1:8" ht="12.75">
      <c r="A938" s="20">
        <f>'Landscape Trees '!A796</f>
        <v>0</v>
      </c>
      <c r="B938" s="20">
        <f>'Landscape Trees '!C796</f>
        <v>0</v>
      </c>
      <c r="C938" s="20">
        <f>'Landscape Trees '!D796</f>
        <v>0</v>
      </c>
      <c r="D938" s="20">
        <f>'Landscape Trees '!E796</f>
        <v>0</v>
      </c>
      <c r="E938" s="20">
        <f>'Landscape Trees '!F796</f>
        <v>0</v>
      </c>
      <c r="F938" s="20">
        <f>'Landscape Trees '!G796</f>
        <v>0</v>
      </c>
      <c r="G938" s="20">
        <f>'Landscape Trees '!H796</f>
        <v>0</v>
      </c>
      <c r="H938" s="20">
        <f>'Landscape Trees '!I796</f>
        <v>0</v>
      </c>
    </row>
    <row r="939" spans="1:8" ht="12.75">
      <c r="A939" s="20">
        <f>'Landscape Trees '!A797</f>
        <v>0</v>
      </c>
      <c r="B939" s="20">
        <f>'Landscape Trees '!C797</f>
        <v>0</v>
      </c>
      <c r="C939" s="20">
        <f>'Landscape Trees '!D797</f>
        <v>0</v>
      </c>
      <c r="D939" s="20">
        <f>'Landscape Trees '!E797</f>
        <v>0</v>
      </c>
      <c r="E939" s="20">
        <f>'Landscape Trees '!F797</f>
        <v>0</v>
      </c>
      <c r="F939" s="20">
        <f>'Landscape Trees '!G797</f>
        <v>0</v>
      </c>
      <c r="G939" s="20">
        <f>'Landscape Trees '!H797</f>
        <v>0</v>
      </c>
      <c r="H939" s="20">
        <f>'Landscape Trees '!I797</f>
        <v>0</v>
      </c>
    </row>
    <row r="940" spans="1:8" ht="12.75">
      <c r="A940" s="20">
        <f>'Landscape Trees '!A798</f>
        <v>0</v>
      </c>
      <c r="B940" s="20">
        <f>'Landscape Trees '!C798</f>
        <v>0</v>
      </c>
      <c r="C940" s="20">
        <f>'Landscape Trees '!D798</f>
        <v>0</v>
      </c>
      <c r="D940" s="20">
        <f>'Landscape Trees '!E798</f>
        <v>0</v>
      </c>
      <c r="E940" s="20">
        <f>'Landscape Trees '!F798</f>
        <v>0</v>
      </c>
      <c r="F940" s="20">
        <f>'Landscape Trees '!G798</f>
        <v>0</v>
      </c>
      <c r="G940" s="20">
        <f>'Landscape Trees '!H798</f>
        <v>0</v>
      </c>
      <c r="H940" s="20">
        <f>'Landscape Trees '!I798</f>
        <v>0</v>
      </c>
    </row>
    <row r="941" spans="1:8" ht="12.75">
      <c r="A941" s="20">
        <f>'Landscape Trees '!A799</f>
        <v>0</v>
      </c>
      <c r="B941" s="20">
        <f>'Landscape Trees '!C799</f>
        <v>0</v>
      </c>
      <c r="C941" s="20">
        <f>'Landscape Trees '!D799</f>
        <v>0</v>
      </c>
      <c r="D941" s="20">
        <f>'Landscape Trees '!E799</f>
        <v>0</v>
      </c>
      <c r="E941" s="20">
        <f>'Landscape Trees '!F799</f>
        <v>0</v>
      </c>
      <c r="F941" s="20">
        <f>'Landscape Trees '!G799</f>
        <v>0</v>
      </c>
      <c r="G941" s="20">
        <f>'Landscape Trees '!H799</f>
        <v>0</v>
      </c>
      <c r="H941" s="20">
        <f>'Landscape Trees '!I799</f>
        <v>0</v>
      </c>
    </row>
    <row r="942" spans="1:8" ht="12.75">
      <c r="A942" s="20">
        <f>'Landscape Trees '!A800</f>
        <v>0</v>
      </c>
      <c r="B942" s="20">
        <f>'Landscape Trees '!C800</f>
        <v>0</v>
      </c>
      <c r="C942" s="20">
        <f>'Landscape Trees '!D800</f>
        <v>0</v>
      </c>
      <c r="D942" s="20">
        <f>'Landscape Trees '!E800</f>
        <v>0</v>
      </c>
      <c r="E942" s="20">
        <f>'Landscape Trees '!F800</f>
        <v>0</v>
      </c>
      <c r="F942" s="20">
        <f>'Landscape Trees '!G800</f>
        <v>0</v>
      </c>
      <c r="G942" s="20">
        <f>'Landscape Trees '!H800</f>
        <v>0</v>
      </c>
      <c r="H942" s="20">
        <f>'Landscape Trees '!I800</f>
        <v>0</v>
      </c>
    </row>
    <row r="943" spans="1:8" ht="12.75">
      <c r="A943" s="20">
        <f>'Landscape Trees '!A801</f>
        <v>0</v>
      </c>
      <c r="B943" s="20">
        <f>'Landscape Trees '!C801</f>
        <v>0</v>
      </c>
      <c r="C943" s="20">
        <f>'Landscape Trees '!D801</f>
        <v>0</v>
      </c>
      <c r="D943" s="20">
        <f>'Landscape Trees '!E801</f>
        <v>0</v>
      </c>
      <c r="E943" s="20">
        <f>'Landscape Trees '!F801</f>
        <v>0</v>
      </c>
      <c r="F943" s="20">
        <f>'Landscape Trees '!G801</f>
        <v>0</v>
      </c>
      <c r="G943" s="20">
        <f>'Landscape Trees '!H801</f>
        <v>0</v>
      </c>
      <c r="H943" s="20">
        <f>'Landscape Trees '!I801</f>
        <v>0</v>
      </c>
    </row>
    <row r="944" spans="1:8" ht="12.75">
      <c r="A944" s="20">
        <f>'Landscape Trees '!A802</f>
        <v>0</v>
      </c>
      <c r="B944" s="20">
        <f>'Landscape Trees '!C802</f>
        <v>0</v>
      </c>
      <c r="C944" s="20">
        <f>'Landscape Trees '!D802</f>
        <v>0</v>
      </c>
      <c r="D944" s="20">
        <f>'Landscape Trees '!E802</f>
        <v>0</v>
      </c>
      <c r="E944" s="20">
        <f>'Landscape Trees '!F802</f>
        <v>0</v>
      </c>
      <c r="F944" s="20">
        <f>'Landscape Trees '!G802</f>
        <v>0</v>
      </c>
      <c r="G944" s="20">
        <f>'Landscape Trees '!H802</f>
        <v>0</v>
      </c>
      <c r="H944" s="20">
        <f>'Landscape Trees '!I802</f>
        <v>0</v>
      </c>
    </row>
    <row r="945" spans="1:8" ht="12.75">
      <c r="A945" s="20">
        <f>'Landscape Trees '!A803</f>
        <v>0</v>
      </c>
      <c r="B945" s="20">
        <f>'Landscape Trees '!C803</f>
        <v>0</v>
      </c>
      <c r="C945" s="20">
        <f>'Landscape Trees '!D803</f>
        <v>0</v>
      </c>
      <c r="D945" s="20">
        <f>'Landscape Trees '!E803</f>
        <v>0</v>
      </c>
      <c r="E945" s="20">
        <f>'Landscape Trees '!F803</f>
        <v>0</v>
      </c>
      <c r="F945" s="20">
        <f>'Landscape Trees '!G803</f>
        <v>0</v>
      </c>
      <c r="G945" s="20">
        <f>'Landscape Trees '!H803</f>
        <v>0</v>
      </c>
      <c r="H945" s="20">
        <f>'Landscape Trees '!I803</f>
        <v>0</v>
      </c>
    </row>
    <row r="946" spans="1:8" ht="12.75">
      <c r="A946" s="20">
        <f>'Landscape Trees '!A804</f>
        <v>0</v>
      </c>
      <c r="B946" s="20">
        <f>'Landscape Trees '!C804</f>
        <v>0</v>
      </c>
      <c r="C946" s="20">
        <f>'Landscape Trees '!D804</f>
        <v>0</v>
      </c>
      <c r="D946" s="20">
        <f>'Landscape Trees '!E804</f>
        <v>0</v>
      </c>
      <c r="E946" s="20">
        <f>'Landscape Trees '!F804</f>
        <v>0</v>
      </c>
      <c r="F946" s="20">
        <f>'Landscape Trees '!G804</f>
        <v>0</v>
      </c>
      <c r="G946" s="20">
        <f>'Landscape Trees '!H804</f>
        <v>0</v>
      </c>
      <c r="H946" s="20">
        <f>'Landscape Trees '!I804</f>
        <v>0</v>
      </c>
    </row>
    <row r="947" spans="1:8" ht="12.75">
      <c r="A947" s="20">
        <f>'Landscape Trees '!A805</f>
        <v>0</v>
      </c>
      <c r="B947" s="20">
        <f>'Landscape Trees '!C805</f>
        <v>0</v>
      </c>
      <c r="C947" s="20">
        <f>'Landscape Trees '!D805</f>
        <v>0</v>
      </c>
      <c r="D947" s="20">
        <f>'Landscape Trees '!E805</f>
        <v>0</v>
      </c>
      <c r="E947" s="20">
        <f>'Landscape Trees '!F805</f>
        <v>0</v>
      </c>
      <c r="F947" s="20">
        <f>'Landscape Trees '!G805</f>
        <v>0</v>
      </c>
      <c r="G947" s="20">
        <f>'Landscape Trees '!H805</f>
        <v>0</v>
      </c>
      <c r="H947" s="20">
        <f>'Landscape Trees '!I805</f>
        <v>0</v>
      </c>
    </row>
    <row r="948" spans="1:8" ht="12.75">
      <c r="A948" s="20">
        <f>'Landscape Trees '!A806</f>
        <v>0</v>
      </c>
      <c r="B948" s="20">
        <f>'Landscape Trees '!C806</f>
        <v>0</v>
      </c>
      <c r="C948" s="20">
        <f>'Landscape Trees '!D806</f>
        <v>0</v>
      </c>
      <c r="D948" s="20">
        <f>'Landscape Trees '!E806</f>
        <v>0</v>
      </c>
      <c r="E948" s="20">
        <f>'Landscape Trees '!F806</f>
        <v>0</v>
      </c>
      <c r="F948" s="20">
        <f>'Landscape Trees '!G806</f>
        <v>0</v>
      </c>
      <c r="G948" s="20">
        <f>'Landscape Trees '!H806</f>
        <v>0</v>
      </c>
      <c r="H948" s="20">
        <f>'Landscape Trees '!I806</f>
        <v>0</v>
      </c>
    </row>
    <row r="949" spans="1:8" ht="12.75">
      <c r="A949" s="20">
        <f>'Landscape Trees '!A807</f>
        <v>0</v>
      </c>
      <c r="B949" s="20">
        <f>'Landscape Trees '!C807</f>
        <v>0</v>
      </c>
      <c r="C949" s="20">
        <f>'Landscape Trees '!D807</f>
        <v>0</v>
      </c>
      <c r="D949" s="20">
        <f>'Landscape Trees '!E807</f>
        <v>0</v>
      </c>
      <c r="E949" s="20">
        <f>'Landscape Trees '!F807</f>
        <v>0</v>
      </c>
      <c r="F949" s="20">
        <f>'Landscape Trees '!G807</f>
        <v>0</v>
      </c>
      <c r="G949" s="20">
        <f>'Landscape Trees '!H807</f>
        <v>0</v>
      </c>
      <c r="H949" s="20">
        <f>'Landscape Trees '!I807</f>
        <v>0</v>
      </c>
    </row>
    <row r="950" spans="1:8" ht="12.75">
      <c r="A950" s="20">
        <f>'Landscape Trees '!A808</f>
        <v>0</v>
      </c>
      <c r="B950" s="20">
        <f>'Landscape Trees '!C808</f>
        <v>0</v>
      </c>
      <c r="C950" s="20">
        <f>'Landscape Trees '!D808</f>
        <v>0</v>
      </c>
      <c r="D950" s="20">
        <f>'Landscape Trees '!E808</f>
        <v>0</v>
      </c>
      <c r="E950" s="20">
        <f>'Landscape Trees '!F808</f>
        <v>0</v>
      </c>
      <c r="F950" s="20">
        <f>'Landscape Trees '!G808</f>
        <v>0</v>
      </c>
      <c r="G950" s="20">
        <f>'Landscape Trees '!H808</f>
        <v>0</v>
      </c>
      <c r="H950" s="20">
        <f>'Landscape Trees '!I808</f>
        <v>0</v>
      </c>
    </row>
    <row r="951" spans="1:8" ht="12.75">
      <c r="A951" s="20">
        <f>'Landscape Trees '!A809</f>
        <v>0</v>
      </c>
      <c r="B951" s="20">
        <f>'Landscape Trees '!C809</f>
        <v>0</v>
      </c>
      <c r="C951" s="20">
        <f>'Landscape Trees '!D809</f>
        <v>0</v>
      </c>
      <c r="D951" s="20">
        <f>'Landscape Trees '!E809</f>
        <v>0</v>
      </c>
      <c r="E951" s="20">
        <f>'Landscape Trees '!F809</f>
        <v>0</v>
      </c>
      <c r="F951" s="20">
        <f>'Landscape Trees '!G809</f>
        <v>0</v>
      </c>
      <c r="G951" s="20">
        <f>'Landscape Trees '!H809</f>
        <v>0</v>
      </c>
      <c r="H951" s="20">
        <f>'Landscape Trees '!I809</f>
        <v>0</v>
      </c>
    </row>
    <row r="952" spans="1:8" ht="12.75">
      <c r="A952" s="20">
        <f>'Landscape Trees '!A810</f>
        <v>0</v>
      </c>
      <c r="B952" s="20">
        <f>'Landscape Trees '!C810</f>
        <v>0</v>
      </c>
      <c r="C952" s="20">
        <f>'Landscape Trees '!D810</f>
        <v>0</v>
      </c>
      <c r="D952" s="20">
        <f>'Landscape Trees '!E810</f>
        <v>0</v>
      </c>
      <c r="E952" s="20">
        <f>'Landscape Trees '!F810</f>
        <v>0</v>
      </c>
      <c r="F952" s="20">
        <f>'Landscape Trees '!G810</f>
        <v>0</v>
      </c>
      <c r="G952" s="20">
        <f>'Landscape Trees '!H810</f>
        <v>0</v>
      </c>
      <c r="H952" s="20">
        <f>'Landscape Trees '!I810</f>
        <v>0</v>
      </c>
    </row>
    <row r="953" spans="1:8" ht="12.75">
      <c r="A953" s="20">
        <f>'Landscape Trees '!A811</f>
        <v>0</v>
      </c>
      <c r="B953" s="20">
        <f>'Landscape Trees '!C811</f>
        <v>0</v>
      </c>
      <c r="C953" s="20">
        <f>'Landscape Trees '!D811</f>
        <v>0</v>
      </c>
      <c r="D953" s="20">
        <f>'Landscape Trees '!E811</f>
        <v>0</v>
      </c>
      <c r="E953" s="20">
        <f>'Landscape Trees '!F811</f>
        <v>0</v>
      </c>
      <c r="F953" s="20">
        <f>'Landscape Trees '!G811</f>
        <v>0</v>
      </c>
      <c r="G953" s="20">
        <f>'Landscape Trees '!H811</f>
        <v>0</v>
      </c>
      <c r="H953" s="20">
        <f>'Landscape Trees '!I811</f>
        <v>0</v>
      </c>
    </row>
    <row r="954" spans="1:8" ht="12.75">
      <c r="A954" s="20">
        <f>'Landscape Trees '!A812</f>
        <v>0</v>
      </c>
      <c r="B954" s="20">
        <f>'Landscape Trees '!C812</f>
        <v>0</v>
      </c>
      <c r="C954" s="20">
        <f>'Landscape Trees '!D812</f>
        <v>0</v>
      </c>
      <c r="D954" s="20">
        <f>'Landscape Trees '!E812</f>
        <v>0</v>
      </c>
      <c r="E954" s="20">
        <f>'Landscape Trees '!F812</f>
        <v>0</v>
      </c>
      <c r="F954" s="20">
        <f>'Landscape Trees '!G812</f>
        <v>0</v>
      </c>
      <c r="G954" s="20">
        <f>'Landscape Trees '!H812</f>
        <v>0</v>
      </c>
      <c r="H954" s="20">
        <f>'Landscape Trees '!I812</f>
        <v>0</v>
      </c>
    </row>
    <row r="955" spans="1:8" ht="12.75">
      <c r="A955" s="20">
        <f>'Landscape Trees '!A813</f>
        <v>0</v>
      </c>
      <c r="B955" s="20">
        <f>'Landscape Trees '!C813</f>
        <v>0</v>
      </c>
      <c r="C955" s="20">
        <f>'Landscape Trees '!D813</f>
        <v>0</v>
      </c>
      <c r="D955" s="20">
        <f>'Landscape Trees '!E813</f>
        <v>0</v>
      </c>
      <c r="E955" s="20">
        <f>'Landscape Trees '!F813</f>
        <v>0</v>
      </c>
      <c r="F955" s="20">
        <f>'Landscape Trees '!G813</f>
        <v>0</v>
      </c>
      <c r="G955" s="20">
        <f>'Landscape Trees '!H813</f>
        <v>0</v>
      </c>
      <c r="H955" s="20">
        <f>'Landscape Trees '!I813</f>
        <v>0</v>
      </c>
    </row>
    <row r="956" spans="1:8" ht="12.75">
      <c r="A956" s="20">
        <f>'Landscape Trees '!A814</f>
        <v>0</v>
      </c>
      <c r="B956" s="20">
        <f>'Landscape Trees '!C814</f>
        <v>0</v>
      </c>
      <c r="C956" s="20">
        <f>'Landscape Trees '!D814</f>
        <v>0</v>
      </c>
      <c r="D956" s="20">
        <f>'Landscape Trees '!E814</f>
        <v>0</v>
      </c>
      <c r="E956" s="20">
        <f>'Landscape Trees '!F814</f>
        <v>0</v>
      </c>
      <c r="F956" s="20">
        <f>'Landscape Trees '!G814</f>
        <v>0</v>
      </c>
      <c r="G956" s="20">
        <f>'Landscape Trees '!H814</f>
        <v>0</v>
      </c>
      <c r="H956" s="20">
        <f>'Landscape Trees '!I814</f>
        <v>0</v>
      </c>
    </row>
    <row r="957" spans="1:8" ht="12.75">
      <c r="A957" s="20">
        <f>'Landscape Trees '!A815</f>
        <v>0</v>
      </c>
      <c r="B957" s="20">
        <f>'Landscape Trees '!C815</f>
        <v>0</v>
      </c>
      <c r="C957" s="20">
        <f>'Landscape Trees '!D815</f>
        <v>0</v>
      </c>
      <c r="D957" s="20">
        <f>'Landscape Trees '!E815</f>
        <v>0</v>
      </c>
      <c r="E957" s="20">
        <f>'Landscape Trees '!F815</f>
        <v>0</v>
      </c>
      <c r="F957" s="20">
        <f>'Landscape Trees '!G815</f>
        <v>0</v>
      </c>
      <c r="G957" s="20">
        <f>'Landscape Trees '!H815</f>
        <v>0</v>
      </c>
      <c r="H957" s="20">
        <f>'Landscape Trees '!I815</f>
        <v>0</v>
      </c>
    </row>
    <row r="958" spans="1:8" ht="12.75">
      <c r="A958" s="20">
        <f>'Landscape Trees '!A816</f>
        <v>0</v>
      </c>
      <c r="B958" s="20">
        <f>'Landscape Trees '!C816</f>
        <v>0</v>
      </c>
      <c r="C958" s="20">
        <f>'Landscape Trees '!D816</f>
        <v>0</v>
      </c>
      <c r="D958" s="20">
        <f>'Landscape Trees '!E816</f>
        <v>0</v>
      </c>
      <c r="E958" s="20">
        <f>'Landscape Trees '!F816</f>
        <v>0</v>
      </c>
      <c r="F958" s="20">
        <f>'Landscape Trees '!G816</f>
        <v>0</v>
      </c>
      <c r="G958" s="20">
        <f>'Landscape Trees '!H816</f>
        <v>0</v>
      </c>
      <c r="H958" s="20">
        <f>'Landscape Trees '!I816</f>
        <v>0</v>
      </c>
    </row>
    <row r="959" spans="1:8" ht="12.75">
      <c r="A959" s="20">
        <f>'Landscape Trees '!A817</f>
        <v>0</v>
      </c>
      <c r="B959" s="20">
        <f>'Landscape Trees '!C817</f>
        <v>0</v>
      </c>
      <c r="C959" s="20">
        <f>'Landscape Trees '!D817</f>
        <v>0</v>
      </c>
      <c r="D959" s="20">
        <f>'Landscape Trees '!E817</f>
        <v>0</v>
      </c>
      <c r="E959" s="20">
        <f>'Landscape Trees '!F817</f>
        <v>0</v>
      </c>
      <c r="F959" s="20">
        <f>'Landscape Trees '!G817</f>
        <v>0</v>
      </c>
      <c r="G959" s="20">
        <f>'Landscape Trees '!H817</f>
        <v>0</v>
      </c>
      <c r="H959" s="20">
        <f>'Landscape Trees '!I817</f>
        <v>0</v>
      </c>
    </row>
    <row r="960" spans="1:8" ht="12.75">
      <c r="A960" s="20">
        <f>'Landscape Trees '!A818</f>
        <v>0</v>
      </c>
      <c r="B960" s="20">
        <f>'Landscape Trees '!C818</f>
        <v>0</v>
      </c>
      <c r="C960" s="20">
        <f>'Landscape Trees '!D818</f>
        <v>0</v>
      </c>
      <c r="D960" s="20">
        <f>'Landscape Trees '!E818</f>
        <v>0</v>
      </c>
      <c r="E960" s="20">
        <f>'Landscape Trees '!F818</f>
        <v>0</v>
      </c>
      <c r="F960" s="20">
        <f>'Landscape Trees '!G818</f>
        <v>0</v>
      </c>
      <c r="G960" s="20">
        <f>'Landscape Trees '!H818</f>
        <v>0</v>
      </c>
      <c r="H960" s="20">
        <f>'Landscape Trees '!I818</f>
        <v>0</v>
      </c>
    </row>
    <row r="961" spans="1:8" ht="12.75">
      <c r="A961" s="20">
        <f>'Landscape Trees '!A819</f>
        <v>0</v>
      </c>
      <c r="B961" s="20">
        <f>'Landscape Trees '!C819</f>
        <v>0</v>
      </c>
      <c r="C961" s="20">
        <f>'Landscape Trees '!D819</f>
        <v>0</v>
      </c>
      <c r="D961" s="20">
        <f>'Landscape Trees '!E819</f>
        <v>0</v>
      </c>
      <c r="E961" s="20">
        <f>'Landscape Trees '!F819</f>
        <v>0</v>
      </c>
      <c r="F961" s="20">
        <f>'Landscape Trees '!G819</f>
        <v>0</v>
      </c>
      <c r="G961" s="20">
        <f>'Landscape Trees '!H819</f>
        <v>0</v>
      </c>
      <c r="H961" s="20">
        <f>'Landscape Trees '!I819</f>
        <v>0</v>
      </c>
    </row>
    <row r="962" spans="1:8" ht="12.75">
      <c r="A962" s="20">
        <f>'Landscape Trees '!A820</f>
        <v>0</v>
      </c>
      <c r="B962" s="20">
        <f>'Landscape Trees '!C820</f>
        <v>0</v>
      </c>
      <c r="C962" s="20">
        <f>'Landscape Trees '!D820</f>
        <v>0</v>
      </c>
      <c r="D962" s="20">
        <f>'Landscape Trees '!E820</f>
        <v>0</v>
      </c>
      <c r="E962" s="20">
        <f>'Landscape Trees '!F820</f>
        <v>0</v>
      </c>
      <c r="F962" s="20">
        <f>'Landscape Trees '!G820</f>
        <v>0</v>
      </c>
      <c r="G962" s="20">
        <f>'Landscape Trees '!H820</f>
        <v>0</v>
      </c>
      <c r="H962" s="20">
        <f>'Landscape Trees '!I820</f>
        <v>0</v>
      </c>
    </row>
    <row r="963" spans="1:8" ht="12.75">
      <c r="A963" s="20">
        <f>'Landscape Trees '!A821</f>
        <v>0</v>
      </c>
      <c r="B963" s="20">
        <f>'Landscape Trees '!C821</f>
        <v>0</v>
      </c>
      <c r="C963" s="20">
        <f>'Landscape Trees '!D821</f>
        <v>0</v>
      </c>
      <c r="D963" s="20">
        <f>'Landscape Trees '!E821</f>
        <v>0</v>
      </c>
      <c r="E963" s="20">
        <f>'Landscape Trees '!F821</f>
        <v>0</v>
      </c>
      <c r="F963" s="20">
        <f>'Landscape Trees '!G821</f>
        <v>0</v>
      </c>
      <c r="G963" s="20">
        <f>'Landscape Trees '!H821</f>
        <v>0</v>
      </c>
      <c r="H963" s="20">
        <f>'Landscape Trees '!I821</f>
        <v>0</v>
      </c>
    </row>
    <row r="964" spans="1:8" ht="12.75">
      <c r="A964" s="20">
        <f>'Landscape Trees '!A822</f>
        <v>0</v>
      </c>
      <c r="B964" s="20">
        <f>'Landscape Trees '!C822</f>
        <v>0</v>
      </c>
      <c r="C964" s="20">
        <f>'Landscape Trees '!D822</f>
        <v>0</v>
      </c>
      <c r="D964" s="20">
        <f>'Landscape Trees '!E822</f>
        <v>0</v>
      </c>
      <c r="E964" s="20">
        <f>'Landscape Trees '!F822</f>
        <v>0</v>
      </c>
      <c r="F964" s="20">
        <f>'Landscape Trees '!G822</f>
        <v>0</v>
      </c>
      <c r="G964" s="20">
        <f>'Landscape Trees '!H822</f>
        <v>0</v>
      </c>
      <c r="H964" s="20">
        <f>'Landscape Trees '!I822</f>
        <v>0</v>
      </c>
    </row>
    <row r="965" spans="1:8" ht="12.75">
      <c r="A965" s="20">
        <f>'Landscape Trees '!A823</f>
        <v>0</v>
      </c>
      <c r="B965" s="20">
        <f>'Landscape Trees '!C823</f>
        <v>0</v>
      </c>
      <c r="C965" s="20">
        <f>'Landscape Trees '!D823</f>
        <v>0</v>
      </c>
      <c r="D965" s="20">
        <f>'Landscape Trees '!E823</f>
        <v>0</v>
      </c>
      <c r="E965" s="20">
        <f>'Landscape Trees '!F823</f>
        <v>0</v>
      </c>
      <c r="F965" s="20">
        <f>'Landscape Trees '!G823</f>
        <v>0</v>
      </c>
      <c r="G965" s="20">
        <f>'Landscape Trees '!H823</f>
        <v>0</v>
      </c>
      <c r="H965" s="20">
        <f>'Landscape Trees '!I823</f>
        <v>0</v>
      </c>
    </row>
    <row r="966" spans="1:8" ht="12.75">
      <c r="A966" s="20">
        <f>'Landscape Trees '!A824</f>
        <v>0</v>
      </c>
      <c r="B966" s="20">
        <f>'Landscape Trees '!C824</f>
        <v>0</v>
      </c>
      <c r="C966" s="20">
        <f>'Landscape Trees '!D824</f>
        <v>0</v>
      </c>
      <c r="D966" s="20">
        <f>'Landscape Trees '!E824</f>
        <v>0</v>
      </c>
      <c r="E966" s="20">
        <f>'Landscape Trees '!F824</f>
        <v>0</v>
      </c>
      <c r="F966" s="20">
        <f>'Landscape Trees '!G824</f>
        <v>0</v>
      </c>
      <c r="G966" s="20">
        <f>'Landscape Trees '!H824</f>
        <v>0</v>
      </c>
      <c r="H966" s="20">
        <f>'Landscape Trees '!I824</f>
        <v>0</v>
      </c>
    </row>
    <row r="967" spans="1:8" ht="12.75">
      <c r="A967" s="20">
        <f>'Landscape Trees '!A825</f>
        <v>0</v>
      </c>
      <c r="B967" s="20">
        <f>'Landscape Trees '!C825</f>
        <v>0</v>
      </c>
      <c r="C967" s="20">
        <f>'Landscape Trees '!D825</f>
        <v>0</v>
      </c>
      <c r="D967" s="20">
        <f>'Landscape Trees '!E825</f>
        <v>0</v>
      </c>
      <c r="E967" s="20">
        <f>'Landscape Trees '!F825</f>
        <v>0</v>
      </c>
      <c r="F967" s="20">
        <f>'Landscape Trees '!G825</f>
        <v>0</v>
      </c>
      <c r="G967" s="20">
        <f>'Landscape Trees '!H825</f>
        <v>0</v>
      </c>
      <c r="H967" s="20">
        <f>'Landscape Trees '!I825</f>
        <v>0</v>
      </c>
    </row>
    <row r="968" spans="1:8" ht="12.75">
      <c r="A968" s="20">
        <f>'Landscape Trees '!A826</f>
        <v>0</v>
      </c>
      <c r="B968" s="20">
        <f>'Landscape Trees '!C826</f>
        <v>0</v>
      </c>
      <c r="C968" s="20">
        <f>'Landscape Trees '!D826</f>
        <v>0</v>
      </c>
      <c r="D968" s="20">
        <f>'Landscape Trees '!E826</f>
        <v>0</v>
      </c>
      <c r="E968" s="20">
        <f>'Landscape Trees '!F826</f>
        <v>0</v>
      </c>
      <c r="F968" s="20">
        <f>'Landscape Trees '!G826</f>
        <v>0</v>
      </c>
      <c r="G968" s="20">
        <f>'Landscape Trees '!H826</f>
        <v>0</v>
      </c>
      <c r="H968" s="20">
        <f>'Landscape Trees '!I826</f>
        <v>0</v>
      </c>
    </row>
    <row r="969" spans="1:8" ht="12.75">
      <c r="A969" s="20">
        <f>'Landscape Trees '!A827</f>
        <v>0</v>
      </c>
      <c r="B969" s="20">
        <f>'Landscape Trees '!C827</f>
        <v>0</v>
      </c>
      <c r="C969" s="20">
        <f>'Landscape Trees '!D827</f>
        <v>0</v>
      </c>
      <c r="D969" s="20">
        <f>'Landscape Trees '!E827</f>
        <v>0</v>
      </c>
      <c r="E969" s="20">
        <f>'Landscape Trees '!F827</f>
        <v>0</v>
      </c>
      <c r="F969" s="20">
        <f>'Landscape Trees '!G827</f>
        <v>0</v>
      </c>
      <c r="G969" s="20">
        <f>'Landscape Trees '!H827</f>
        <v>0</v>
      </c>
      <c r="H969" s="20">
        <f>'Landscape Trees '!I827</f>
        <v>0</v>
      </c>
    </row>
    <row r="970" spans="1:8" ht="12.75">
      <c r="A970" s="20">
        <f>'Landscape Trees '!A828</f>
        <v>0</v>
      </c>
      <c r="B970" s="20">
        <f>'Landscape Trees '!C828</f>
        <v>0</v>
      </c>
      <c r="C970" s="20">
        <f>'Landscape Trees '!D828</f>
        <v>0</v>
      </c>
      <c r="D970" s="20">
        <f>'Landscape Trees '!E828</f>
        <v>0</v>
      </c>
      <c r="E970" s="20">
        <f>'Landscape Trees '!F828</f>
        <v>0</v>
      </c>
      <c r="F970" s="20">
        <f>'Landscape Trees '!G828</f>
        <v>0</v>
      </c>
      <c r="G970" s="20">
        <f>'Landscape Trees '!H828</f>
        <v>0</v>
      </c>
      <c r="H970" s="20">
        <f>'Landscape Trees '!I828</f>
        <v>0</v>
      </c>
    </row>
    <row r="971" spans="1:8" ht="12.75">
      <c r="A971" s="20">
        <f>'Landscape Trees '!A829</f>
        <v>0</v>
      </c>
      <c r="B971" s="20">
        <f>'Landscape Trees '!C829</f>
        <v>0</v>
      </c>
      <c r="C971" s="20">
        <f>'Landscape Trees '!D829</f>
        <v>0</v>
      </c>
      <c r="D971" s="20">
        <f>'Landscape Trees '!E829</f>
        <v>0</v>
      </c>
      <c r="E971" s="20">
        <f>'Landscape Trees '!F829</f>
        <v>0</v>
      </c>
      <c r="F971" s="20">
        <f>'Landscape Trees '!G829</f>
        <v>0</v>
      </c>
      <c r="G971" s="20">
        <f>'Landscape Trees '!H829</f>
        <v>0</v>
      </c>
      <c r="H971" s="20">
        <f>'Landscape Trees '!I829</f>
        <v>0</v>
      </c>
    </row>
    <row r="972" spans="1:8" ht="12.75">
      <c r="A972" s="20">
        <f>'Landscape Trees '!A830</f>
        <v>0</v>
      </c>
      <c r="B972" s="20">
        <f>'Landscape Trees '!C830</f>
        <v>0</v>
      </c>
      <c r="C972" s="20">
        <f>'Landscape Trees '!D830</f>
        <v>0</v>
      </c>
      <c r="D972" s="20">
        <f>'Landscape Trees '!E830</f>
        <v>0</v>
      </c>
      <c r="E972" s="20">
        <f>'Landscape Trees '!F830</f>
        <v>0</v>
      </c>
      <c r="F972" s="20">
        <f>'Landscape Trees '!G830</f>
        <v>0</v>
      </c>
      <c r="G972" s="20">
        <f>'Landscape Trees '!H830</f>
        <v>0</v>
      </c>
      <c r="H972" s="20">
        <f>'Landscape Trees '!I830</f>
        <v>0</v>
      </c>
    </row>
    <row r="973" spans="1:8" ht="12.75">
      <c r="A973" s="20">
        <f>'Landscape Trees '!A831</f>
        <v>0</v>
      </c>
      <c r="B973" s="20">
        <f>'Landscape Trees '!C831</f>
        <v>0</v>
      </c>
      <c r="C973" s="20">
        <f>'Landscape Trees '!D831</f>
        <v>0</v>
      </c>
      <c r="D973" s="20">
        <f>'Landscape Trees '!E831</f>
        <v>0</v>
      </c>
      <c r="E973" s="20">
        <f>'Landscape Trees '!F831</f>
        <v>0</v>
      </c>
      <c r="F973" s="20">
        <f>'Landscape Trees '!G831</f>
        <v>0</v>
      </c>
      <c r="G973" s="20">
        <f>'Landscape Trees '!H831</f>
        <v>0</v>
      </c>
      <c r="H973" s="20">
        <f>'Landscape Trees '!I831</f>
        <v>0</v>
      </c>
    </row>
    <row r="974" spans="1:8" ht="12.75">
      <c r="A974" s="20">
        <f>'Landscape Trees '!A832</f>
        <v>0</v>
      </c>
      <c r="B974" s="20">
        <f>'Landscape Trees '!C832</f>
        <v>0</v>
      </c>
      <c r="C974" s="20">
        <f>'Landscape Trees '!D832</f>
        <v>0</v>
      </c>
      <c r="D974" s="20">
        <f>'Landscape Trees '!E832</f>
        <v>0</v>
      </c>
      <c r="E974" s="20">
        <f>'Landscape Trees '!F832</f>
        <v>0</v>
      </c>
      <c r="F974" s="20">
        <f>'Landscape Trees '!G832</f>
        <v>0</v>
      </c>
      <c r="G974" s="20">
        <f>'Landscape Trees '!H832</f>
        <v>0</v>
      </c>
      <c r="H974" s="20">
        <f>'Landscape Trees '!I832</f>
        <v>0</v>
      </c>
    </row>
    <row r="975" spans="1:8" ht="12.75">
      <c r="A975" s="20">
        <f>'Landscape Trees '!A833</f>
        <v>0</v>
      </c>
      <c r="B975" s="20">
        <f>'Landscape Trees '!C833</f>
        <v>0</v>
      </c>
      <c r="C975" s="20">
        <f>'Landscape Trees '!D833</f>
        <v>0</v>
      </c>
      <c r="D975" s="20">
        <f>'Landscape Trees '!E833</f>
        <v>0</v>
      </c>
      <c r="E975" s="20">
        <f>'Landscape Trees '!F833</f>
        <v>0</v>
      </c>
      <c r="F975" s="20">
        <f>'Landscape Trees '!G833</f>
        <v>0</v>
      </c>
      <c r="G975" s="20">
        <f>'Landscape Trees '!H833</f>
        <v>0</v>
      </c>
      <c r="H975" s="20">
        <f>'Landscape Trees '!I833</f>
        <v>0</v>
      </c>
    </row>
    <row r="976" spans="1:8" ht="12.75">
      <c r="A976" s="20">
        <f>'Landscape Trees '!A834</f>
        <v>0</v>
      </c>
      <c r="B976" s="20">
        <f>'Landscape Trees '!C834</f>
        <v>0</v>
      </c>
      <c r="C976" s="20">
        <f>'Landscape Trees '!D834</f>
        <v>0</v>
      </c>
      <c r="D976" s="20">
        <f>'Landscape Trees '!E834</f>
        <v>0</v>
      </c>
      <c r="E976" s="20">
        <f>'Landscape Trees '!F834</f>
        <v>0</v>
      </c>
      <c r="F976" s="20">
        <f>'Landscape Trees '!G834</f>
        <v>0</v>
      </c>
      <c r="G976" s="20">
        <f>'Landscape Trees '!H834</f>
        <v>0</v>
      </c>
      <c r="H976" s="20">
        <f>'Landscape Trees '!I834</f>
        <v>0</v>
      </c>
    </row>
    <row r="977" spans="1:8" ht="12.75">
      <c r="A977" s="20">
        <f>'Landscape Trees '!A835</f>
        <v>0</v>
      </c>
      <c r="B977" s="20">
        <f>'Landscape Trees '!C835</f>
        <v>0</v>
      </c>
      <c r="C977" s="20">
        <f>'Landscape Trees '!D835</f>
        <v>0</v>
      </c>
      <c r="D977" s="20">
        <f>'Landscape Trees '!E835</f>
        <v>0</v>
      </c>
      <c r="E977" s="20">
        <f>'Landscape Trees '!F835</f>
        <v>0</v>
      </c>
      <c r="F977" s="20">
        <f>'Landscape Trees '!G835</f>
        <v>0</v>
      </c>
      <c r="G977" s="20">
        <f>'Landscape Trees '!H835</f>
        <v>0</v>
      </c>
      <c r="H977" s="20">
        <f>'Landscape Trees '!I835</f>
        <v>0</v>
      </c>
    </row>
    <row r="978" spans="1:8" ht="12.75">
      <c r="A978" s="20">
        <f>'Landscape Trees '!A836</f>
        <v>0</v>
      </c>
      <c r="B978" s="20">
        <f>'Landscape Trees '!C836</f>
        <v>0</v>
      </c>
      <c r="C978" s="20">
        <f>'Landscape Trees '!D836</f>
        <v>0</v>
      </c>
      <c r="D978" s="20">
        <f>'Landscape Trees '!E836</f>
        <v>0</v>
      </c>
      <c r="E978" s="20">
        <f>'Landscape Trees '!F836</f>
        <v>0</v>
      </c>
      <c r="F978" s="20">
        <f>'Landscape Trees '!G836</f>
        <v>0</v>
      </c>
      <c r="G978" s="20">
        <f>'Landscape Trees '!H836</f>
        <v>0</v>
      </c>
      <c r="H978" s="20">
        <f>'Landscape Trees '!I836</f>
        <v>0</v>
      </c>
    </row>
    <row r="979" spans="1:8" ht="12.75">
      <c r="A979" s="20">
        <f>'Landscape Trees '!A837</f>
        <v>0</v>
      </c>
      <c r="B979" s="20">
        <f>'Landscape Trees '!C837</f>
        <v>0</v>
      </c>
      <c r="C979" s="20">
        <f>'Landscape Trees '!D837</f>
        <v>0</v>
      </c>
      <c r="D979" s="20">
        <f>'Landscape Trees '!E837</f>
        <v>0</v>
      </c>
      <c r="E979" s="20">
        <f>'Landscape Trees '!F837</f>
        <v>0</v>
      </c>
      <c r="F979" s="20">
        <f>'Landscape Trees '!G837</f>
        <v>0</v>
      </c>
      <c r="G979" s="20">
        <f>'Landscape Trees '!H837</f>
        <v>0</v>
      </c>
      <c r="H979" s="20">
        <f>'Landscape Trees '!I837</f>
        <v>0</v>
      </c>
    </row>
    <row r="980" spans="1:8" ht="12.75">
      <c r="A980" s="20">
        <f>'Landscape Trees '!A838</f>
        <v>0</v>
      </c>
      <c r="B980" s="20">
        <f>'Landscape Trees '!C838</f>
        <v>0</v>
      </c>
      <c r="C980" s="20">
        <f>'Landscape Trees '!D838</f>
        <v>0</v>
      </c>
      <c r="D980" s="20">
        <f>'Landscape Trees '!E838</f>
        <v>0</v>
      </c>
      <c r="E980" s="20">
        <f>'Landscape Trees '!F838</f>
        <v>0</v>
      </c>
      <c r="F980" s="20">
        <f>'Landscape Trees '!G838</f>
        <v>0</v>
      </c>
      <c r="G980" s="20">
        <f>'Landscape Trees '!H838</f>
        <v>0</v>
      </c>
      <c r="H980" s="20">
        <f>'Landscape Trees '!I838</f>
        <v>0</v>
      </c>
    </row>
    <row r="981" spans="1:8" ht="12.75">
      <c r="A981" s="20">
        <f>'Landscape Trees '!A839</f>
        <v>0</v>
      </c>
      <c r="B981" s="20">
        <f>'Landscape Trees '!C839</f>
        <v>0</v>
      </c>
      <c r="C981" s="20">
        <f>'Landscape Trees '!D839</f>
        <v>0</v>
      </c>
      <c r="D981" s="20">
        <f>'Landscape Trees '!E839</f>
        <v>0</v>
      </c>
      <c r="E981" s="20">
        <f>'Landscape Trees '!F839</f>
        <v>0</v>
      </c>
      <c r="F981" s="20">
        <f>'Landscape Trees '!G839</f>
        <v>0</v>
      </c>
      <c r="G981" s="20">
        <f>'Landscape Trees '!H839</f>
        <v>0</v>
      </c>
      <c r="H981" s="20">
        <f>'Landscape Trees '!I839</f>
        <v>0</v>
      </c>
    </row>
    <row r="982" spans="1:8" ht="12.75">
      <c r="A982" s="20">
        <f>'Landscape Trees '!A840</f>
        <v>0</v>
      </c>
      <c r="B982" s="20">
        <f>'Landscape Trees '!C840</f>
        <v>0</v>
      </c>
      <c r="C982" s="20">
        <f>'Landscape Trees '!D840</f>
        <v>0</v>
      </c>
      <c r="D982" s="20">
        <f>'Landscape Trees '!E840</f>
        <v>0</v>
      </c>
      <c r="E982" s="20">
        <f>'Landscape Trees '!F840</f>
        <v>0</v>
      </c>
      <c r="F982" s="20">
        <f>'Landscape Trees '!G840</f>
        <v>0</v>
      </c>
      <c r="G982" s="20">
        <f>'Landscape Trees '!H840</f>
        <v>0</v>
      </c>
      <c r="H982" s="20">
        <f>'Landscape Trees '!I840</f>
        <v>0</v>
      </c>
    </row>
    <row r="983" spans="1:8" ht="12.75">
      <c r="A983" s="20">
        <f>'Landscape Trees '!A841</f>
        <v>0</v>
      </c>
      <c r="B983" s="20">
        <f>'Landscape Trees '!C841</f>
        <v>0</v>
      </c>
      <c r="C983" s="20">
        <f>'Landscape Trees '!D841</f>
        <v>0</v>
      </c>
      <c r="D983" s="20">
        <f>'Landscape Trees '!E841</f>
        <v>0</v>
      </c>
      <c r="E983" s="20">
        <f>'Landscape Trees '!F841</f>
        <v>0</v>
      </c>
      <c r="F983" s="20">
        <f>'Landscape Trees '!G841</f>
        <v>0</v>
      </c>
      <c r="G983" s="20">
        <f>'Landscape Trees '!H841</f>
        <v>0</v>
      </c>
      <c r="H983" s="20">
        <f>'Landscape Trees '!I841</f>
        <v>0</v>
      </c>
    </row>
    <row r="984" spans="1:8" ht="12.75">
      <c r="A984" s="20">
        <f>'Landscape Trees '!A842</f>
        <v>0</v>
      </c>
      <c r="B984" s="20">
        <f>'Landscape Trees '!C842</f>
        <v>0</v>
      </c>
      <c r="C984" s="20">
        <f>'Landscape Trees '!D842</f>
        <v>0</v>
      </c>
      <c r="D984" s="20">
        <f>'Landscape Trees '!E842</f>
        <v>0</v>
      </c>
      <c r="E984" s="20">
        <f>'Landscape Trees '!F842</f>
        <v>0</v>
      </c>
      <c r="F984" s="20">
        <f>'Landscape Trees '!G842</f>
        <v>0</v>
      </c>
      <c r="G984" s="20">
        <f>'Landscape Trees '!H842</f>
        <v>0</v>
      </c>
      <c r="H984" s="20">
        <f>'Landscape Trees '!I842</f>
        <v>0</v>
      </c>
    </row>
    <row r="985" spans="1:8" ht="12.75">
      <c r="A985" s="20">
        <f>'Landscape Trees '!A843</f>
        <v>0</v>
      </c>
      <c r="B985" s="20">
        <f>'Landscape Trees '!C843</f>
        <v>0</v>
      </c>
      <c r="C985" s="20">
        <f>'Landscape Trees '!D843</f>
        <v>0</v>
      </c>
      <c r="D985" s="20">
        <f>'Landscape Trees '!E843</f>
        <v>0</v>
      </c>
      <c r="E985" s="20">
        <f>'Landscape Trees '!F843</f>
        <v>0</v>
      </c>
      <c r="F985" s="20">
        <f>'Landscape Trees '!G843</f>
        <v>0</v>
      </c>
      <c r="G985" s="20">
        <f>'Landscape Trees '!H843</f>
        <v>0</v>
      </c>
      <c r="H985" s="20">
        <f>'Landscape Trees '!I843</f>
        <v>0</v>
      </c>
    </row>
    <row r="986" spans="1:8" ht="12.75">
      <c r="A986" s="20">
        <f>'Landscape Trees '!A844</f>
        <v>0</v>
      </c>
      <c r="B986" s="20">
        <f>'Landscape Trees '!C844</f>
        <v>0</v>
      </c>
      <c r="C986" s="20">
        <f>'Landscape Trees '!D844</f>
        <v>0</v>
      </c>
      <c r="D986" s="20">
        <f>'Landscape Trees '!E844</f>
        <v>0</v>
      </c>
      <c r="E986" s="20">
        <f>'Landscape Trees '!F844</f>
        <v>0</v>
      </c>
      <c r="F986" s="20">
        <f>'Landscape Trees '!G844</f>
        <v>0</v>
      </c>
      <c r="G986" s="20">
        <f>'Landscape Trees '!H844</f>
        <v>0</v>
      </c>
      <c r="H986" s="20">
        <f>'Landscape Trees '!I844</f>
        <v>0</v>
      </c>
    </row>
    <row r="987" spans="1:8" ht="12.75">
      <c r="A987" s="20">
        <f>'Landscape Trees '!A845</f>
        <v>0</v>
      </c>
      <c r="B987" s="20">
        <f>'Landscape Trees '!C845</f>
        <v>0</v>
      </c>
      <c r="C987" s="20">
        <f>'Landscape Trees '!D845</f>
        <v>0</v>
      </c>
      <c r="D987" s="20">
        <f>'Landscape Trees '!E845</f>
        <v>0</v>
      </c>
      <c r="E987" s="20">
        <f>'Landscape Trees '!F845</f>
        <v>0</v>
      </c>
      <c r="F987" s="20">
        <f>'Landscape Trees '!G845</f>
        <v>0</v>
      </c>
      <c r="G987" s="20">
        <f>'Landscape Trees '!H845</f>
        <v>0</v>
      </c>
      <c r="H987" s="20">
        <f>'Landscape Trees '!I845</f>
        <v>0</v>
      </c>
    </row>
    <row r="988" spans="1:8" ht="12.75">
      <c r="A988" s="20">
        <f>'Landscape Trees '!A846</f>
        <v>0</v>
      </c>
      <c r="B988" s="20">
        <f>'Landscape Trees '!C846</f>
        <v>0</v>
      </c>
      <c r="C988" s="20">
        <f>'Landscape Trees '!D846</f>
        <v>0</v>
      </c>
      <c r="D988" s="20">
        <f>'Landscape Trees '!E846</f>
        <v>0</v>
      </c>
      <c r="E988" s="20">
        <f>'Landscape Trees '!F846</f>
        <v>0</v>
      </c>
      <c r="F988" s="20">
        <f>'Landscape Trees '!G846</f>
        <v>0</v>
      </c>
      <c r="G988" s="20">
        <f>'Landscape Trees '!H846</f>
        <v>0</v>
      </c>
      <c r="H988" s="20">
        <f>'Landscape Trees '!I846</f>
        <v>0</v>
      </c>
    </row>
    <row r="989" spans="1:8" ht="12.75">
      <c r="A989" s="20">
        <f>'Landscape Trees '!A847</f>
        <v>0</v>
      </c>
      <c r="B989" s="20">
        <f>'Landscape Trees '!C847</f>
        <v>0</v>
      </c>
      <c r="C989" s="20">
        <f>'Landscape Trees '!D847</f>
        <v>0</v>
      </c>
      <c r="D989" s="20">
        <f>'Landscape Trees '!E847</f>
        <v>0</v>
      </c>
      <c r="E989" s="20">
        <f>'Landscape Trees '!F847</f>
        <v>0</v>
      </c>
      <c r="F989" s="20">
        <f>'Landscape Trees '!G847</f>
        <v>0</v>
      </c>
      <c r="G989" s="20">
        <f>'Landscape Trees '!H847</f>
        <v>0</v>
      </c>
      <c r="H989" s="20">
        <f>'Landscape Trees '!I847</f>
        <v>0</v>
      </c>
    </row>
    <row r="990" spans="1:8" ht="12.75">
      <c r="A990" s="20">
        <f>'Landscape Trees '!A848</f>
        <v>0</v>
      </c>
      <c r="B990" s="20">
        <f>'Landscape Trees '!C848</f>
        <v>0</v>
      </c>
      <c r="C990" s="20">
        <f>'Landscape Trees '!D848</f>
        <v>0</v>
      </c>
      <c r="D990" s="20">
        <f>'Landscape Trees '!E848</f>
        <v>0</v>
      </c>
      <c r="E990" s="20">
        <f>'Landscape Trees '!F848</f>
        <v>0</v>
      </c>
      <c r="F990" s="20">
        <f>'Landscape Trees '!G848</f>
        <v>0</v>
      </c>
      <c r="G990" s="20">
        <f>'Landscape Trees '!H848</f>
        <v>0</v>
      </c>
      <c r="H990" s="20">
        <f>'Landscape Trees '!I848</f>
        <v>0</v>
      </c>
    </row>
    <row r="991" spans="1:8" ht="12.75">
      <c r="A991" s="20">
        <f>'Landscape Trees '!A849</f>
        <v>0</v>
      </c>
      <c r="B991" s="20">
        <f>'Landscape Trees '!C849</f>
        <v>0</v>
      </c>
      <c r="C991" s="20">
        <f>'Landscape Trees '!D849</f>
        <v>0</v>
      </c>
      <c r="D991" s="20">
        <f>'Landscape Trees '!E849</f>
        <v>0</v>
      </c>
      <c r="E991" s="20">
        <f>'Landscape Trees '!F849</f>
        <v>0</v>
      </c>
      <c r="F991" s="20">
        <f>'Landscape Trees '!G849</f>
        <v>0</v>
      </c>
      <c r="G991" s="20">
        <f>'Landscape Trees '!H849</f>
        <v>0</v>
      </c>
      <c r="H991" s="20">
        <f>'Landscape Trees '!I849</f>
        <v>0</v>
      </c>
    </row>
    <row r="992" spans="1:8" ht="12.75">
      <c r="A992" s="20">
        <f>'Landscape Trees '!A850</f>
        <v>0</v>
      </c>
      <c r="B992" s="20">
        <f>'Landscape Trees '!C850</f>
        <v>0</v>
      </c>
      <c r="C992" s="20">
        <f>'Landscape Trees '!D850</f>
        <v>0</v>
      </c>
      <c r="D992" s="20">
        <f>'Landscape Trees '!E850</f>
        <v>0</v>
      </c>
      <c r="E992" s="20">
        <f>'Landscape Trees '!F850</f>
        <v>0</v>
      </c>
      <c r="F992" s="20">
        <f>'Landscape Trees '!G850</f>
        <v>0</v>
      </c>
      <c r="G992" s="20">
        <f>'Landscape Trees '!H850</f>
        <v>0</v>
      </c>
      <c r="H992" s="20">
        <f>'Landscape Trees '!I850</f>
        <v>0</v>
      </c>
    </row>
    <row r="993" spans="1:8" ht="12.75">
      <c r="A993" s="20">
        <f>'Landscape Trees '!A851</f>
        <v>0</v>
      </c>
      <c r="B993" s="20">
        <f>'Landscape Trees '!C851</f>
        <v>0</v>
      </c>
      <c r="C993" s="20">
        <f>'Landscape Trees '!D851</f>
        <v>0</v>
      </c>
      <c r="D993" s="20">
        <f>'Landscape Trees '!E851</f>
        <v>0</v>
      </c>
      <c r="E993" s="20">
        <f>'Landscape Trees '!F851</f>
        <v>0</v>
      </c>
      <c r="F993" s="20">
        <f>'Landscape Trees '!G851</f>
        <v>0</v>
      </c>
      <c r="G993" s="20">
        <f>'Landscape Trees '!H851</f>
        <v>0</v>
      </c>
      <c r="H993" s="20">
        <f>'Landscape Trees '!I851</f>
        <v>0</v>
      </c>
    </row>
    <row r="994" spans="1:8" ht="12.75">
      <c r="A994" s="20">
        <f>'Landscape Trees '!A852</f>
        <v>0</v>
      </c>
      <c r="B994" s="20">
        <f>'Landscape Trees '!C852</f>
        <v>0</v>
      </c>
      <c r="C994" s="20">
        <f>'Landscape Trees '!D852</f>
        <v>0</v>
      </c>
      <c r="D994" s="20">
        <f>'Landscape Trees '!E852</f>
        <v>0</v>
      </c>
      <c r="E994" s="20">
        <f>'Landscape Trees '!F852</f>
        <v>0</v>
      </c>
      <c r="F994" s="20">
        <f>'Landscape Trees '!G852</f>
        <v>0</v>
      </c>
      <c r="G994" s="20">
        <f>'Landscape Trees '!H852</f>
        <v>0</v>
      </c>
      <c r="H994" s="20">
        <f>'Landscape Trees '!I852</f>
        <v>0</v>
      </c>
    </row>
    <row r="995" spans="1:8" ht="12.75">
      <c r="A995" s="20">
        <f>'Landscape Trees '!A853</f>
        <v>0</v>
      </c>
      <c r="B995" s="20">
        <f>'Landscape Trees '!C853</f>
        <v>0</v>
      </c>
      <c r="C995" s="20">
        <f>'Landscape Trees '!D853</f>
        <v>0</v>
      </c>
      <c r="D995" s="20">
        <f>'Landscape Trees '!E853</f>
        <v>0</v>
      </c>
      <c r="E995" s="20">
        <f>'Landscape Trees '!F853</f>
        <v>0</v>
      </c>
      <c r="F995" s="20">
        <f>'Landscape Trees '!G853</f>
        <v>0</v>
      </c>
      <c r="G995" s="20">
        <f>'Landscape Trees '!H853</f>
        <v>0</v>
      </c>
      <c r="H995" s="20">
        <f>'Landscape Trees '!I853</f>
        <v>0</v>
      </c>
    </row>
    <row r="996" spans="1:8" ht="12.75">
      <c r="A996" s="20">
        <f>'Landscape Trees '!A854</f>
        <v>0</v>
      </c>
      <c r="B996" s="20">
        <f>'Landscape Trees '!C854</f>
        <v>0</v>
      </c>
      <c r="C996" s="20">
        <f>'Landscape Trees '!D854</f>
        <v>0</v>
      </c>
      <c r="D996" s="20">
        <f>'Landscape Trees '!E854</f>
        <v>0</v>
      </c>
      <c r="E996" s="20">
        <f>'Landscape Trees '!F854</f>
        <v>0</v>
      </c>
      <c r="F996" s="20">
        <f>'Landscape Trees '!G854</f>
        <v>0</v>
      </c>
      <c r="G996" s="20">
        <f>'Landscape Trees '!H854</f>
        <v>0</v>
      </c>
      <c r="H996" s="20">
        <f>'Landscape Trees '!I854</f>
        <v>0</v>
      </c>
    </row>
    <row r="997" spans="1:8" ht="12.75">
      <c r="A997" s="20">
        <f>'Landscape Trees '!A855</f>
        <v>0</v>
      </c>
      <c r="B997" s="20">
        <f>'Landscape Trees '!C855</f>
        <v>0</v>
      </c>
      <c r="C997" s="20">
        <f>'Landscape Trees '!D855</f>
        <v>0</v>
      </c>
      <c r="D997" s="20">
        <f>'Landscape Trees '!E855</f>
        <v>0</v>
      </c>
      <c r="E997" s="20">
        <f>'Landscape Trees '!F855</f>
        <v>0</v>
      </c>
      <c r="F997" s="20">
        <f>'Landscape Trees '!G855</f>
        <v>0</v>
      </c>
      <c r="G997" s="20">
        <f>'Landscape Trees '!H855</f>
        <v>0</v>
      </c>
      <c r="H997" s="20">
        <f>'Landscape Trees '!I855</f>
        <v>0</v>
      </c>
    </row>
    <row r="998" spans="1:8" ht="12.75">
      <c r="A998" s="20">
        <f>'Landscape Trees '!A856</f>
        <v>0</v>
      </c>
      <c r="B998" s="20">
        <f>'Landscape Trees '!C856</f>
        <v>0</v>
      </c>
      <c r="C998" s="20">
        <f>'Landscape Trees '!D856</f>
        <v>0</v>
      </c>
      <c r="D998" s="20">
        <f>'Landscape Trees '!E856</f>
        <v>0</v>
      </c>
      <c r="E998" s="20">
        <f>'Landscape Trees '!F856</f>
        <v>0</v>
      </c>
      <c r="F998" s="20">
        <f>'Landscape Trees '!G856</f>
        <v>0</v>
      </c>
      <c r="G998" s="20">
        <f>'Landscape Trees '!H856</f>
        <v>0</v>
      </c>
      <c r="H998" s="20">
        <f>'Landscape Trees '!I856</f>
        <v>0</v>
      </c>
    </row>
    <row r="999" spans="1:8" ht="12.75">
      <c r="A999" s="20">
        <f>'Landscape Trees '!A857</f>
        <v>0</v>
      </c>
      <c r="B999" s="20">
        <f>'Landscape Trees '!C857</f>
        <v>0</v>
      </c>
      <c r="C999" s="20">
        <f>'Landscape Trees '!D857</f>
        <v>0</v>
      </c>
      <c r="D999" s="20">
        <f>'Landscape Trees '!E857</f>
        <v>0</v>
      </c>
      <c r="E999" s="20">
        <f>'Landscape Trees '!F857</f>
        <v>0</v>
      </c>
      <c r="F999" s="20">
        <f>'Landscape Trees '!G857</f>
        <v>0</v>
      </c>
      <c r="G999" s="20">
        <f>'Landscape Trees '!H857</f>
        <v>0</v>
      </c>
      <c r="H999" s="20">
        <f>'Landscape Trees '!I857</f>
        <v>0</v>
      </c>
    </row>
    <row r="1000" spans="1:8" ht="12.75">
      <c r="A1000" s="20">
        <f>'Landscape Trees '!A858</f>
        <v>0</v>
      </c>
      <c r="B1000" s="20">
        <f>'Landscape Trees '!C858</f>
        <v>0</v>
      </c>
      <c r="C1000" s="20">
        <f>'Landscape Trees '!D858</f>
        <v>0</v>
      </c>
      <c r="D1000" s="20">
        <f>'Landscape Trees '!E858</f>
        <v>0</v>
      </c>
      <c r="E1000" s="20">
        <f>'Landscape Trees '!F858</f>
        <v>0</v>
      </c>
      <c r="F1000" s="20">
        <f>'Landscape Trees '!G858</f>
        <v>0</v>
      </c>
      <c r="G1000" s="20">
        <f>'Landscape Trees '!H858</f>
        <v>0</v>
      </c>
      <c r="H1000" s="20">
        <f>'Landscape Trees '!I858</f>
        <v>0</v>
      </c>
    </row>
    <row r="1001" spans="1:8" ht="12.75">
      <c r="A1001" s="20">
        <f>'Landscape Trees '!A859</f>
        <v>0</v>
      </c>
      <c r="B1001" s="20">
        <f>'Landscape Trees '!C859</f>
        <v>0</v>
      </c>
      <c r="C1001" s="20">
        <f>'Landscape Trees '!D859</f>
        <v>0</v>
      </c>
      <c r="D1001" s="20">
        <f>'Landscape Trees '!E859</f>
        <v>0</v>
      </c>
      <c r="E1001" s="20">
        <f>'Landscape Trees '!F859</f>
        <v>0</v>
      </c>
      <c r="F1001" s="20">
        <f>'Landscape Trees '!G859</f>
        <v>0</v>
      </c>
      <c r="G1001" s="20">
        <f>'Landscape Trees '!H859</f>
        <v>0</v>
      </c>
      <c r="H1001" s="20">
        <f>'Landscape Trees '!I859</f>
        <v>0</v>
      </c>
    </row>
    <row r="1002" spans="1:8" ht="12.75">
      <c r="A1002" s="20">
        <f>'Landscape Trees '!A860</f>
        <v>0</v>
      </c>
      <c r="B1002" s="20">
        <f>'Landscape Trees '!C860</f>
        <v>0</v>
      </c>
      <c r="C1002" s="20">
        <f>'Landscape Trees '!D860</f>
        <v>0</v>
      </c>
      <c r="D1002" s="20">
        <f>'Landscape Trees '!E860</f>
        <v>0</v>
      </c>
      <c r="E1002" s="20">
        <f>'Landscape Trees '!F860</f>
        <v>0</v>
      </c>
      <c r="F1002" s="20">
        <f>'Landscape Trees '!G860</f>
        <v>0</v>
      </c>
      <c r="G1002" s="20">
        <f>'Landscape Trees '!H860</f>
        <v>0</v>
      </c>
      <c r="H1002" s="20">
        <f>'Landscape Trees '!I860</f>
        <v>0</v>
      </c>
    </row>
    <row r="1003" spans="1:8" ht="12.75">
      <c r="A1003" s="20">
        <f>'Landscape Trees '!A861</f>
        <v>0</v>
      </c>
      <c r="B1003" s="20">
        <f>'Landscape Trees '!C861</f>
        <v>0</v>
      </c>
      <c r="C1003" s="20">
        <f>'Landscape Trees '!D861</f>
        <v>0</v>
      </c>
      <c r="D1003" s="20">
        <f>'Landscape Trees '!E861</f>
        <v>0</v>
      </c>
      <c r="E1003" s="20">
        <f>'Landscape Trees '!F861</f>
        <v>0</v>
      </c>
      <c r="F1003" s="20">
        <f>'Landscape Trees '!G861</f>
        <v>0</v>
      </c>
      <c r="G1003" s="20">
        <f>'Landscape Trees '!H861</f>
        <v>0</v>
      </c>
      <c r="H1003" s="20">
        <f>'Landscape Trees '!I861</f>
        <v>0</v>
      </c>
    </row>
    <row r="1004" spans="1:8" ht="12.75">
      <c r="A1004" s="20">
        <f>'Landscape Trees '!A862</f>
        <v>0</v>
      </c>
      <c r="B1004" s="20">
        <f>'Landscape Trees '!C862</f>
        <v>0</v>
      </c>
      <c r="C1004" s="20">
        <f>'Landscape Trees '!D862</f>
        <v>0</v>
      </c>
      <c r="D1004" s="20">
        <f>'Landscape Trees '!E862</f>
        <v>0</v>
      </c>
      <c r="E1004" s="20">
        <f>'Landscape Trees '!F862</f>
        <v>0</v>
      </c>
      <c r="F1004" s="20">
        <f>'Landscape Trees '!G862</f>
        <v>0</v>
      </c>
      <c r="G1004" s="20">
        <f>'Landscape Trees '!H862</f>
        <v>0</v>
      </c>
      <c r="H1004" s="20">
        <f>'Landscape Trees '!I862</f>
        <v>0</v>
      </c>
    </row>
    <row r="1005" spans="1:8" ht="12.75">
      <c r="A1005" s="20">
        <f>'Landscape Trees '!A863</f>
        <v>0</v>
      </c>
      <c r="B1005" s="20">
        <f>'Landscape Trees '!C863</f>
        <v>0</v>
      </c>
      <c r="C1005" s="20">
        <f>'Landscape Trees '!D863</f>
        <v>0</v>
      </c>
      <c r="D1005" s="20">
        <f>'Landscape Trees '!E863</f>
        <v>0</v>
      </c>
      <c r="E1005" s="20">
        <f>'Landscape Trees '!F863</f>
        <v>0</v>
      </c>
      <c r="F1005" s="20">
        <f>'Landscape Trees '!G863</f>
        <v>0</v>
      </c>
      <c r="G1005" s="20">
        <f>'Landscape Trees '!H863</f>
        <v>0</v>
      </c>
      <c r="H1005" s="20">
        <f>'Landscape Trees '!I863</f>
        <v>0</v>
      </c>
    </row>
    <row r="1006" spans="1:8" ht="12.75">
      <c r="A1006" s="20">
        <f>'Landscape Trees '!A864</f>
        <v>0</v>
      </c>
      <c r="B1006" s="20">
        <f>'Landscape Trees '!C864</f>
        <v>0</v>
      </c>
      <c r="C1006" s="20">
        <f>'Landscape Trees '!D864</f>
        <v>0</v>
      </c>
      <c r="D1006" s="20">
        <f>'Landscape Trees '!E864</f>
        <v>0</v>
      </c>
      <c r="E1006" s="20">
        <f>'Landscape Trees '!F864</f>
        <v>0</v>
      </c>
      <c r="F1006" s="20">
        <f>'Landscape Trees '!G864</f>
        <v>0</v>
      </c>
      <c r="G1006" s="20">
        <f>'Landscape Trees '!H864</f>
        <v>0</v>
      </c>
      <c r="H1006" s="20">
        <f>'Landscape Trees '!I864</f>
        <v>0</v>
      </c>
    </row>
    <row r="1007" spans="1:8" ht="12.75">
      <c r="A1007" s="20">
        <f>'Landscape Trees '!A865</f>
        <v>0</v>
      </c>
      <c r="B1007" s="20">
        <f>'Landscape Trees '!C865</f>
        <v>0</v>
      </c>
      <c r="C1007" s="20">
        <f>'Landscape Trees '!D865</f>
        <v>0</v>
      </c>
      <c r="D1007" s="20">
        <f>'Landscape Trees '!E865</f>
        <v>0</v>
      </c>
      <c r="E1007" s="20">
        <f>'Landscape Trees '!F865</f>
        <v>0</v>
      </c>
      <c r="F1007" s="20">
        <f>'Landscape Trees '!G865</f>
        <v>0</v>
      </c>
      <c r="G1007" s="20">
        <f>'Landscape Trees '!H865</f>
        <v>0</v>
      </c>
      <c r="H1007" s="20">
        <f>'Landscape Trees '!I865</f>
        <v>0</v>
      </c>
    </row>
    <row r="1008" spans="1:8" ht="12.75">
      <c r="A1008" s="20">
        <f>'Landscape Trees '!A866</f>
        <v>0</v>
      </c>
      <c r="B1008" s="20">
        <f>'Landscape Trees '!C866</f>
        <v>0</v>
      </c>
      <c r="C1008" s="20">
        <f>'Landscape Trees '!D866</f>
        <v>0</v>
      </c>
      <c r="D1008" s="20">
        <f>'Landscape Trees '!E866</f>
        <v>0</v>
      </c>
      <c r="E1008" s="20">
        <f>'Landscape Trees '!F866</f>
        <v>0</v>
      </c>
      <c r="F1008" s="20">
        <f>'Landscape Trees '!G866</f>
        <v>0</v>
      </c>
      <c r="G1008" s="20">
        <f>'Landscape Trees '!H866</f>
        <v>0</v>
      </c>
      <c r="H1008" s="20">
        <f>'Landscape Trees '!I866</f>
        <v>0</v>
      </c>
    </row>
    <row r="1009" spans="1:8" ht="12.75">
      <c r="A1009" s="20">
        <f>'Landscape Trees '!A867</f>
        <v>0</v>
      </c>
      <c r="B1009" s="20">
        <f>'Landscape Trees '!C867</f>
        <v>0</v>
      </c>
      <c r="C1009" s="20">
        <f>'Landscape Trees '!D867</f>
        <v>0</v>
      </c>
      <c r="D1009" s="20">
        <f>'Landscape Trees '!E867</f>
        <v>0</v>
      </c>
      <c r="E1009" s="20">
        <f>'Landscape Trees '!F867</f>
        <v>0</v>
      </c>
      <c r="F1009" s="20">
        <f>'Landscape Trees '!G867</f>
        <v>0</v>
      </c>
      <c r="G1009" s="20">
        <f>'Landscape Trees '!H867</f>
        <v>0</v>
      </c>
      <c r="H1009" s="20">
        <f>'Landscape Trees '!I867</f>
        <v>0</v>
      </c>
    </row>
    <row r="1010" spans="1:8" ht="12.75">
      <c r="A1010" s="20">
        <f>'Landscape Trees '!A868</f>
        <v>0</v>
      </c>
      <c r="B1010" s="20">
        <f>'Landscape Trees '!C868</f>
        <v>0</v>
      </c>
      <c r="C1010" s="20">
        <f>'Landscape Trees '!D868</f>
        <v>0</v>
      </c>
      <c r="D1010" s="20">
        <f>'Landscape Trees '!E868</f>
        <v>0</v>
      </c>
      <c r="E1010" s="20">
        <f>'Landscape Trees '!F868</f>
        <v>0</v>
      </c>
      <c r="F1010" s="20">
        <f>'Landscape Trees '!G868</f>
        <v>0</v>
      </c>
      <c r="G1010" s="20">
        <f>'Landscape Trees '!H868</f>
        <v>0</v>
      </c>
      <c r="H1010" s="20">
        <f>'Landscape Trees '!I868</f>
        <v>0</v>
      </c>
    </row>
    <row r="1011" spans="1:8" ht="12.75">
      <c r="A1011" s="20">
        <f>'Landscape Trees '!A869</f>
        <v>0</v>
      </c>
      <c r="B1011" s="20">
        <f>'Landscape Trees '!C869</f>
        <v>0</v>
      </c>
      <c r="C1011" s="20">
        <f>'Landscape Trees '!D869</f>
        <v>0</v>
      </c>
      <c r="D1011" s="20">
        <f>'Landscape Trees '!E869</f>
        <v>0</v>
      </c>
      <c r="E1011" s="20">
        <f>'Landscape Trees '!F869</f>
        <v>0</v>
      </c>
      <c r="F1011" s="20">
        <f>'Landscape Trees '!G869</f>
        <v>0</v>
      </c>
      <c r="G1011" s="20">
        <f>'Landscape Trees '!H869</f>
        <v>0</v>
      </c>
      <c r="H1011" s="20">
        <f>'Landscape Trees '!I869</f>
        <v>0</v>
      </c>
    </row>
    <row r="1012" spans="1:8" ht="12.75">
      <c r="A1012" s="20">
        <f>'Landscape Trees '!A870</f>
        <v>0</v>
      </c>
      <c r="B1012" s="20">
        <f>'Landscape Trees '!C870</f>
        <v>0</v>
      </c>
      <c r="C1012" s="20">
        <f>'Landscape Trees '!D870</f>
        <v>0</v>
      </c>
      <c r="D1012" s="20">
        <f>'Landscape Trees '!E870</f>
        <v>0</v>
      </c>
      <c r="E1012" s="20">
        <f>'Landscape Trees '!F870</f>
        <v>0</v>
      </c>
      <c r="F1012" s="20">
        <f>'Landscape Trees '!G870</f>
        <v>0</v>
      </c>
      <c r="G1012" s="20">
        <f>'Landscape Trees '!H870</f>
        <v>0</v>
      </c>
      <c r="H1012" s="20">
        <f>'Landscape Trees '!I870</f>
        <v>0</v>
      </c>
    </row>
    <row r="1013" spans="1:8" ht="12.75">
      <c r="A1013" s="20">
        <f>'Landscape Trees '!A871</f>
        <v>0</v>
      </c>
      <c r="B1013" s="20">
        <f>'Landscape Trees '!C871</f>
        <v>0</v>
      </c>
      <c r="C1013" s="20">
        <f>'Landscape Trees '!D871</f>
        <v>0</v>
      </c>
      <c r="D1013" s="20">
        <f>'Landscape Trees '!E871</f>
        <v>0</v>
      </c>
      <c r="E1013" s="20">
        <f>'Landscape Trees '!F871</f>
        <v>0</v>
      </c>
      <c r="F1013" s="20">
        <f>'Landscape Trees '!G871</f>
        <v>0</v>
      </c>
      <c r="G1013" s="20">
        <f>'Landscape Trees '!H871</f>
        <v>0</v>
      </c>
      <c r="H1013" s="20">
        <f>'Landscape Trees '!I871</f>
        <v>0</v>
      </c>
    </row>
    <row r="1014" spans="1:8" ht="12.75">
      <c r="A1014" s="20">
        <f>'Landscape Trees '!A872</f>
        <v>0</v>
      </c>
      <c r="B1014" s="20">
        <f>'Landscape Trees '!C872</f>
        <v>0</v>
      </c>
      <c r="C1014" s="20">
        <f>'Landscape Trees '!D872</f>
        <v>0</v>
      </c>
      <c r="D1014" s="20">
        <f>'Landscape Trees '!E872</f>
        <v>0</v>
      </c>
      <c r="E1014" s="20">
        <f>'Landscape Trees '!F872</f>
        <v>0</v>
      </c>
      <c r="F1014" s="20">
        <f>'Landscape Trees '!G872</f>
        <v>0</v>
      </c>
      <c r="G1014" s="20">
        <f>'Landscape Trees '!H872</f>
        <v>0</v>
      </c>
      <c r="H1014" s="20">
        <f>'Landscape Trees '!I872</f>
        <v>0</v>
      </c>
    </row>
    <row r="1015" spans="1:8" ht="12.75">
      <c r="A1015" s="20">
        <f>'Landscape Trees '!A873</f>
        <v>0</v>
      </c>
      <c r="B1015" s="20">
        <f>'Landscape Trees '!C873</f>
        <v>0</v>
      </c>
      <c r="C1015" s="20">
        <f>'Landscape Trees '!D873</f>
        <v>0</v>
      </c>
      <c r="D1015" s="20">
        <f>'Landscape Trees '!E873</f>
        <v>0</v>
      </c>
      <c r="E1015" s="20">
        <f>'Landscape Trees '!F873</f>
        <v>0</v>
      </c>
      <c r="F1015" s="20">
        <f>'Landscape Trees '!G873</f>
        <v>0</v>
      </c>
      <c r="G1015" s="20">
        <f>'Landscape Trees '!H873</f>
        <v>0</v>
      </c>
      <c r="H1015" s="20">
        <f>'Landscape Trees '!I873</f>
        <v>0</v>
      </c>
    </row>
    <row r="1016" spans="1:8" ht="12.75">
      <c r="A1016" s="20">
        <f>'Landscape Trees '!A874</f>
        <v>0</v>
      </c>
      <c r="B1016" s="20">
        <f>'Landscape Trees '!C874</f>
        <v>0</v>
      </c>
      <c r="C1016" s="20">
        <f>'Landscape Trees '!D874</f>
        <v>0</v>
      </c>
      <c r="D1016" s="20">
        <f>'Landscape Trees '!E874</f>
        <v>0</v>
      </c>
      <c r="E1016" s="20">
        <f>'Landscape Trees '!F874</f>
        <v>0</v>
      </c>
      <c r="F1016" s="20">
        <f>'Landscape Trees '!G874</f>
        <v>0</v>
      </c>
      <c r="G1016" s="20">
        <f>'Landscape Trees '!H874</f>
        <v>0</v>
      </c>
      <c r="H1016" s="20">
        <f>'Landscape Trees '!I874</f>
        <v>0</v>
      </c>
    </row>
    <row r="1017" spans="1:8" ht="12.75">
      <c r="A1017" s="20">
        <f>'Landscape Trees '!A875</f>
        <v>0</v>
      </c>
      <c r="B1017" s="20">
        <f>'Landscape Trees '!C875</f>
        <v>0</v>
      </c>
      <c r="C1017" s="20">
        <f>'Landscape Trees '!D875</f>
        <v>0</v>
      </c>
      <c r="D1017" s="20">
        <f>'Landscape Trees '!E875</f>
        <v>0</v>
      </c>
      <c r="E1017" s="20">
        <f>'Landscape Trees '!F875</f>
        <v>0</v>
      </c>
      <c r="F1017" s="20">
        <f>'Landscape Trees '!G875</f>
        <v>0</v>
      </c>
      <c r="G1017" s="20">
        <f>'Landscape Trees '!H875</f>
        <v>0</v>
      </c>
      <c r="H1017" s="20">
        <f>'Landscape Trees '!I875</f>
        <v>0</v>
      </c>
    </row>
    <row r="1018" spans="1:8" ht="12.75">
      <c r="A1018" s="20">
        <f>'Landscape Trees '!A876</f>
        <v>0</v>
      </c>
      <c r="B1018" s="20">
        <f>'Landscape Trees '!C876</f>
        <v>0</v>
      </c>
      <c r="C1018" s="20">
        <f>'Landscape Trees '!D876</f>
        <v>0</v>
      </c>
      <c r="D1018" s="20">
        <f>'Landscape Trees '!E876</f>
        <v>0</v>
      </c>
      <c r="E1018" s="20">
        <f>'Landscape Trees '!F876</f>
        <v>0</v>
      </c>
      <c r="F1018" s="20">
        <f>'Landscape Trees '!G876</f>
        <v>0</v>
      </c>
      <c r="G1018" s="20">
        <f>'Landscape Trees '!H876</f>
        <v>0</v>
      </c>
      <c r="H1018" s="20">
        <f>'Landscape Trees '!I876</f>
        <v>0</v>
      </c>
    </row>
    <row r="1019" spans="1:8" ht="12.75">
      <c r="A1019" s="20">
        <f>'Landscape Trees '!A877</f>
        <v>0</v>
      </c>
      <c r="B1019" s="20">
        <f>'Landscape Trees '!C877</f>
        <v>0</v>
      </c>
      <c r="C1019" s="20">
        <f>'Landscape Trees '!D877</f>
        <v>0</v>
      </c>
      <c r="D1019" s="20">
        <f>'Landscape Trees '!E877</f>
        <v>0</v>
      </c>
      <c r="E1019" s="20">
        <f>'Landscape Trees '!F877</f>
        <v>0</v>
      </c>
      <c r="F1019" s="20">
        <f>'Landscape Trees '!G877</f>
        <v>0</v>
      </c>
      <c r="G1019" s="20">
        <f>'Landscape Trees '!H877</f>
        <v>0</v>
      </c>
      <c r="H1019" s="20">
        <f>'Landscape Trees '!I877</f>
        <v>0</v>
      </c>
    </row>
    <row r="1020" spans="1:8" ht="12.75">
      <c r="A1020" s="20">
        <f>'Landscape Trees '!A878</f>
        <v>0</v>
      </c>
      <c r="B1020" s="20">
        <f>'Landscape Trees '!C878</f>
        <v>0</v>
      </c>
      <c r="C1020" s="20">
        <f>'Landscape Trees '!D878</f>
        <v>0</v>
      </c>
      <c r="D1020" s="20">
        <f>'Landscape Trees '!E878</f>
        <v>0</v>
      </c>
      <c r="E1020" s="20">
        <f>'Landscape Trees '!F878</f>
        <v>0</v>
      </c>
      <c r="F1020" s="20">
        <f>'Landscape Trees '!G878</f>
        <v>0</v>
      </c>
      <c r="G1020" s="20">
        <f>'Landscape Trees '!H878</f>
        <v>0</v>
      </c>
      <c r="H1020" s="20">
        <f>'Landscape Trees '!I878</f>
        <v>0</v>
      </c>
    </row>
    <row r="1021" spans="1:8" ht="12.75">
      <c r="A1021" s="20">
        <f>'Landscape Trees '!A879</f>
        <v>0</v>
      </c>
      <c r="B1021" s="20">
        <f>'Landscape Trees '!C879</f>
        <v>0</v>
      </c>
      <c r="C1021" s="20">
        <f>'Landscape Trees '!D879</f>
        <v>0</v>
      </c>
      <c r="D1021" s="20">
        <f>'Landscape Trees '!E879</f>
        <v>0</v>
      </c>
      <c r="E1021" s="20">
        <f>'Landscape Trees '!F879</f>
        <v>0</v>
      </c>
      <c r="F1021" s="20">
        <f>'Landscape Trees '!G879</f>
        <v>0</v>
      </c>
      <c r="G1021" s="20">
        <f>'Landscape Trees '!H879</f>
        <v>0</v>
      </c>
      <c r="H1021" s="20">
        <f>'Landscape Trees '!I879</f>
        <v>0</v>
      </c>
    </row>
    <row r="1022" spans="1:8" ht="12.75">
      <c r="A1022" s="20">
        <f>'Landscape Trees '!A880</f>
        <v>0</v>
      </c>
      <c r="B1022" s="20">
        <f>'Landscape Trees '!C880</f>
        <v>0</v>
      </c>
      <c r="C1022" s="20">
        <f>'Landscape Trees '!D880</f>
        <v>0</v>
      </c>
      <c r="D1022" s="20">
        <f>'Landscape Trees '!E880</f>
        <v>0</v>
      </c>
      <c r="E1022" s="20">
        <f>'Landscape Trees '!F880</f>
        <v>0</v>
      </c>
      <c r="F1022" s="20">
        <f>'Landscape Trees '!G880</f>
        <v>0</v>
      </c>
      <c r="G1022" s="20">
        <f>'Landscape Trees '!H880</f>
        <v>0</v>
      </c>
      <c r="H1022" s="20">
        <f>'Landscape Trees '!I880</f>
        <v>0</v>
      </c>
    </row>
    <row r="1023" spans="1:8" ht="12.75">
      <c r="A1023" s="20">
        <f>'Landscape Trees '!A881</f>
        <v>0</v>
      </c>
      <c r="B1023" s="20">
        <f>'Landscape Trees '!C881</f>
        <v>0</v>
      </c>
      <c r="C1023" s="20">
        <f>'Landscape Trees '!D881</f>
        <v>0</v>
      </c>
      <c r="D1023" s="20">
        <f>'Landscape Trees '!E881</f>
        <v>0</v>
      </c>
      <c r="E1023" s="20">
        <f>'Landscape Trees '!F881</f>
        <v>0</v>
      </c>
      <c r="F1023" s="20">
        <f>'Landscape Trees '!G881</f>
        <v>0</v>
      </c>
      <c r="G1023" s="20">
        <f>'Landscape Trees '!H881</f>
        <v>0</v>
      </c>
      <c r="H1023" s="20">
        <f>'Landscape Trees '!I881</f>
        <v>0</v>
      </c>
    </row>
    <row r="1024" spans="1:8" ht="12.75">
      <c r="A1024" s="20">
        <f>'Landscape Trees '!A882</f>
        <v>0</v>
      </c>
      <c r="B1024" s="20">
        <f>'Landscape Trees '!C882</f>
        <v>0</v>
      </c>
      <c r="C1024" s="20">
        <f>'Landscape Trees '!D882</f>
        <v>0</v>
      </c>
      <c r="D1024" s="20">
        <f>'Landscape Trees '!E882</f>
        <v>0</v>
      </c>
      <c r="E1024" s="20">
        <f>'Landscape Trees '!F882</f>
        <v>0</v>
      </c>
      <c r="F1024" s="20">
        <f>'Landscape Trees '!G882</f>
        <v>0</v>
      </c>
      <c r="G1024" s="20">
        <f>'Landscape Trees '!H882</f>
        <v>0</v>
      </c>
      <c r="H1024" s="20">
        <f>'Landscape Trees '!I882</f>
        <v>0</v>
      </c>
    </row>
    <row r="1025" spans="1:8" ht="12.75">
      <c r="A1025" s="20">
        <f>'Landscape Trees '!A883</f>
        <v>0</v>
      </c>
      <c r="B1025" s="20">
        <f>'Landscape Trees '!C883</f>
        <v>0</v>
      </c>
      <c r="C1025" s="20">
        <f>'Landscape Trees '!D883</f>
        <v>0</v>
      </c>
      <c r="D1025" s="20">
        <f>'Landscape Trees '!E883</f>
        <v>0</v>
      </c>
      <c r="E1025" s="20">
        <f>'Landscape Trees '!F883</f>
        <v>0</v>
      </c>
      <c r="F1025" s="20">
        <f>'Landscape Trees '!G883</f>
        <v>0</v>
      </c>
      <c r="G1025" s="20">
        <f>'Landscape Trees '!H883</f>
        <v>0</v>
      </c>
      <c r="H1025" s="20">
        <f>'Landscape Trees '!I883</f>
        <v>0</v>
      </c>
    </row>
    <row r="1026" spans="1:8" ht="12.75">
      <c r="A1026" s="20">
        <f>'Landscape Trees '!A884</f>
        <v>0</v>
      </c>
      <c r="B1026" s="20">
        <f>'Landscape Trees '!C884</f>
        <v>0</v>
      </c>
      <c r="C1026" s="20">
        <f>'Landscape Trees '!D884</f>
        <v>0</v>
      </c>
      <c r="D1026" s="20">
        <f>'Landscape Trees '!E884</f>
        <v>0</v>
      </c>
      <c r="E1026" s="20">
        <f>'Landscape Trees '!F884</f>
        <v>0</v>
      </c>
      <c r="F1026" s="20">
        <f>'Landscape Trees '!G884</f>
        <v>0</v>
      </c>
      <c r="G1026" s="20">
        <f>'Landscape Trees '!H884</f>
        <v>0</v>
      </c>
      <c r="H1026" s="20">
        <f>'Landscape Trees '!I884</f>
        <v>0</v>
      </c>
    </row>
    <row r="1027" spans="1:8" ht="12.75">
      <c r="A1027" s="20">
        <f>'Landscape Trees '!A885</f>
        <v>0</v>
      </c>
      <c r="B1027" s="20">
        <f>'Landscape Trees '!C885</f>
        <v>0</v>
      </c>
      <c r="C1027" s="20">
        <f>'Landscape Trees '!D885</f>
        <v>0</v>
      </c>
      <c r="D1027" s="20">
        <f>'Landscape Trees '!E885</f>
        <v>0</v>
      </c>
      <c r="E1027" s="20">
        <f>'Landscape Trees '!F885</f>
        <v>0</v>
      </c>
      <c r="F1027" s="20">
        <f>'Landscape Trees '!G885</f>
        <v>0</v>
      </c>
      <c r="G1027" s="20">
        <f>'Landscape Trees '!H885</f>
        <v>0</v>
      </c>
      <c r="H1027" s="20">
        <f>'Landscape Trees '!I885</f>
        <v>0</v>
      </c>
    </row>
    <row r="1028" spans="1:8" ht="12.75">
      <c r="A1028" s="20">
        <f>'Landscape Trees '!A886</f>
        <v>0</v>
      </c>
      <c r="B1028" s="20">
        <f>'Landscape Trees '!C886</f>
        <v>0</v>
      </c>
      <c r="C1028" s="20">
        <f>'Landscape Trees '!D886</f>
        <v>0</v>
      </c>
      <c r="D1028" s="20">
        <f>'Landscape Trees '!E886</f>
        <v>0</v>
      </c>
      <c r="E1028" s="20">
        <f>'Landscape Trees '!F886</f>
        <v>0</v>
      </c>
      <c r="F1028" s="20">
        <f>'Landscape Trees '!G886</f>
        <v>0</v>
      </c>
      <c r="G1028" s="20">
        <f>'Landscape Trees '!H886</f>
        <v>0</v>
      </c>
      <c r="H1028" s="20">
        <f>'Landscape Trees '!I886</f>
        <v>0</v>
      </c>
    </row>
    <row r="1029" spans="1:8" ht="12.75">
      <c r="A1029" s="20">
        <f>'Landscape Trees '!A887</f>
        <v>0</v>
      </c>
      <c r="B1029" s="20">
        <f>'Landscape Trees '!C887</f>
        <v>0</v>
      </c>
      <c r="C1029" s="20">
        <f>'Landscape Trees '!D887</f>
        <v>0</v>
      </c>
      <c r="D1029" s="20">
        <f>'Landscape Trees '!E887</f>
        <v>0</v>
      </c>
      <c r="E1029" s="20">
        <f>'Landscape Trees '!F887</f>
        <v>0</v>
      </c>
      <c r="F1029" s="20">
        <f>'Landscape Trees '!G887</f>
        <v>0</v>
      </c>
      <c r="G1029" s="20">
        <f>'Landscape Trees '!H887</f>
        <v>0</v>
      </c>
      <c r="H1029" s="20">
        <f>'Landscape Trees '!I887</f>
        <v>0</v>
      </c>
    </row>
    <row r="1030" spans="1:8" ht="12.75">
      <c r="A1030" s="20">
        <f>'Landscape Trees '!A888</f>
        <v>0</v>
      </c>
      <c r="B1030" s="20">
        <f>'Landscape Trees '!C888</f>
        <v>0</v>
      </c>
      <c r="C1030" s="20">
        <f>'Landscape Trees '!D888</f>
        <v>0</v>
      </c>
      <c r="D1030" s="20">
        <f>'Landscape Trees '!E888</f>
        <v>0</v>
      </c>
      <c r="E1030" s="20">
        <f>'Landscape Trees '!F888</f>
        <v>0</v>
      </c>
      <c r="F1030" s="20">
        <f>'Landscape Trees '!G888</f>
        <v>0</v>
      </c>
      <c r="G1030" s="20">
        <f>'Landscape Trees '!H888</f>
        <v>0</v>
      </c>
      <c r="H1030" s="20">
        <f>'Landscape Trees '!I888</f>
        <v>0</v>
      </c>
    </row>
    <row r="1031" spans="1:8" ht="12.75">
      <c r="A1031" s="20">
        <f>'Landscape Trees '!A889</f>
        <v>0</v>
      </c>
      <c r="B1031" s="20">
        <f>'Landscape Trees '!C889</f>
        <v>0</v>
      </c>
      <c r="C1031" s="20">
        <f>'Landscape Trees '!D889</f>
        <v>0</v>
      </c>
      <c r="D1031" s="20">
        <f>'Landscape Trees '!E889</f>
        <v>0</v>
      </c>
      <c r="E1031" s="20">
        <f>'Landscape Trees '!F889</f>
        <v>0</v>
      </c>
      <c r="F1031" s="20">
        <f>'Landscape Trees '!G889</f>
        <v>0</v>
      </c>
      <c r="G1031" s="20">
        <f>'Landscape Trees '!H889</f>
        <v>0</v>
      </c>
      <c r="H1031" s="20">
        <f>'Landscape Trees '!I889</f>
        <v>0</v>
      </c>
    </row>
    <row r="1032" spans="1:8" ht="12.75">
      <c r="A1032" s="20">
        <f>'Landscape Trees '!A890</f>
        <v>0</v>
      </c>
      <c r="B1032" s="20">
        <f>'Landscape Trees '!C890</f>
        <v>0</v>
      </c>
      <c r="C1032" s="20">
        <f>'Landscape Trees '!D890</f>
        <v>0</v>
      </c>
      <c r="D1032" s="20">
        <f>'Landscape Trees '!E890</f>
        <v>0</v>
      </c>
      <c r="E1032" s="20">
        <f>'Landscape Trees '!F890</f>
        <v>0</v>
      </c>
      <c r="F1032" s="20">
        <f>'Landscape Trees '!G890</f>
        <v>0</v>
      </c>
      <c r="G1032" s="20">
        <f>'Landscape Trees '!H890</f>
        <v>0</v>
      </c>
      <c r="H1032" s="20">
        <f>'Landscape Trees '!I890</f>
        <v>0</v>
      </c>
    </row>
    <row r="1033" spans="1:8" ht="12.75">
      <c r="A1033" s="20">
        <f>'Landscape Trees '!A891</f>
        <v>0</v>
      </c>
      <c r="B1033" s="20">
        <f>'Landscape Trees '!C891</f>
        <v>0</v>
      </c>
      <c r="C1033" s="20">
        <f>'Landscape Trees '!D891</f>
        <v>0</v>
      </c>
      <c r="D1033" s="20">
        <f>'Landscape Trees '!E891</f>
        <v>0</v>
      </c>
      <c r="E1033" s="20">
        <f>'Landscape Trees '!F891</f>
        <v>0</v>
      </c>
      <c r="F1033" s="20">
        <f>'Landscape Trees '!G891</f>
        <v>0</v>
      </c>
      <c r="G1033" s="20">
        <f>'Landscape Trees '!H891</f>
        <v>0</v>
      </c>
      <c r="H1033" s="20">
        <f>'Landscape Trees '!I891</f>
        <v>0</v>
      </c>
    </row>
    <row r="1034" spans="1:8" ht="12.75">
      <c r="A1034" s="20">
        <f>'Landscape Trees '!A892</f>
        <v>0</v>
      </c>
      <c r="B1034" s="20">
        <f>'Landscape Trees '!C892</f>
        <v>0</v>
      </c>
      <c r="C1034" s="20">
        <f>'Landscape Trees '!D892</f>
        <v>0</v>
      </c>
      <c r="D1034" s="20">
        <f>'Landscape Trees '!E892</f>
        <v>0</v>
      </c>
      <c r="E1034" s="20">
        <f>'Landscape Trees '!F892</f>
        <v>0</v>
      </c>
      <c r="F1034" s="20">
        <f>'Landscape Trees '!G892</f>
        <v>0</v>
      </c>
      <c r="G1034" s="20">
        <f>'Landscape Trees '!H892</f>
        <v>0</v>
      </c>
      <c r="H1034" s="20">
        <f>'Landscape Trees '!I892</f>
        <v>0</v>
      </c>
    </row>
    <row r="1035" spans="1:8" ht="12.75">
      <c r="A1035" s="20">
        <f>'Landscape Trees '!A893</f>
        <v>0</v>
      </c>
      <c r="B1035" s="20">
        <f>'Landscape Trees '!C893</f>
        <v>0</v>
      </c>
      <c r="C1035" s="20">
        <f>'Landscape Trees '!D893</f>
        <v>0</v>
      </c>
      <c r="D1035" s="20">
        <f>'Landscape Trees '!E893</f>
        <v>0</v>
      </c>
      <c r="E1035" s="20">
        <f>'Landscape Trees '!F893</f>
        <v>0</v>
      </c>
      <c r="F1035" s="20">
        <f>'Landscape Trees '!G893</f>
        <v>0</v>
      </c>
      <c r="G1035" s="20">
        <f>'Landscape Trees '!H893</f>
        <v>0</v>
      </c>
      <c r="H1035" s="20">
        <f>'Landscape Trees '!I893</f>
        <v>0</v>
      </c>
    </row>
    <row r="1036" spans="1:8" ht="12.75">
      <c r="A1036" s="20">
        <f>'Landscape Trees '!A894</f>
        <v>0</v>
      </c>
      <c r="B1036" s="20">
        <f>'Landscape Trees '!C894</f>
        <v>0</v>
      </c>
      <c r="C1036" s="20">
        <f>'Landscape Trees '!D894</f>
        <v>0</v>
      </c>
      <c r="D1036" s="20">
        <f>'Landscape Trees '!E894</f>
        <v>0</v>
      </c>
      <c r="E1036" s="20">
        <f>'Landscape Trees '!F894</f>
        <v>0</v>
      </c>
      <c r="F1036" s="20">
        <f>'Landscape Trees '!G894</f>
        <v>0</v>
      </c>
      <c r="G1036" s="20">
        <f>'Landscape Trees '!H894</f>
        <v>0</v>
      </c>
      <c r="H1036" s="20">
        <f>'Landscape Trees '!I894</f>
        <v>0</v>
      </c>
    </row>
    <row r="1037" spans="1:8" ht="12.75">
      <c r="A1037" s="20">
        <f>'Landscape Trees '!A895</f>
        <v>0</v>
      </c>
      <c r="B1037" s="20">
        <f>'Landscape Trees '!C895</f>
        <v>0</v>
      </c>
      <c r="C1037" s="20">
        <f>'Landscape Trees '!D895</f>
        <v>0</v>
      </c>
      <c r="D1037" s="20">
        <f>'Landscape Trees '!E895</f>
        <v>0</v>
      </c>
      <c r="E1037" s="20">
        <f>'Landscape Trees '!F895</f>
        <v>0</v>
      </c>
      <c r="F1037" s="20">
        <f>'Landscape Trees '!G895</f>
        <v>0</v>
      </c>
      <c r="G1037" s="20">
        <f>'Landscape Trees '!H895</f>
        <v>0</v>
      </c>
      <c r="H1037" s="20">
        <f>'Landscape Trees '!I895</f>
        <v>0</v>
      </c>
    </row>
    <row r="1038" spans="1:8" ht="12.75">
      <c r="A1038" s="20">
        <f>'Landscape Trees '!A896</f>
        <v>0</v>
      </c>
      <c r="B1038" s="20">
        <f>'Landscape Trees '!C896</f>
        <v>0</v>
      </c>
      <c r="C1038" s="20">
        <f>'Landscape Trees '!D896</f>
        <v>0</v>
      </c>
      <c r="D1038" s="20">
        <f>'Landscape Trees '!E896</f>
        <v>0</v>
      </c>
      <c r="E1038" s="20">
        <f>'Landscape Trees '!F896</f>
        <v>0</v>
      </c>
      <c r="F1038" s="20">
        <f>'Landscape Trees '!G896</f>
        <v>0</v>
      </c>
      <c r="G1038" s="20">
        <f>'Landscape Trees '!H896</f>
        <v>0</v>
      </c>
      <c r="H1038" s="20">
        <f>'Landscape Trees '!I896</f>
        <v>0</v>
      </c>
    </row>
    <row r="1039" spans="1:8" ht="12.75">
      <c r="A1039" s="20">
        <f>'Landscape Trees '!A897</f>
        <v>0</v>
      </c>
      <c r="B1039" s="20">
        <f>'Landscape Trees '!C897</f>
        <v>0</v>
      </c>
      <c r="C1039" s="20">
        <f>'Landscape Trees '!D897</f>
        <v>0</v>
      </c>
      <c r="D1039" s="20">
        <f>'Landscape Trees '!E897</f>
        <v>0</v>
      </c>
      <c r="E1039" s="20">
        <f>'Landscape Trees '!F897</f>
        <v>0</v>
      </c>
      <c r="F1039" s="20">
        <f>'Landscape Trees '!G897</f>
        <v>0</v>
      </c>
      <c r="G1039" s="20">
        <f>'Landscape Trees '!H897</f>
        <v>0</v>
      </c>
      <c r="H1039" s="20">
        <f>'Landscape Trees '!I897</f>
        <v>0</v>
      </c>
    </row>
    <row r="1040" spans="1:8" ht="12.75">
      <c r="A1040" s="20">
        <f>'Landscape Trees '!A898</f>
        <v>0</v>
      </c>
      <c r="B1040" s="20">
        <f>'Landscape Trees '!C898</f>
        <v>0</v>
      </c>
      <c r="C1040" s="20">
        <f>'Landscape Trees '!D898</f>
        <v>0</v>
      </c>
      <c r="D1040" s="20">
        <f>'Landscape Trees '!E898</f>
        <v>0</v>
      </c>
      <c r="E1040" s="20">
        <f>'Landscape Trees '!F898</f>
        <v>0</v>
      </c>
      <c r="F1040" s="20">
        <f>'Landscape Trees '!G898</f>
        <v>0</v>
      </c>
      <c r="G1040" s="20">
        <f>'Landscape Trees '!H898</f>
        <v>0</v>
      </c>
      <c r="H1040" s="20">
        <f>'Landscape Trees '!I898</f>
        <v>0</v>
      </c>
    </row>
    <row r="1041" spans="1:8" ht="12.75">
      <c r="A1041" s="20">
        <f>'Landscape Trees '!A899</f>
        <v>0</v>
      </c>
      <c r="B1041" s="20">
        <f>'Landscape Trees '!C899</f>
        <v>0</v>
      </c>
      <c r="C1041" s="20">
        <f>'Landscape Trees '!D899</f>
        <v>0</v>
      </c>
      <c r="D1041" s="20">
        <f>'Landscape Trees '!E899</f>
        <v>0</v>
      </c>
      <c r="E1041" s="20">
        <f>'Landscape Trees '!F899</f>
        <v>0</v>
      </c>
      <c r="F1041" s="20">
        <f>'Landscape Trees '!G899</f>
        <v>0</v>
      </c>
      <c r="G1041" s="20">
        <f>'Landscape Trees '!H899</f>
        <v>0</v>
      </c>
      <c r="H1041" s="20">
        <f>'Landscape Trees '!I899</f>
        <v>0</v>
      </c>
    </row>
    <row r="1042" spans="1:8" ht="12.75">
      <c r="A1042" s="20">
        <f>'Landscape Trees '!A900</f>
        <v>0</v>
      </c>
      <c r="B1042" s="20">
        <f>'Landscape Trees '!C900</f>
        <v>0</v>
      </c>
      <c r="C1042" s="20">
        <f>'Landscape Trees '!D900</f>
        <v>0</v>
      </c>
      <c r="D1042" s="20">
        <f>'Landscape Trees '!E900</f>
        <v>0</v>
      </c>
      <c r="E1042" s="20">
        <f>'Landscape Trees '!F900</f>
        <v>0</v>
      </c>
      <c r="F1042" s="20">
        <f>'Landscape Trees '!G900</f>
        <v>0</v>
      </c>
      <c r="G1042" s="20">
        <f>'Landscape Trees '!H900</f>
        <v>0</v>
      </c>
      <c r="H1042" s="20">
        <f>'Landscape Trees '!I900</f>
        <v>0</v>
      </c>
    </row>
    <row r="1043" spans="1:8" ht="12.75">
      <c r="A1043" s="20">
        <f>'Landscape Trees '!A901</f>
        <v>0</v>
      </c>
      <c r="B1043" s="20">
        <f>'Landscape Trees '!C901</f>
        <v>0</v>
      </c>
      <c r="C1043" s="20">
        <f>'Landscape Trees '!D901</f>
        <v>0</v>
      </c>
      <c r="D1043" s="20">
        <f>'Landscape Trees '!E901</f>
        <v>0</v>
      </c>
      <c r="E1043" s="20">
        <f>'Landscape Trees '!F901</f>
        <v>0</v>
      </c>
      <c r="F1043" s="20">
        <f>'Landscape Trees '!G901</f>
        <v>0</v>
      </c>
      <c r="G1043" s="20">
        <f>'Landscape Trees '!H901</f>
        <v>0</v>
      </c>
      <c r="H1043" s="20">
        <f>'Landscape Trees '!I901</f>
        <v>0</v>
      </c>
    </row>
    <row r="1044" spans="1:8" ht="12.75">
      <c r="A1044" s="20">
        <f>'Landscape Trees '!A902</f>
        <v>0</v>
      </c>
      <c r="B1044" s="20">
        <f>'Landscape Trees '!C902</f>
        <v>0</v>
      </c>
      <c r="C1044" s="20">
        <f>'Landscape Trees '!D902</f>
        <v>0</v>
      </c>
      <c r="D1044" s="20">
        <f>'Landscape Trees '!E902</f>
        <v>0</v>
      </c>
      <c r="E1044" s="20">
        <f>'Landscape Trees '!F902</f>
        <v>0</v>
      </c>
      <c r="F1044" s="20">
        <f>'Landscape Trees '!G902</f>
        <v>0</v>
      </c>
      <c r="G1044" s="20">
        <f>'Landscape Trees '!H902</f>
        <v>0</v>
      </c>
      <c r="H1044" s="20">
        <f>'Landscape Trees '!I902</f>
        <v>0</v>
      </c>
    </row>
    <row r="1045" spans="1:8" ht="12.75">
      <c r="A1045" s="20">
        <f>'Landscape Trees '!A903</f>
        <v>0</v>
      </c>
      <c r="B1045" s="20">
        <f>'Landscape Trees '!C903</f>
        <v>0</v>
      </c>
      <c r="C1045" s="20">
        <f>'Landscape Trees '!D903</f>
        <v>0</v>
      </c>
      <c r="D1045" s="20">
        <f>'Landscape Trees '!E903</f>
        <v>0</v>
      </c>
      <c r="E1045" s="20">
        <f>'Landscape Trees '!F903</f>
        <v>0</v>
      </c>
      <c r="F1045" s="20">
        <f>'Landscape Trees '!G903</f>
        <v>0</v>
      </c>
      <c r="G1045" s="20">
        <f>'Landscape Trees '!H903</f>
        <v>0</v>
      </c>
      <c r="H1045" s="20">
        <f>'Landscape Trees '!I903</f>
        <v>0</v>
      </c>
    </row>
    <row r="1046" spans="1:8" ht="12.75">
      <c r="A1046" s="20">
        <f>'Landscape Trees '!A904</f>
        <v>0</v>
      </c>
      <c r="B1046" s="20">
        <f>'Landscape Trees '!C904</f>
        <v>0</v>
      </c>
      <c r="C1046" s="20">
        <f>'Landscape Trees '!D904</f>
        <v>0</v>
      </c>
      <c r="D1046" s="20">
        <f>'Landscape Trees '!E904</f>
        <v>0</v>
      </c>
      <c r="E1046" s="20">
        <f>'Landscape Trees '!F904</f>
        <v>0</v>
      </c>
      <c r="F1046" s="20">
        <f>'Landscape Trees '!G904</f>
        <v>0</v>
      </c>
      <c r="G1046" s="20">
        <f>'Landscape Trees '!H904</f>
        <v>0</v>
      </c>
      <c r="H1046" s="20">
        <f>'Landscape Trees '!I904</f>
        <v>0</v>
      </c>
    </row>
    <row r="1047" spans="1:8" ht="12.75">
      <c r="A1047" s="20">
        <f>'Landscape Trees '!A905</f>
        <v>0</v>
      </c>
      <c r="B1047" s="20">
        <f>'Landscape Trees '!C905</f>
        <v>0</v>
      </c>
      <c r="C1047" s="20">
        <f>'Landscape Trees '!D905</f>
        <v>0</v>
      </c>
      <c r="D1047" s="20">
        <f>'Landscape Trees '!E905</f>
        <v>0</v>
      </c>
      <c r="E1047" s="20">
        <f>'Landscape Trees '!F905</f>
        <v>0</v>
      </c>
      <c r="F1047" s="20">
        <f>'Landscape Trees '!G905</f>
        <v>0</v>
      </c>
      <c r="G1047" s="20">
        <f>'Landscape Trees '!H905</f>
        <v>0</v>
      </c>
      <c r="H1047" s="20">
        <f>'Landscape Trees '!I905</f>
        <v>0</v>
      </c>
    </row>
    <row r="1048" spans="1:8" ht="12.75">
      <c r="A1048" s="20">
        <f>'Landscape Trees '!A906</f>
        <v>0</v>
      </c>
      <c r="B1048" s="20">
        <f>'Landscape Trees '!C906</f>
        <v>0</v>
      </c>
      <c r="C1048" s="20">
        <f>'Landscape Trees '!D906</f>
        <v>0</v>
      </c>
      <c r="D1048" s="20">
        <f>'Landscape Trees '!E906</f>
        <v>0</v>
      </c>
      <c r="E1048" s="20">
        <f>'Landscape Trees '!F906</f>
        <v>0</v>
      </c>
      <c r="F1048" s="20">
        <f>'Landscape Trees '!G906</f>
        <v>0</v>
      </c>
      <c r="G1048" s="20">
        <f>'Landscape Trees '!H906</f>
        <v>0</v>
      </c>
      <c r="H1048" s="20">
        <f>'Landscape Trees '!I906</f>
        <v>0</v>
      </c>
    </row>
    <row r="1049" spans="1:8" ht="12.75">
      <c r="A1049" s="20">
        <f>'Landscape Trees '!A907</f>
        <v>0</v>
      </c>
      <c r="B1049" s="20">
        <f>'Landscape Trees '!C907</f>
        <v>0</v>
      </c>
      <c r="C1049" s="20">
        <f>'Landscape Trees '!D907</f>
        <v>0</v>
      </c>
      <c r="D1049" s="20">
        <f>'Landscape Trees '!E907</f>
        <v>0</v>
      </c>
      <c r="E1049" s="20">
        <f>'Landscape Trees '!F907</f>
        <v>0</v>
      </c>
      <c r="F1049" s="20">
        <f>'Landscape Trees '!G907</f>
        <v>0</v>
      </c>
      <c r="G1049" s="20">
        <f>'Landscape Trees '!H907</f>
        <v>0</v>
      </c>
      <c r="H1049" s="20">
        <f>'Landscape Trees '!I907</f>
        <v>0</v>
      </c>
    </row>
    <row r="1050" spans="1:8" ht="12.75">
      <c r="A1050" s="20">
        <f>'Landscape Trees '!A908</f>
        <v>0</v>
      </c>
      <c r="B1050" s="20">
        <f>'Landscape Trees '!C908</f>
        <v>0</v>
      </c>
      <c r="C1050" s="20">
        <f>'Landscape Trees '!D908</f>
        <v>0</v>
      </c>
      <c r="D1050" s="20">
        <f>'Landscape Trees '!E908</f>
        <v>0</v>
      </c>
      <c r="E1050" s="20">
        <f>'Landscape Trees '!F908</f>
        <v>0</v>
      </c>
      <c r="F1050" s="20">
        <f>'Landscape Trees '!G908</f>
        <v>0</v>
      </c>
      <c r="G1050" s="20">
        <f>'Landscape Trees '!H908</f>
        <v>0</v>
      </c>
      <c r="H1050" s="20">
        <f>'Landscape Trees '!I908</f>
        <v>0</v>
      </c>
    </row>
    <row r="1051" spans="1:8" ht="12.75">
      <c r="A1051" s="20">
        <f>'Landscape Trees '!A909</f>
        <v>0</v>
      </c>
      <c r="B1051" s="20">
        <f>'Landscape Trees '!C909</f>
        <v>0</v>
      </c>
      <c r="C1051" s="20">
        <f>'Landscape Trees '!D909</f>
        <v>0</v>
      </c>
      <c r="D1051" s="20">
        <f>'Landscape Trees '!E909</f>
        <v>0</v>
      </c>
      <c r="E1051" s="20">
        <f>'Landscape Trees '!F909</f>
        <v>0</v>
      </c>
      <c r="F1051" s="20">
        <f>'Landscape Trees '!G909</f>
        <v>0</v>
      </c>
      <c r="G1051" s="20">
        <f>'Landscape Trees '!H909</f>
        <v>0</v>
      </c>
      <c r="H1051" s="20">
        <f>'Landscape Trees '!I909</f>
        <v>0</v>
      </c>
    </row>
    <row r="1052" spans="1:8" ht="12.75">
      <c r="A1052" s="20">
        <f>'Landscape Trees '!A910</f>
        <v>0</v>
      </c>
      <c r="B1052" s="20">
        <f>'Landscape Trees '!C910</f>
        <v>0</v>
      </c>
      <c r="C1052" s="20">
        <f>'Landscape Trees '!D910</f>
        <v>0</v>
      </c>
      <c r="D1052" s="20">
        <f>'Landscape Trees '!E910</f>
        <v>0</v>
      </c>
      <c r="E1052" s="20">
        <f>'Landscape Trees '!F910</f>
        <v>0</v>
      </c>
      <c r="F1052" s="20">
        <f>'Landscape Trees '!G910</f>
        <v>0</v>
      </c>
      <c r="G1052" s="20">
        <f>'Landscape Trees '!H910</f>
        <v>0</v>
      </c>
      <c r="H1052" s="20">
        <f>'Landscape Trees '!I910</f>
        <v>0</v>
      </c>
    </row>
    <row r="1053" spans="1:8" ht="12.75">
      <c r="A1053" s="20">
        <f>'Landscape Trees '!A911</f>
        <v>0</v>
      </c>
      <c r="B1053" s="20">
        <f>'Landscape Trees '!C911</f>
        <v>0</v>
      </c>
      <c r="C1053" s="20">
        <f>'Landscape Trees '!D911</f>
        <v>0</v>
      </c>
      <c r="D1053" s="20">
        <f>'Landscape Trees '!E911</f>
        <v>0</v>
      </c>
      <c r="E1053" s="20">
        <f>'Landscape Trees '!F911</f>
        <v>0</v>
      </c>
      <c r="F1053" s="20">
        <f>'Landscape Trees '!G911</f>
        <v>0</v>
      </c>
      <c r="G1053" s="20">
        <f>'Landscape Trees '!H911</f>
        <v>0</v>
      </c>
      <c r="H1053" s="20">
        <f>'Landscape Trees '!I911</f>
        <v>0</v>
      </c>
    </row>
    <row r="1054" spans="1:8" ht="12.75">
      <c r="A1054" s="20">
        <f>'Landscape Trees '!A912</f>
        <v>0</v>
      </c>
      <c r="B1054" s="20">
        <f>'Landscape Trees '!C912</f>
        <v>0</v>
      </c>
      <c r="C1054" s="20">
        <f>'Landscape Trees '!D912</f>
        <v>0</v>
      </c>
      <c r="D1054" s="20">
        <f>'Landscape Trees '!E912</f>
        <v>0</v>
      </c>
      <c r="E1054" s="20">
        <f>'Landscape Trees '!F912</f>
        <v>0</v>
      </c>
      <c r="F1054" s="20">
        <f>'Landscape Trees '!G912</f>
        <v>0</v>
      </c>
      <c r="G1054" s="20">
        <f>'Landscape Trees '!H912</f>
        <v>0</v>
      </c>
      <c r="H1054" s="20">
        <f>'Landscape Trees '!I912</f>
        <v>0</v>
      </c>
    </row>
    <row r="1055" spans="1:8" ht="12.75">
      <c r="A1055" s="20">
        <f>'Landscape Trees '!A913</f>
        <v>0</v>
      </c>
      <c r="B1055" s="20">
        <f>'Landscape Trees '!C913</f>
        <v>0</v>
      </c>
      <c r="C1055" s="20">
        <f>'Landscape Trees '!D913</f>
        <v>0</v>
      </c>
      <c r="D1055" s="20">
        <f>'Landscape Trees '!E913</f>
        <v>0</v>
      </c>
      <c r="E1055" s="20">
        <f>'Landscape Trees '!F913</f>
        <v>0</v>
      </c>
      <c r="F1055" s="20">
        <f>'Landscape Trees '!G913</f>
        <v>0</v>
      </c>
      <c r="G1055" s="20">
        <f>'Landscape Trees '!H913</f>
        <v>0</v>
      </c>
      <c r="H1055" s="20">
        <f>'Landscape Trees '!I913</f>
        <v>0</v>
      </c>
    </row>
    <row r="1056" spans="1:8" ht="12.75">
      <c r="A1056" s="20">
        <f>'Landscape Trees '!A914</f>
        <v>0</v>
      </c>
      <c r="B1056" s="20">
        <f>'Landscape Trees '!C914</f>
        <v>0</v>
      </c>
      <c r="C1056" s="20">
        <f>'Landscape Trees '!D914</f>
        <v>0</v>
      </c>
      <c r="D1056" s="20">
        <f>'Landscape Trees '!E914</f>
        <v>0</v>
      </c>
      <c r="E1056" s="20">
        <f>'Landscape Trees '!F914</f>
        <v>0</v>
      </c>
      <c r="F1056" s="20">
        <f>'Landscape Trees '!G914</f>
        <v>0</v>
      </c>
      <c r="G1056" s="20">
        <f>'Landscape Trees '!H914</f>
        <v>0</v>
      </c>
      <c r="H1056" s="20">
        <f>'Landscape Trees '!I914</f>
        <v>0</v>
      </c>
    </row>
    <row r="1057" spans="1:8" ht="12.75">
      <c r="A1057" s="20">
        <f>'Landscape Trees '!A915</f>
        <v>0</v>
      </c>
      <c r="B1057" s="20">
        <f>'Landscape Trees '!C915</f>
        <v>0</v>
      </c>
      <c r="C1057" s="20">
        <f>'Landscape Trees '!D915</f>
        <v>0</v>
      </c>
      <c r="D1057" s="20">
        <f>'Landscape Trees '!E915</f>
        <v>0</v>
      </c>
      <c r="E1057" s="20">
        <f>'Landscape Trees '!F915</f>
        <v>0</v>
      </c>
      <c r="F1057" s="20">
        <f>'Landscape Trees '!G915</f>
        <v>0</v>
      </c>
      <c r="G1057" s="20">
        <f>'Landscape Trees '!H915</f>
        <v>0</v>
      </c>
      <c r="H1057" s="20">
        <f>'Landscape Trees '!I915</f>
        <v>0</v>
      </c>
    </row>
    <row r="1058" spans="1:8" ht="12.75">
      <c r="A1058" s="20">
        <f>'Landscape Trees '!A916</f>
        <v>0</v>
      </c>
      <c r="B1058" s="20">
        <f>'Landscape Trees '!C916</f>
        <v>0</v>
      </c>
      <c r="C1058" s="20">
        <f>'Landscape Trees '!D916</f>
        <v>0</v>
      </c>
      <c r="D1058" s="20">
        <f>'Landscape Trees '!E916</f>
        <v>0</v>
      </c>
      <c r="E1058" s="20">
        <f>'Landscape Trees '!F916</f>
        <v>0</v>
      </c>
      <c r="F1058" s="20">
        <f>'Landscape Trees '!G916</f>
        <v>0</v>
      </c>
      <c r="G1058" s="20">
        <f>'Landscape Trees '!H916</f>
        <v>0</v>
      </c>
      <c r="H1058" s="20">
        <f>'Landscape Trees '!I916</f>
        <v>0</v>
      </c>
    </row>
    <row r="1059" spans="1:8" ht="12.75">
      <c r="A1059" s="20">
        <f>'Landscape Trees '!A917</f>
        <v>0</v>
      </c>
      <c r="B1059" s="20">
        <f>'Landscape Trees '!C917</f>
        <v>0</v>
      </c>
      <c r="C1059" s="20">
        <f>'Landscape Trees '!D917</f>
        <v>0</v>
      </c>
      <c r="D1059" s="20">
        <f>'Landscape Trees '!E917</f>
        <v>0</v>
      </c>
      <c r="E1059" s="20">
        <f>'Landscape Trees '!F917</f>
        <v>0</v>
      </c>
      <c r="F1059" s="20">
        <f>'Landscape Trees '!G917</f>
        <v>0</v>
      </c>
      <c r="G1059" s="20">
        <f>'Landscape Trees '!H917</f>
        <v>0</v>
      </c>
      <c r="H1059" s="20">
        <f>'Landscape Trees '!I917</f>
        <v>0</v>
      </c>
    </row>
    <row r="1060" spans="1:8" ht="12.75">
      <c r="A1060" s="20">
        <f>'Landscape Trees '!A918</f>
        <v>0</v>
      </c>
      <c r="B1060" s="20">
        <f>'Landscape Trees '!C918</f>
        <v>0</v>
      </c>
      <c r="C1060" s="20">
        <f>'Landscape Trees '!D918</f>
        <v>0</v>
      </c>
      <c r="D1060" s="20">
        <f>'Landscape Trees '!E918</f>
        <v>0</v>
      </c>
      <c r="E1060" s="20">
        <f>'Landscape Trees '!F918</f>
        <v>0</v>
      </c>
      <c r="F1060" s="20">
        <f>'Landscape Trees '!G918</f>
        <v>0</v>
      </c>
      <c r="G1060" s="20">
        <f>'Landscape Trees '!H918</f>
        <v>0</v>
      </c>
      <c r="H1060" s="20">
        <f>'Landscape Trees '!I918</f>
        <v>0</v>
      </c>
    </row>
    <row r="1061" spans="1:8" ht="12.75">
      <c r="A1061" s="20">
        <f>'Landscape Trees '!A919</f>
        <v>0</v>
      </c>
      <c r="B1061" s="20">
        <f>'Landscape Trees '!C919</f>
        <v>0</v>
      </c>
      <c r="C1061" s="20">
        <f>'Landscape Trees '!D919</f>
        <v>0</v>
      </c>
      <c r="D1061" s="20">
        <f>'Landscape Trees '!E919</f>
        <v>0</v>
      </c>
      <c r="E1061" s="20">
        <f>'Landscape Trees '!F919</f>
        <v>0</v>
      </c>
      <c r="F1061" s="20">
        <f>'Landscape Trees '!G919</f>
        <v>0</v>
      </c>
      <c r="G1061" s="20">
        <f>'Landscape Trees '!H919</f>
        <v>0</v>
      </c>
      <c r="H1061" s="20">
        <f>'Landscape Trees '!I919</f>
        <v>0</v>
      </c>
    </row>
    <row r="1062" spans="1:8" ht="12.75">
      <c r="A1062" s="20">
        <f>'Landscape Trees '!A920</f>
        <v>0</v>
      </c>
      <c r="B1062" s="20">
        <f>'Landscape Trees '!C920</f>
        <v>0</v>
      </c>
      <c r="C1062" s="20">
        <f>'Landscape Trees '!D920</f>
        <v>0</v>
      </c>
      <c r="D1062" s="20">
        <f>'Landscape Trees '!E920</f>
        <v>0</v>
      </c>
      <c r="E1062" s="20">
        <f>'Landscape Trees '!F920</f>
        <v>0</v>
      </c>
      <c r="F1062" s="20">
        <f>'Landscape Trees '!G920</f>
        <v>0</v>
      </c>
      <c r="G1062" s="20">
        <f>'Landscape Trees '!H920</f>
        <v>0</v>
      </c>
      <c r="H1062" s="20">
        <f>'Landscape Trees '!I920</f>
        <v>0</v>
      </c>
    </row>
    <row r="1063" spans="1:8" ht="12.75">
      <c r="A1063" s="20">
        <f>'Landscape Trees '!A921</f>
        <v>0</v>
      </c>
      <c r="B1063" s="20">
        <f>'Landscape Trees '!C921</f>
        <v>0</v>
      </c>
      <c r="C1063" s="20">
        <f>'Landscape Trees '!D921</f>
        <v>0</v>
      </c>
      <c r="D1063" s="20">
        <f>'Landscape Trees '!E921</f>
        <v>0</v>
      </c>
      <c r="E1063" s="20">
        <f>'Landscape Trees '!F921</f>
        <v>0</v>
      </c>
      <c r="F1063" s="20">
        <f>'Landscape Trees '!G921</f>
        <v>0</v>
      </c>
      <c r="G1063" s="20">
        <f>'Landscape Trees '!H921</f>
        <v>0</v>
      </c>
      <c r="H1063" s="20">
        <f>'Landscape Trees '!I921</f>
        <v>0</v>
      </c>
    </row>
    <row r="1064" spans="1:8" ht="12.75">
      <c r="A1064" s="20">
        <f>'Landscape Trees '!A922</f>
        <v>0</v>
      </c>
      <c r="B1064" s="20">
        <f>'Landscape Trees '!C922</f>
        <v>0</v>
      </c>
      <c r="C1064" s="20">
        <f>'Landscape Trees '!D922</f>
        <v>0</v>
      </c>
      <c r="D1064" s="20">
        <f>'Landscape Trees '!E922</f>
        <v>0</v>
      </c>
      <c r="E1064" s="20">
        <f>'Landscape Trees '!F922</f>
        <v>0</v>
      </c>
      <c r="F1064" s="20">
        <f>'Landscape Trees '!G922</f>
        <v>0</v>
      </c>
      <c r="G1064" s="20">
        <f>'Landscape Trees '!H922</f>
        <v>0</v>
      </c>
      <c r="H1064" s="20">
        <f>'Landscape Trees '!I922</f>
        <v>0</v>
      </c>
    </row>
    <row r="1065" spans="1:8" ht="12.75">
      <c r="A1065" s="20">
        <f>'Landscape Trees '!A923</f>
        <v>0</v>
      </c>
      <c r="B1065" s="20">
        <f>'Landscape Trees '!C923</f>
        <v>0</v>
      </c>
      <c r="C1065" s="20">
        <f>'Landscape Trees '!D923</f>
        <v>0</v>
      </c>
      <c r="D1065" s="20">
        <f>'Landscape Trees '!E923</f>
        <v>0</v>
      </c>
      <c r="E1065" s="20">
        <f>'Landscape Trees '!F923</f>
        <v>0</v>
      </c>
      <c r="F1065" s="20">
        <f>'Landscape Trees '!G923</f>
        <v>0</v>
      </c>
      <c r="G1065" s="20">
        <f>'Landscape Trees '!H923</f>
        <v>0</v>
      </c>
      <c r="H1065" s="20">
        <f>'Landscape Trees '!I923</f>
        <v>0</v>
      </c>
    </row>
    <row r="1066" spans="1:8" ht="12.75">
      <c r="A1066" s="20">
        <f>'Landscape Trees '!A924</f>
        <v>0</v>
      </c>
      <c r="B1066" s="20">
        <f>'Landscape Trees '!C924</f>
        <v>0</v>
      </c>
      <c r="C1066" s="20">
        <f>'Landscape Trees '!D924</f>
        <v>0</v>
      </c>
      <c r="D1066" s="20">
        <f>'Landscape Trees '!E924</f>
        <v>0</v>
      </c>
      <c r="E1066" s="20">
        <f>'Landscape Trees '!F924</f>
        <v>0</v>
      </c>
      <c r="F1066" s="20">
        <f>'Landscape Trees '!G924</f>
        <v>0</v>
      </c>
      <c r="G1066" s="20">
        <f>'Landscape Trees '!H924</f>
        <v>0</v>
      </c>
      <c r="H1066" s="20">
        <f>'Landscape Trees '!I924</f>
        <v>0</v>
      </c>
    </row>
    <row r="1067" spans="1:8" ht="12.75">
      <c r="A1067" s="20">
        <f>'Landscape Trees '!A925</f>
        <v>0</v>
      </c>
      <c r="B1067" s="20">
        <f>'Landscape Trees '!C925</f>
        <v>0</v>
      </c>
      <c r="C1067" s="20">
        <f>'Landscape Trees '!D925</f>
        <v>0</v>
      </c>
      <c r="D1067" s="20">
        <f>'Landscape Trees '!E925</f>
        <v>0</v>
      </c>
      <c r="E1067" s="20">
        <f>'Landscape Trees '!F925</f>
        <v>0</v>
      </c>
      <c r="F1067" s="20">
        <f>'Landscape Trees '!G925</f>
        <v>0</v>
      </c>
      <c r="G1067" s="20">
        <f>'Landscape Trees '!H925</f>
        <v>0</v>
      </c>
      <c r="H1067" s="20">
        <f>'Landscape Trees '!I925</f>
        <v>0</v>
      </c>
    </row>
    <row r="1068" spans="1:8" ht="12.75">
      <c r="A1068" s="20">
        <f>'Landscape Trees '!A926</f>
        <v>0</v>
      </c>
      <c r="B1068" s="20">
        <f>'Landscape Trees '!C926</f>
        <v>0</v>
      </c>
      <c r="C1068" s="20">
        <f>'Landscape Trees '!D926</f>
        <v>0</v>
      </c>
      <c r="D1068" s="20">
        <f>'Landscape Trees '!E926</f>
        <v>0</v>
      </c>
      <c r="E1068" s="20">
        <f>'Landscape Trees '!F926</f>
        <v>0</v>
      </c>
      <c r="F1068" s="20">
        <f>'Landscape Trees '!G926</f>
        <v>0</v>
      </c>
      <c r="G1068" s="20">
        <f>'Landscape Trees '!H926</f>
        <v>0</v>
      </c>
      <c r="H1068" s="20">
        <f>'Landscape Trees '!I926</f>
        <v>0</v>
      </c>
    </row>
    <row r="1069" spans="1:8" ht="12.75">
      <c r="A1069" s="20">
        <f>'Landscape Trees '!A927</f>
        <v>0</v>
      </c>
      <c r="B1069" s="20">
        <f>'Landscape Trees '!C927</f>
        <v>0</v>
      </c>
      <c r="C1069" s="20">
        <f>'Landscape Trees '!D927</f>
        <v>0</v>
      </c>
      <c r="D1069" s="20">
        <f>'Landscape Trees '!E927</f>
        <v>0</v>
      </c>
      <c r="E1069" s="20">
        <f>'Landscape Trees '!F927</f>
        <v>0</v>
      </c>
      <c r="F1069" s="20">
        <f>'Landscape Trees '!G927</f>
        <v>0</v>
      </c>
      <c r="G1069" s="20">
        <f>'Landscape Trees '!H927</f>
        <v>0</v>
      </c>
      <c r="H1069" s="20">
        <f>'Landscape Trees '!I927</f>
        <v>0</v>
      </c>
    </row>
    <row r="1070" spans="1:8" ht="12.75">
      <c r="A1070" s="20">
        <f>'Landscape Trees '!A928</f>
        <v>0</v>
      </c>
      <c r="B1070" s="20">
        <f>'Landscape Trees '!C928</f>
        <v>0</v>
      </c>
      <c r="C1070" s="20">
        <f>'Landscape Trees '!D928</f>
        <v>0</v>
      </c>
      <c r="D1070" s="20">
        <f>'Landscape Trees '!E928</f>
        <v>0</v>
      </c>
      <c r="E1070" s="20">
        <f>'Landscape Trees '!F928</f>
        <v>0</v>
      </c>
      <c r="F1070" s="20">
        <f>'Landscape Trees '!G928</f>
        <v>0</v>
      </c>
      <c r="G1070" s="20">
        <f>'Landscape Trees '!H928</f>
        <v>0</v>
      </c>
      <c r="H1070" s="20">
        <f>'Landscape Trees '!I928</f>
        <v>0</v>
      </c>
    </row>
    <row r="1071" spans="1:8" ht="12.75">
      <c r="A1071" s="20">
        <f>'Landscape Trees '!A929</f>
        <v>0</v>
      </c>
      <c r="B1071" s="20">
        <f>'Landscape Trees '!C929</f>
        <v>0</v>
      </c>
      <c r="C1071" s="20">
        <f>'Landscape Trees '!D929</f>
        <v>0</v>
      </c>
      <c r="D1071" s="20">
        <f>'Landscape Trees '!E929</f>
        <v>0</v>
      </c>
      <c r="E1071" s="20">
        <f>'Landscape Trees '!F929</f>
        <v>0</v>
      </c>
      <c r="F1071" s="20">
        <f>'Landscape Trees '!G929</f>
        <v>0</v>
      </c>
      <c r="G1071" s="20">
        <f>'Landscape Trees '!H929</f>
        <v>0</v>
      </c>
      <c r="H1071" s="20">
        <f>'Landscape Trees '!I929</f>
        <v>0</v>
      </c>
    </row>
    <row r="1072" spans="1:8" ht="12.75">
      <c r="A1072" s="20">
        <f>'Landscape Trees '!A930</f>
        <v>0</v>
      </c>
      <c r="B1072" s="20">
        <f>'Landscape Trees '!C930</f>
        <v>0</v>
      </c>
      <c r="C1072" s="20">
        <f>'Landscape Trees '!D930</f>
        <v>0</v>
      </c>
      <c r="D1072" s="20">
        <f>'Landscape Trees '!E930</f>
        <v>0</v>
      </c>
      <c r="E1072" s="20">
        <f>'Landscape Trees '!F930</f>
        <v>0</v>
      </c>
      <c r="F1072" s="20">
        <f>'Landscape Trees '!G930</f>
        <v>0</v>
      </c>
      <c r="G1072" s="20">
        <f>'Landscape Trees '!H930</f>
        <v>0</v>
      </c>
      <c r="H1072" s="20">
        <f>'Landscape Trees '!I930</f>
        <v>0</v>
      </c>
    </row>
    <row r="1073" spans="1:8" ht="12.75">
      <c r="A1073" s="20">
        <f>'Landscape Trees '!A931</f>
        <v>0</v>
      </c>
      <c r="B1073" s="20">
        <f>'Landscape Trees '!C931</f>
        <v>0</v>
      </c>
      <c r="C1073" s="20">
        <f>'Landscape Trees '!D931</f>
        <v>0</v>
      </c>
      <c r="D1073" s="20">
        <f>'Landscape Trees '!E931</f>
        <v>0</v>
      </c>
      <c r="E1073" s="20">
        <f>'Landscape Trees '!F931</f>
        <v>0</v>
      </c>
      <c r="F1073" s="20">
        <f>'Landscape Trees '!G931</f>
        <v>0</v>
      </c>
      <c r="G1073" s="20">
        <f>'Landscape Trees '!H931</f>
        <v>0</v>
      </c>
      <c r="H1073" s="20">
        <f>'Landscape Trees '!I931</f>
        <v>0</v>
      </c>
    </row>
    <row r="1074" spans="1:8" ht="12.75">
      <c r="A1074" s="20">
        <f>'Landscape Trees '!A932</f>
        <v>0</v>
      </c>
      <c r="B1074" s="20">
        <f>'Landscape Trees '!C932</f>
        <v>0</v>
      </c>
      <c r="C1074" s="20">
        <f>'Landscape Trees '!D932</f>
        <v>0</v>
      </c>
      <c r="D1074" s="20">
        <f>'Landscape Trees '!E932</f>
        <v>0</v>
      </c>
      <c r="E1074" s="20">
        <f>'Landscape Trees '!F932</f>
        <v>0</v>
      </c>
      <c r="F1074" s="20">
        <f>'Landscape Trees '!G932</f>
        <v>0</v>
      </c>
      <c r="G1074" s="20">
        <f>'Landscape Trees '!H932</f>
        <v>0</v>
      </c>
      <c r="H1074" s="20">
        <f>'Landscape Trees '!I932</f>
        <v>0</v>
      </c>
    </row>
    <row r="1075" spans="1:8" ht="12.75">
      <c r="A1075" s="20">
        <f>'Landscape Trees '!A933</f>
        <v>0</v>
      </c>
      <c r="B1075" s="20">
        <f>'Landscape Trees '!C933</f>
        <v>0</v>
      </c>
      <c r="C1075" s="20">
        <f>'Landscape Trees '!D933</f>
        <v>0</v>
      </c>
      <c r="D1075" s="20">
        <f>'Landscape Trees '!E933</f>
        <v>0</v>
      </c>
      <c r="E1075" s="20">
        <f>'Landscape Trees '!F933</f>
        <v>0</v>
      </c>
      <c r="F1075" s="20">
        <f>'Landscape Trees '!G933</f>
        <v>0</v>
      </c>
      <c r="G1075" s="20">
        <f>'Landscape Trees '!H933</f>
        <v>0</v>
      </c>
      <c r="H1075" s="20">
        <f>'Landscape Trees '!I933</f>
        <v>0</v>
      </c>
    </row>
    <row r="1076" spans="1:8" ht="12.75">
      <c r="A1076" s="20">
        <f>'Landscape Trees '!A934</f>
        <v>0</v>
      </c>
      <c r="B1076" s="20">
        <f>'Landscape Trees '!C934</f>
        <v>0</v>
      </c>
      <c r="C1076" s="20">
        <f>'Landscape Trees '!D934</f>
        <v>0</v>
      </c>
      <c r="D1076" s="20">
        <f>'Landscape Trees '!E934</f>
        <v>0</v>
      </c>
      <c r="E1076" s="20">
        <f>'Landscape Trees '!F934</f>
        <v>0</v>
      </c>
      <c r="F1076" s="20">
        <f>'Landscape Trees '!G934</f>
        <v>0</v>
      </c>
      <c r="G1076" s="20">
        <f>'Landscape Trees '!H934</f>
        <v>0</v>
      </c>
      <c r="H1076" s="20">
        <f>'Landscape Trees '!I934</f>
        <v>0</v>
      </c>
    </row>
    <row r="1077" spans="1:8" ht="12.75">
      <c r="A1077" s="20">
        <f>'Landscape Trees '!A935</f>
        <v>0</v>
      </c>
      <c r="B1077" s="20">
        <f>'Landscape Trees '!C935</f>
        <v>0</v>
      </c>
      <c r="C1077" s="20">
        <f>'Landscape Trees '!D935</f>
        <v>0</v>
      </c>
      <c r="D1077" s="20">
        <f>'Landscape Trees '!E935</f>
        <v>0</v>
      </c>
      <c r="E1077" s="20">
        <f>'Landscape Trees '!F935</f>
        <v>0</v>
      </c>
      <c r="F1077" s="20">
        <f>'Landscape Trees '!G935</f>
        <v>0</v>
      </c>
      <c r="G1077" s="20">
        <f>'Landscape Trees '!H935</f>
        <v>0</v>
      </c>
      <c r="H1077" s="20">
        <f>'Landscape Trees '!I935</f>
        <v>0</v>
      </c>
    </row>
    <row r="1078" spans="1:8" ht="12.75">
      <c r="A1078" s="20">
        <f>'Landscape Trees '!A936</f>
        <v>0</v>
      </c>
      <c r="B1078" s="20">
        <f>'Landscape Trees '!C936</f>
        <v>0</v>
      </c>
      <c r="C1078" s="20">
        <f>'Landscape Trees '!D936</f>
        <v>0</v>
      </c>
      <c r="D1078" s="20">
        <f>'Landscape Trees '!E936</f>
        <v>0</v>
      </c>
      <c r="E1078" s="20">
        <f>'Landscape Trees '!F936</f>
        <v>0</v>
      </c>
      <c r="F1078" s="20">
        <f>'Landscape Trees '!G936</f>
        <v>0</v>
      </c>
      <c r="G1078" s="20">
        <f>'Landscape Trees '!H936</f>
        <v>0</v>
      </c>
      <c r="H1078" s="20">
        <f>'Landscape Trees '!I936</f>
        <v>0</v>
      </c>
    </row>
    <row r="1079" spans="1:8" ht="12.75">
      <c r="A1079" s="20">
        <f>'Landscape Trees '!A937</f>
        <v>0</v>
      </c>
      <c r="B1079" s="20">
        <f>'Landscape Trees '!C937</f>
        <v>0</v>
      </c>
      <c r="C1079" s="20">
        <f>'Landscape Trees '!D937</f>
        <v>0</v>
      </c>
      <c r="D1079" s="20">
        <f>'Landscape Trees '!E937</f>
        <v>0</v>
      </c>
      <c r="E1079" s="20">
        <f>'Landscape Trees '!F937</f>
        <v>0</v>
      </c>
      <c r="F1079" s="20">
        <f>'Landscape Trees '!G937</f>
        <v>0</v>
      </c>
      <c r="G1079" s="20">
        <f>'Landscape Trees '!H937</f>
        <v>0</v>
      </c>
      <c r="H1079" s="20">
        <f>'Landscape Trees '!I937</f>
        <v>0</v>
      </c>
    </row>
    <row r="1080" spans="1:8" ht="12.75">
      <c r="A1080" s="20">
        <f>'Landscape Trees '!A938</f>
        <v>0</v>
      </c>
      <c r="B1080" s="20">
        <f>'Landscape Trees '!C938</f>
        <v>0</v>
      </c>
      <c r="C1080" s="20">
        <f>'Landscape Trees '!D938</f>
        <v>0</v>
      </c>
      <c r="D1080" s="20">
        <f>'Landscape Trees '!E938</f>
        <v>0</v>
      </c>
      <c r="E1080" s="20">
        <f>'Landscape Trees '!F938</f>
        <v>0</v>
      </c>
      <c r="F1080" s="20">
        <f>'Landscape Trees '!G938</f>
        <v>0</v>
      </c>
      <c r="G1080" s="20">
        <f>'Landscape Trees '!H938</f>
        <v>0</v>
      </c>
      <c r="H1080" s="20">
        <f>'Landscape Trees '!I938</f>
        <v>0</v>
      </c>
    </row>
    <row r="1081" spans="1:8" ht="12.75">
      <c r="A1081" s="20">
        <f>'Landscape Trees '!A939</f>
        <v>0</v>
      </c>
      <c r="B1081" s="20">
        <f>'Landscape Trees '!C939</f>
        <v>0</v>
      </c>
      <c r="C1081" s="20">
        <f>'Landscape Trees '!D939</f>
        <v>0</v>
      </c>
      <c r="D1081" s="20">
        <f>'Landscape Trees '!E939</f>
        <v>0</v>
      </c>
      <c r="E1081" s="20">
        <f>'Landscape Trees '!F939</f>
        <v>0</v>
      </c>
      <c r="F1081" s="20">
        <f>'Landscape Trees '!G939</f>
        <v>0</v>
      </c>
      <c r="G1081" s="20">
        <f>'Landscape Trees '!H939</f>
        <v>0</v>
      </c>
      <c r="H1081" s="20">
        <f>'Landscape Trees '!I939</f>
        <v>0</v>
      </c>
    </row>
    <row r="1082" spans="1:8" ht="12.75">
      <c r="A1082" s="20">
        <f>'Landscape Trees '!A940</f>
        <v>0</v>
      </c>
      <c r="B1082" s="20">
        <f>'Landscape Trees '!C940</f>
        <v>0</v>
      </c>
      <c r="C1082" s="20">
        <f>'Landscape Trees '!D940</f>
        <v>0</v>
      </c>
      <c r="D1082" s="20">
        <f>'Landscape Trees '!E940</f>
        <v>0</v>
      </c>
      <c r="E1082" s="20">
        <f>'Landscape Trees '!F940</f>
        <v>0</v>
      </c>
      <c r="F1082" s="20">
        <f>'Landscape Trees '!G940</f>
        <v>0</v>
      </c>
      <c r="G1082" s="20">
        <f>'Landscape Trees '!H940</f>
        <v>0</v>
      </c>
      <c r="H1082" s="20">
        <f>'Landscape Trees '!I940</f>
        <v>0</v>
      </c>
    </row>
    <row r="1083" spans="1:8" ht="12.75">
      <c r="A1083" s="20">
        <f>'Landscape Trees '!A941</f>
        <v>0</v>
      </c>
      <c r="B1083" s="20">
        <f>'Landscape Trees '!C941</f>
        <v>0</v>
      </c>
      <c r="C1083" s="20">
        <f>'Landscape Trees '!D941</f>
        <v>0</v>
      </c>
      <c r="D1083" s="20">
        <f>'Landscape Trees '!E941</f>
        <v>0</v>
      </c>
      <c r="E1083" s="20">
        <f>'Landscape Trees '!F941</f>
        <v>0</v>
      </c>
      <c r="F1083" s="20">
        <f>'Landscape Trees '!G941</f>
        <v>0</v>
      </c>
      <c r="G1083" s="20">
        <f>'Landscape Trees '!H941</f>
        <v>0</v>
      </c>
      <c r="H1083" s="20">
        <f>'Landscape Trees '!I941</f>
        <v>0</v>
      </c>
    </row>
    <row r="1084" spans="1:8" ht="12.75">
      <c r="A1084" s="20">
        <f>'Landscape Trees '!A942</f>
        <v>0</v>
      </c>
      <c r="B1084" s="20">
        <f>'Landscape Trees '!C942</f>
        <v>0</v>
      </c>
      <c r="C1084" s="20">
        <f>'Landscape Trees '!D942</f>
        <v>0</v>
      </c>
      <c r="D1084" s="20">
        <f>'Landscape Trees '!E942</f>
        <v>0</v>
      </c>
      <c r="E1084" s="20">
        <f>'Landscape Trees '!F942</f>
        <v>0</v>
      </c>
      <c r="F1084" s="20">
        <f>'Landscape Trees '!G942</f>
        <v>0</v>
      </c>
      <c r="G1084" s="20">
        <f>'Landscape Trees '!H942</f>
        <v>0</v>
      </c>
      <c r="H1084" s="20">
        <f>'Landscape Trees '!I942</f>
        <v>0</v>
      </c>
    </row>
    <row r="1085" spans="1:8" ht="12.75">
      <c r="A1085" s="20">
        <f>'Landscape Trees '!A943</f>
        <v>0</v>
      </c>
      <c r="B1085" s="20">
        <f>'Landscape Trees '!C943</f>
        <v>0</v>
      </c>
      <c r="C1085" s="20">
        <f>'Landscape Trees '!D943</f>
        <v>0</v>
      </c>
      <c r="D1085" s="20">
        <f>'Landscape Trees '!E943</f>
        <v>0</v>
      </c>
      <c r="E1085" s="20">
        <f>'Landscape Trees '!F943</f>
        <v>0</v>
      </c>
      <c r="F1085" s="20">
        <f>'Landscape Trees '!G943</f>
        <v>0</v>
      </c>
      <c r="G1085" s="20">
        <f>'Landscape Trees '!H943</f>
        <v>0</v>
      </c>
      <c r="H1085" s="20">
        <f>'Landscape Trees '!I943</f>
        <v>0</v>
      </c>
    </row>
    <row r="1086" spans="1:8" ht="12.75">
      <c r="A1086" s="20">
        <f>'Landscape Trees '!A944</f>
        <v>0</v>
      </c>
      <c r="B1086" s="20">
        <f>'Landscape Trees '!C944</f>
        <v>0</v>
      </c>
      <c r="C1086" s="20">
        <f>'Landscape Trees '!D944</f>
        <v>0</v>
      </c>
      <c r="D1086" s="20">
        <f>'Landscape Trees '!E944</f>
        <v>0</v>
      </c>
      <c r="E1086" s="20">
        <f>'Landscape Trees '!F944</f>
        <v>0</v>
      </c>
      <c r="F1086" s="20">
        <f>'Landscape Trees '!G944</f>
        <v>0</v>
      </c>
      <c r="G1086" s="20">
        <f>'Landscape Trees '!H944</f>
        <v>0</v>
      </c>
      <c r="H1086" s="20">
        <f>'Landscape Trees '!I944</f>
        <v>0</v>
      </c>
    </row>
    <row r="1087" spans="1:8" ht="12.75">
      <c r="A1087" s="20">
        <f>'Landscape Trees '!A945</f>
        <v>0</v>
      </c>
      <c r="B1087" s="20">
        <f>'Landscape Trees '!C945</f>
        <v>0</v>
      </c>
      <c r="C1087" s="20">
        <f>'Landscape Trees '!D945</f>
        <v>0</v>
      </c>
      <c r="D1087" s="20">
        <f>'Landscape Trees '!E945</f>
        <v>0</v>
      </c>
      <c r="E1087" s="20">
        <f>'Landscape Trees '!F945</f>
        <v>0</v>
      </c>
      <c r="F1087" s="20">
        <f>'Landscape Trees '!G945</f>
        <v>0</v>
      </c>
      <c r="G1087" s="20">
        <f>'Landscape Trees '!H945</f>
        <v>0</v>
      </c>
      <c r="H1087" s="20">
        <f>'Landscape Trees '!I945</f>
        <v>0</v>
      </c>
    </row>
    <row r="1088" spans="1:8" ht="12.75">
      <c r="A1088" s="20">
        <f>'Landscape Trees '!A946</f>
        <v>0</v>
      </c>
      <c r="B1088" s="20">
        <f>'Landscape Trees '!C946</f>
        <v>0</v>
      </c>
      <c r="C1088" s="20">
        <f>'Landscape Trees '!D946</f>
        <v>0</v>
      </c>
      <c r="D1088" s="20">
        <f>'Landscape Trees '!E946</f>
        <v>0</v>
      </c>
      <c r="E1088" s="20">
        <f>'Landscape Trees '!F946</f>
        <v>0</v>
      </c>
      <c r="F1088" s="20">
        <f>'Landscape Trees '!G946</f>
        <v>0</v>
      </c>
      <c r="G1088" s="20">
        <f>'Landscape Trees '!H946</f>
        <v>0</v>
      </c>
      <c r="H1088" s="20">
        <f>'Landscape Trees '!I946</f>
        <v>0</v>
      </c>
    </row>
    <row r="1089" spans="1:8" ht="12.75">
      <c r="A1089" s="20">
        <f>'Landscape Trees '!A947</f>
        <v>0</v>
      </c>
      <c r="B1089" s="20">
        <f>'Landscape Trees '!C947</f>
        <v>0</v>
      </c>
      <c r="C1089" s="20">
        <f>'Landscape Trees '!D947</f>
        <v>0</v>
      </c>
      <c r="D1089" s="20">
        <f>'Landscape Trees '!E947</f>
        <v>0</v>
      </c>
      <c r="E1089" s="20">
        <f>'Landscape Trees '!F947</f>
        <v>0</v>
      </c>
      <c r="F1089" s="20">
        <f>'Landscape Trees '!G947</f>
        <v>0</v>
      </c>
      <c r="G1089" s="20">
        <f>'Landscape Trees '!H947</f>
        <v>0</v>
      </c>
      <c r="H1089" s="20">
        <f>'Landscape Trees '!I947</f>
        <v>0</v>
      </c>
    </row>
    <row r="1090" spans="1:8" ht="12.75">
      <c r="A1090" s="20">
        <f>'Landscape Trees '!A948</f>
        <v>0</v>
      </c>
      <c r="B1090" s="20">
        <f>'Landscape Trees '!C948</f>
        <v>0</v>
      </c>
      <c r="C1090" s="20">
        <f>'Landscape Trees '!D948</f>
        <v>0</v>
      </c>
      <c r="D1090" s="20">
        <f>'Landscape Trees '!E948</f>
        <v>0</v>
      </c>
      <c r="E1090" s="20">
        <f>'Landscape Trees '!F948</f>
        <v>0</v>
      </c>
      <c r="F1090" s="20">
        <f>'Landscape Trees '!G948</f>
        <v>0</v>
      </c>
      <c r="G1090" s="20">
        <f>'Landscape Trees '!H948</f>
        <v>0</v>
      </c>
      <c r="H1090" s="20">
        <f>'Landscape Trees '!I948</f>
        <v>0</v>
      </c>
    </row>
    <row r="1091" spans="1:8" ht="12.75">
      <c r="A1091" s="20">
        <f>'Landscape Trees '!A949</f>
        <v>0</v>
      </c>
      <c r="B1091" s="20">
        <f>'Landscape Trees '!C949</f>
        <v>0</v>
      </c>
      <c r="C1091" s="20">
        <f>'Landscape Trees '!D949</f>
        <v>0</v>
      </c>
      <c r="D1091" s="20">
        <f>'Landscape Trees '!E949</f>
        <v>0</v>
      </c>
      <c r="E1091" s="20">
        <f>'Landscape Trees '!F949</f>
        <v>0</v>
      </c>
      <c r="F1091" s="20">
        <f>'Landscape Trees '!G949</f>
        <v>0</v>
      </c>
      <c r="G1091" s="20">
        <f>'Landscape Trees '!H949</f>
        <v>0</v>
      </c>
      <c r="H1091" s="20">
        <f>'Landscape Trees '!I949</f>
        <v>0</v>
      </c>
    </row>
    <row r="1092" spans="1:8" ht="12.75">
      <c r="A1092" s="20">
        <f>'Landscape Trees '!A950</f>
        <v>0</v>
      </c>
      <c r="B1092" s="20">
        <f>'Landscape Trees '!C950</f>
        <v>0</v>
      </c>
      <c r="C1092" s="20">
        <f>'Landscape Trees '!D950</f>
        <v>0</v>
      </c>
      <c r="D1092" s="20">
        <f>'Landscape Trees '!E950</f>
        <v>0</v>
      </c>
      <c r="E1092" s="20">
        <f>'Landscape Trees '!F950</f>
        <v>0</v>
      </c>
      <c r="F1092" s="20">
        <f>'Landscape Trees '!G950</f>
        <v>0</v>
      </c>
      <c r="G1092" s="20">
        <f>'Landscape Trees '!H950</f>
        <v>0</v>
      </c>
      <c r="H1092" s="20">
        <f>'Landscape Trees '!I950</f>
        <v>0</v>
      </c>
    </row>
    <row r="1093" spans="1:8" ht="12.75">
      <c r="A1093" s="20">
        <f>'Landscape Trees '!A951</f>
        <v>0</v>
      </c>
      <c r="B1093" s="20">
        <f>'Landscape Trees '!C951</f>
        <v>0</v>
      </c>
      <c r="C1093" s="20">
        <f>'Landscape Trees '!D951</f>
        <v>0</v>
      </c>
      <c r="D1093" s="20">
        <f>'Landscape Trees '!E951</f>
        <v>0</v>
      </c>
      <c r="E1093" s="20">
        <f>'Landscape Trees '!F951</f>
        <v>0</v>
      </c>
      <c r="F1093" s="20">
        <f>'Landscape Trees '!G951</f>
        <v>0</v>
      </c>
      <c r="G1093" s="20">
        <f>'Landscape Trees '!H951</f>
        <v>0</v>
      </c>
      <c r="H1093" s="20">
        <f>'Landscape Trees '!I951</f>
        <v>0</v>
      </c>
    </row>
    <row r="1094" spans="1:8" ht="12.75">
      <c r="A1094" s="20">
        <f>'Landscape Trees '!A952</f>
        <v>0</v>
      </c>
      <c r="B1094" s="20">
        <f>'Landscape Trees '!C952</f>
        <v>0</v>
      </c>
      <c r="C1094" s="20">
        <f>'Landscape Trees '!D952</f>
        <v>0</v>
      </c>
      <c r="D1094" s="20">
        <f>'Landscape Trees '!E952</f>
        <v>0</v>
      </c>
      <c r="E1094" s="20">
        <f>'Landscape Trees '!F952</f>
        <v>0</v>
      </c>
      <c r="F1094" s="20">
        <f>'Landscape Trees '!G952</f>
        <v>0</v>
      </c>
      <c r="G1094" s="20">
        <f>'Landscape Trees '!H952</f>
        <v>0</v>
      </c>
      <c r="H1094" s="20">
        <f>'Landscape Trees '!I952</f>
        <v>0</v>
      </c>
    </row>
    <row r="1095" spans="1:8" ht="12.75">
      <c r="A1095" s="20">
        <f>'Landscape Trees '!A953</f>
        <v>0</v>
      </c>
      <c r="B1095" s="20">
        <f>'Landscape Trees '!C953</f>
        <v>0</v>
      </c>
      <c r="C1095" s="20">
        <f>'Landscape Trees '!D953</f>
        <v>0</v>
      </c>
      <c r="D1095" s="20">
        <f>'Landscape Trees '!E953</f>
        <v>0</v>
      </c>
      <c r="E1095" s="20">
        <f>'Landscape Trees '!F953</f>
        <v>0</v>
      </c>
      <c r="F1095" s="20">
        <f>'Landscape Trees '!G953</f>
        <v>0</v>
      </c>
      <c r="G1095" s="20">
        <f>'Landscape Trees '!H953</f>
        <v>0</v>
      </c>
      <c r="H1095" s="20">
        <f>'Landscape Trees '!I953</f>
        <v>0</v>
      </c>
    </row>
    <row r="1096" spans="1:8" ht="12.75">
      <c r="A1096" s="20">
        <f>'Landscape Trees '!A954</f>
        <v>0</v>
      </c>
      <c r="B1096" s="20">
        <f>'Landscape Trees '!C954</f>
        <v>0</v>
      </c>
      <c r="C1096" s="20">
        <f>'Landscape Trees '!D954</f>
        <v>0</v>
      </c>
      <c r="D1096" s="20">
        <f>'Landscape Trees '!E954</f>
        <v>0</v>
      </c>
      <c r="E1096" s="20">
        <f>'Landscape Trees '!F954</f>
        <v>0</v>
      </c>
      <c r="F1096" s="20">
        <f>'Landscape Trees '!G954</f>
        <v>0</v>
      </c>
      <c r="G1096" s="20">
        <f>'Landscape Trees '!H954</f>
        <v>0</v>
      </c>
      <c r="H1096" s="20">
        <f>'Landscape Trees '!I954</f>
        <v>0</v>
      </c>
    </row>
    <row r="1097" spans="1:8" ht="12.75">
      <c r="A1097" s="20">
        <f>'Landscape Trees '!A955</f>
        <v>0</v>
      </c>
      <c r="B1097" s="20">
        <f>'Landscape Trees '!C955</f>
        <v>0</v>
      </c>
      <c r="C1097" s="20">
        <f>'Landscape Trees '!D955</f>
        <v>0</v>
      </c>
      <c r="D1097" s="20">
        <f>'Landscape Trees '!E955</f>
        <v>0</v>
      </c>
      <c r="E1097" s="20">
        <f>'Landscape Trees '!F955</f>
        <v>0</v>
      </c>
      <c r="F1097" s="20">
        <f>'Landscape Trees '!G955</f>
        <v>0</v>
      </c>
      <c r="G1097" s="20">
        <f>'Landscape Trees '!H955</f>
        <v>0</v>
      </c>
      <c r="H1097" s="20">
        <f>'Landscape Trees '!I955</f>
        <v>0</v>
      </c>
    </row>
    <row r="1098" spans="1:8" ht="12.75">
      <c r="A1098" s="20">
        <f>'Landscape Trees '!A956</f>
        <v>0</v>
      </c>
      <c r="B1098" s="20">
        <f>'Landscape Trees '!C956</f>
        <v>0</v>
      </c>
      <c r="C1098" s="20">
        <f>'Landscape Trees '!D956</f>
        <v>0</v>
      </c>
      <c r="D1098" s="20">
        <f>'Landscape Trees '!E956</f>
        <v>0</v>
      </c>
      <c r="E1098" s="20">
        <f>'Landscape Trees '!F956</f>
        <v>0</v>
      </c>
      <c r="F1098" s="20">
        <f>'Landscape Trees '!G956</f>
        <v>0</v>
      </c>
      <c r="G1098" s="20">
        <f>'Landscape Trees '!H956</f>
        <v>0</v>
      </c>
      <c r="H1098" s="20">
        <f>'Landscape Trees '!I956</f>
        <v>0</v>
      </c>
    </row>
    <row r="1099" spans="1:8" ht="12.75">
      <c r="A1099" s="20">
        <f>'Landscape Trees '!A957</f>
        <v>0</v>
      </c>
      <c r="B1099" s="20">
        <f>'Landscape Trees '!C957</f>
        <v>0</v>
      </c>
      <c r="C1099" s="20">
        <f>'Landscape Trees '!D957</f>
        <v>0</v>
      </c>
      <c r="D1099" s="20">
        <f>'Landscape Trees '!E957</f>
        <v>0</v>
      </c>
      <c r="E1099" s="20">
        <f>'Landscape Trees '!F957</f>
        <v>0</v>
      </c>
      <c r="F1099" s="20">
        <f>'Landscape Trees '!G957</f>
        <v>0</v>
      </c>
      <c r="G1099" s="20">
        <f>'Landscape Trees '!H957</f>
        <v>0</v>
      </c>
      <c r="H1099" s="20">
        <f>'Landscape Trees '!I957</f>
        <v>0</v>
      </c>
    </row>
    <row r="1100" spans="1:8" ht="12.75">
      <c r="A1100" s="20">
        <f>'Landscape Trees '!A958</f>
        <v>0</v>
      </c>
      <c r="B1100" s="20">
        <f>'Landscape Trees '!C958</f>
        <v>0</v>
      </c>
      <c r="C1100" s="20">
        <f>'Landscape Trees '!D958</f>
        <v>0</v>
      </c>
      <c r="D1100" s="20">
        <f>'Landscape Trees '!E958</f>
        <v>0</v>
      </c>
      <c r="E1100" s="20">
        <f>'Landscape Trees '!F958</f>
        <v>0</v>
      </c>
      <c r="F1100" s="20">
        <f>'Landscape Trees '!G958</f>
        <v>0</v>
      </c>
      <c r="G1100" s="20">
        <f>'Landscape Trees '!H958</f>
        <v>0</v>
      </c>
      <c r="H1100" s="20">
        <f>'Landscape Trees '!I958</f>
        <v>0</v>
      </c>
    </row>
    <row r="1101" spans="1:8" ht="12.75">
      <c r="A1101" s="20">
        <f>'Landscape Trees '!A959</f>
        <v>0</v>
      </c>
      <c r="B1101" s="20">
        <f>'Landscape Trees '!C959</f>
        <v>0</v>
      </c>
      <c r="C1101" s="20">
        <f>'Landscape Trees '!D959</f>
        <v>0</v>
      </c>
      <c r="D1101" s="20">
        <f>'Landscape Trees '!E959</f>
        <v>0</v>
      </c>
      <c r="E1101" s="20">
        <f>'Landscape Trees '!F959</f>
        <v>0</v>
      </c>
      <c r="F1101" s="20">
        <f>'Landscape Trees '!G959</f>
        <v>0</v>
      </c>
      <c r="G1101" s="20">
        <f>'Landscape Trees '!H959</f>
        <v>0</v>
      </c>
      <c r="H1101" s="20">
        <f>'Landscape Trees '!I959</f>
        <v>0</v>
      </c>
    </row>
    <row r="1102" spans="1:8" ht="12.75">
      <c r="A1102" s="20">
        <f>'Landscape Trees '!A960</f>
        <v>0</v>
      </c>
      <c r="B1102" s="20">
        <f>'Landscape Trees '!C960</f>
        <v>0</v>
      </c>
      <c r="C1102" s="20">
        <f>'Landscape Trees '!D960</f>
        <v>0</v>
      </c>
      <c r="D1102" s="20">
        <f>'Landscape Trees '!E960</f>
        <v>0</v>
      </c>
      <c r="E1102" s="20">
        <f>'Landscape Trees '!F960</f>
        <v>0</v>
      </c>
      <c r="F1102" s="20">
        <f>'Landscape Trees '!G960</f>
        <v>0</v>
      </c>
      <c r="G1102" s="20">
        <f>'Landscape Trees '!H960</f>
        <v>0</v>
      </c>
      <c r="H1102" s="20">
        <f>'Landscape Trees '!I960</f>
        <v>0</v>
      </c>
    </row>
    <row r="1103" spans="1:8" ht="12.75">
      <c r="A1103" s="20">
        <f>'Landscape Trees '!A961</f>
        <v>0</v>
      </c>
      <c r="B1103" s="20">
        <f>'Landscape Trees '!C961</f>
        <v>0</v>
      </c>
      <c r="C1103" s="20">
        <f>'Landscape Trees '!D961</f>
        <v>0</v>
      </c>
      <c r="D1103" s="20">
        <f>'Landscape Trees '!E961</f>
        <v>0</v>
      </c>
      <c r="E1103" s="20">
        <f>'Landscape Trees '!F961</f>
        <v>0</v>
      </c>
      <c r="F1103" s="20">
        <f>'Landscape Trees '!G961</f>
        <v>0</v>
      </c>
      <c r="G1103" s="20">
        <f>'Landscape Trees '!H961</f>
        <v>0</v>
      </c>
      <c r="H1103" s="20">
        <f>'Landscape Trees '!I961</f>
        <v>0</v>
      </c>
    </row>
    <row r="1104" spans="1:8" ht="12.75">
      <c r="A1104" s="20">
        <f>'Landscape Trees '!A962</f>
        <v>0</v>
      </c>
      <c r="B1104" s="20">
        <f>'Landscape Trees '!C962</f>
        <v>0</v>
      </c>
      <c r="C1104" s="20">
        <f>'Landscape Trees '!D962</f>
        <v>0</v>
      </c>
      <c r="D1104" s="20">
        <f>'Landscape Trees '!E962</f>
        <v>0</v>
      </c>
      <c r="E1104" s="20">
        <f>'Landscape Trees '!F962</f>
        <v>0</v>
      </c>
      <c r="F1104" s="20">
        <f>'Landscape Trees '!G962</f>
        <v>0</v>
      </c>
      <c r="G1104" s="20">
        <f>'Landscape Trees '!H962</f>
        <v>0</v>
      </c>
      <c r="H1104" s="20">
        <f>'Landscape Trees '!I962</f>
        <v>0</v>
      </c>
    </row>
    <row r="1105" spans="1:8" ht="12.75">
      <c r="A1105" s="20">
        <f>'Landscape Trees '!A963</f>
        <v>0</v>
      </c>
      <c r="B1105" s="20">
        <f>'Landscape Trees '!C963</f>
        <v>0</v>
      </c>
      <c r="C1105" s="20">
        <f>'Landscape Trees '!D963</f>
        <v>0</v>
      </c>
      <c r="D1105" s="20">
        <f>'Landscape Trees '!E963</f>
        <v>0</v>
      </c>
      <c r="E1105" s="20">
        <f>'Landscape Trees '!F963</f>
        <v>0</v>
      </c>
      <c r="F1105" s="20">
        <f>'Landscape Trees '!G963</f>
        <v>0</v>
      </c>
      <c r="G1105" s="20">
        <f>'Landscape Trees '!H963</f>
        <v>0</v>
      </c>
      <c r="H1105" s="20">
        <f>'Landscape Trees '!I963</f>
        <v>0</v>
      </c>
    </row>
    <row r="1106" spans="1:8" ht="12.75">
      <c r="A1106" s="20">
        <f>'Landscape Trees '!A964</f>
        <v>0</v>
      </c>
      <c r="B1106" s="20">
        <f>'Landscape Trees '!C964</f>
        <v>0</v>
      </c>
      <c r="C1106" s="20">
        <f>'Landscape Trees '!D964</f>
        <v>0</v>
      </c>
      <c r="D1106" s="20">
        <f>'Landscape Trees '!E964</f>
        <v>0</v>
      </c>
      <c r="E1106" s="20">
        <f>'Landscape Trees '!F964</f>
        <v>0</v>
      </c>
      <c r="F1106" s="20">
        <f>'Landscape Trees '!G964</f>
        <v>0</v>
      </c>
      <c r="G1106" s="20">
        <f>'Landscape Trees '!H964</f>
        <v>0</v>
      </c>
      <c r="H1106" s="20">
        <f>'Landscape Trees '!I964</f>
        <v>0</v>
      </c>
    </row>
    <row r="1107" spans="1:8" ht="12.75">
      <c r="A1107" s="20">
        <f>'Landscape Trees '!A965</f>
        <v>0</v>
      </c>
      <c r="B1107" s="20">
        <f>'Landscape Trees '!C965</f>
        <v>0</v>
      </c>
      <c r="C1107" s="20">
        <f>'Landscape Trees '!D965</f>
        <v>0</v>
      </c>
      <c r="D1107" s="20">
        <f>'Landscape Trees '!E965</f>
        <v>0</v>
      </c>
      <c r="E1107" s="20">
        <f>'Landscape Trees '!F965</f>
        <v>0</v>
      </c>
      <c r="F1107" s="20">
        <f>'Landscape Trees '!G965</f>
        <v>0</v>
      </c>
      <c r="G1107" s="20">
        <f>'Landscape Trees '!H965</f>
        <v>0</v>
      </c>
      <c r="H1107" s="20">
        <f>'Landscape Trees '!I965</f>
        <v>0</v>
      </c>
    </row>
    <row r="1108" spans="1:8" ht="12.75">
      <c r="A1108" s="20">
        <f>'Landscape Trees '!A966</f>
        <v>0</v>
      </c>
      <c r="B1108" s="20">
        <f>'Landscape Trees '!C966</f>
        <v>0</v>
      </c>
      <c r="C1108" s="20">
        <f>'Landscape Trees '!D966</f>
        <v>0</v>
      </c>
      <c r="D1108" s="20">
        <f>'Landscape Trees '!E966</f>
        <v>0</v>
      </c>
      <c r="E1108" s="20">
        <f>'Landscape Trees '!F966</f>
        <v>0</v>
      </c>
      <c r="F1108" s="20">
        <f>'Landscape Trees '!G966</f>
        <v>0</v>
      </c>
      <c r="G1108" s="20">
        <f>'Landscape Trees '!H966</f>
        <v>0</v>
      </c>
      <c r="H1108" s="20">
        <f>'Landscape Trees '!I966</f>
        <v>0</v>
      </c>
    </row>
    <row r="1109" spans="1:8" ht="12.75">
      <c r="A1109" s="20">
        <f>'Landscape Trees '!A967</f>
        <v>0</v>
      </c>
      <c r="B1109" s="20">
        <f>'Landscape Trees '!C967</f>
        <v>0</v>
      </c>
      <c r="C1109" s="20">
        <f>'Landscape Trees '!D967</f>
        <v>0</v>
      </c>
      <c r="D1109" s="20">
        <f>'Landscape Trees '!E967</f>
        <v>0</v>
      </c>
      <c r="E1109" s="20">
        <f>'Landscape Trees '!F967</f>
        <v>0</v>
      </c>
      <c r="F1109" s="20">
        <f>'Landscape Trees '!G967</f>
        <v>0</v>
      </c>
      <c r="G1109" s="20">
        <f>'Landscape Trees '!H967</f>
        <v>0</v>
      </c>
      <c r="H1109" s="20">
        <f>'Landscape Trees '!I967</f>
        <v>0</v>
      </c>
    </row>
    <row r="1110" spans="1:8" ht="12.75">
      <c r="A1110" s="20">
        <f>'Landscape Trees '!A968</f>
        <v>0</v>
      </c>
      <c r="B1110" s="20">
        <f>'Landscape Trees '!C968</f>
        <v>0</v>
      </c>
      <c r="C1110" s="20">
        <f>'Landscape Trees '!D968</f>
        <v>0</v>
      </c>
      <c r="D1110" s="20">
        <f>'Landscape Trees '!E968</f>
        <v>0</v>
      </c>
      <c r="E1110" s="20">
        <f>'Landscape Trees '!F968</f>
        <v>0</v>
      </c>
      <c r="F1110" s="20">
        <f>'Landscape Trees '!G968</f>
        <v>0</v>
      </c>
      <c r="G1110" s="20">
        <f>'Landscape Trees '!H968</f>
        <v>0</v>
      </c>
      <c r="H1110" s="20">
        <f>'Landscape Trees '!I968</f>
        <v>0</v>
      </c>
    </row>
    <row r="1111" spans="1:8" ht="12.75">
      <c r="A1111" s="20">
        <f>'Landscape Trees '!A969</f>
        <v>0</v>
      </c>
      <c r="B1111" s="20">
        <f>'Landscape Trees '!C969</f>
        <v>0</v>
      </c>
      <c r="C1111" s="20">
        <f>'Landscape Trees '!D969</f>
        <v>0</v>
      </c>
      <c r="D1111" s="20">
        <f>'Landscape Trees '!E969</f>
        <v>0</v>
      </c>
      <c r="E1111" s="20">
        <f>'Landscape Trees '!F969</f>
        <v>0</v>
      </c>
      <c r="F1111" s="20">
        <f>'Landscape Trees '!G969</f>
        <v>0</v>
      </c>
      <c r="G1111" s="20">
        <f>'Landscape Trees '!H969</f>
        <v>0</v>
      </c>
      <c r="H1111" s="20">
        <f>'Landscape Trees '!I969</f>
        <v>0</v>
      </c>
    </row>
    <row r="1112" spans="1:8" ht="12.75">
      <c r="A1112" s="20">
        <f>'Landscape Trees '!A970</f>
        <v>0</v>
      </c>
      <c r="B1112" s="20">
        <f>'Landscape Trees '!C970</f>
        <v>0</v>
      </c>
      <c r="C1112" s="20">
        <f>'Landscape Trees '!D970</f>
        <v>0</v>
      </c>
      <c r="D1112" s="20">
        <f>'Landscape Trees '!E970</f>
        <v>0</v>
      </c>
      <c r="E1112" s="20">
        <f>'Landscape Trees '!F970</f>
        <v>0</v>
      </c>
      <c r="F1112" s="20">
        <f>'Landscape Trees '!G970</f>
        <v>0</v>
      </c>
      <c r="G1112" s="20">
        <f>'Landscape Trees '!H970</f>
        <v>0</v>
      </c>
      <c r="H1112" s="20">
        <f>'Landscape Trees '!I970</f>
        <v>0</v>
      </c>
    </row>
    <row r="1113" spans="1:8" ht="12.75">
      <c r="A1113" s="20">
        <f>'Landscape Trees '!A971</f>
        <v>0</v>
      </c>
      <c r="B1113" s="20">
        <f>'Landscape Trees '!C971</f>
        <v>0</v>
      </c>
      <c r="C1113" s="20">
        <f>'Landscape Trees '!D971</f>
        <v>0</v>
      </c>
      <c r="D1113" s="20">
        <f>'Landscape Trees '!E971</f>
        <v>0</v>
      </c>
      <c r="E1113" s="20">
        <f>'Landscape Trees '!F971</f>
        <v>0</v>
      </c>
      <c r="F1113" s="20">
        <f>'Landscape Trees '!G971</f>
        <v>0</v>
      </c>
      <c r="G1113" s="20">
        <f>'Landscape Trees '!H971</f>
        <v>0</v>
      </c>
      <c r="H1113" s="20">
        <f>'Landscape Trees '!I971</f>
        <v>0</v>
      </c>
    </row>
    <row r="1114" spans="1:8" ht="12.75">
      <c r="A1114" s="20">
        <f>'Landscape Trees '!A972</f>
        <v>0</v>
      </c>
      <c r="B1114" s="20">
        <f>'Landscape Trees '!C972</f>
        <v>0</v>
      </c>
      <c r="C1114" s="20">
        <f>'Landscape Trees '!D972</f>
        <v>0</v>
      </c>
      <c r="D1114" s="20">
        <f>'Landscape Trees '!E972</f>
        <v>0</v>
      </c>
      <c r="E1114" s="20">
        <f>'Landscape Trees '!F972</f>
        <v>0</v>
      </c>
      <c r="F1114" s="20">
        <f>'Landscape Trees '!G972</f>
        <v>0</v>
      </c>
      <c r="G1114" s="20">
        <f>'Landscape Trees '!H972</f>
        <v>0</v>
      </c>
      <c r="H1114" s="20">
        <f>'Landscape Trees '!I972</f>
        <v>0</v>
      </c>
    </row>
    <row r="1115" spans="1:8" ht="12.75">
      <c r="A1115" s="20">
        <f>'Landscape Trees '!A973</f>
        <v>0</v>
      </c>
      <c r="B1115" s="20">
        <f>'Landscape Trees '!C973</f>
        <v>0</v>
      </c>
      <c r="C1115" s="20">
        <f>'Landscape Trees '!D973</f>
        <v>0</v>
      </c>
      <c r="D1115" s="20">
        <f>'Landscape Trees '!E973</f>
        <v>0</v>
      </c>
      <c r="E1115" s="20">
        <f>'Landscape Trees '!F973</f>
        <v>0</v>
      </c>
      <c r="F1115" s="20">
        <f>'Landscape Trees '!G973</f>
        <v>0</v>
      </c>
      <c r="G1115" s="20">
        <f>'Landscape Trees '!H973</f>
        <v>0</v>
      </c>
      <c r="H1115" s="20">
        <f>'Landscape Trees '!I973</f>
        <v>0</v>
      </c>
    </row>
    <row r="1116" spans="1:8" ht="12.75">
      <c r="A1116" s="20">
        <f>'Landscape Trees '!A974</f>
        <v>0</v>
      </c>
      <c r="B1116" s="20">
        <f>'Landscape Trees '!C974</f>
        <v>0</v>
      </c>
      <c r="C1116" s="20">
        <f>'Landscape Trees '!D974</f>
        <v>0</v>
      </c>
      <c r="D1116" s="20">
        <f>'Landscape Trees '!E974</f>
        <v>0</v>
      </c>
      <c r="E1116" s="20">
        <f>'Landscape Trees '!F974</f>
        <v>0</v>
      </c>
      <c r="F1116" s="20">
        <f>'Landscape Trees '!G974</f>
        <v>0</v>
      </c>
      <c r="G1116" s="20">
        <f>'Landscape Trees '!H974</f>
        <v>0</v>
      </c>
      <c r="H1116" s="20">
        <f>'Landscape Trees '!I974</f>
        <v>0</v>
      </c>
    </row>
    <row r="1117" spans="1:8" ht="12.75">
      <c r="A1117" s="20">
        <f>'Landscape Trees '!A975</f>
        <v>0</v>
      </c>
      <c r="B1117" s="20">
        <f>'Landscape Trees '!C975</f>
        <v>0</v>
      </c>
      <c r="C1117" s="20">
        <f>'Landscape Trees '!D975</f>
        <v>0</v>
      </c>
      <c r="D1117" s="20">
        <f>'Landscape Trees '!E975</f>
        <v>0</v>
      </c>
      <c r="E1117" s="20">
        <f>'Landscape Trees '!F975</f>
        <v>0</v>
      </c>
      <c r="F1117" s="20">
        <f>'Landscape Trees '!G975</f>
        <v>0</v>
      </c>
      <c r="G1117" s="20">
        <f>'Landscape Trees '!H975</f>
        <v>0</v>
      </c>
      <c r="H1117" s="20">
        <f>'Landscape Trees '!I975</f>
        <v>0</v>
      </c>
    </row>
    <row r="1118" spans="1:8" ht="12.75">
      <c r="A1118" s="20">
        <f>'Landscape Trees '!A976</f>
        <v>0</v>
      </c>
      <c r="B1118" s="20">
        <f>'Landscape Trees '!C976</f>
        <v>0</v>
      </c>
      <c r="C1118" s="20">
        <f>'Landscape Trees '!D976</f>
        <v>0</v>
      </c>
      <c r="D1118" s="20">
        <f>'Landscape Trees '!E976</f>
        <v>0</v>
      </c>
      <c r="E1118" s="20">
        <f>'Landscape Trees '!F976</f>
        <v>0</v>
      </c>
      <c r="F1118" s="20">
        <f>'Landscape Trees '!G976</f>
        <v>0</v>
      </c>
      <c r="G1118" s="20">
        <f>'Landscape Trees '!H976</f>
        <v>0</v>
      </c>
      <c r="H1118" s="20">
        <f>'Landscape Trees '!I976</f>
        <v>0</v>
      </c>
    </row>
    <row r="1119" spans="1:8" ht="12.75">
      <c r="A1119" s="20">
        <f>'Landscape Trees '!A977</f>
        <v>0</v>
      </c>
      <c r="B1119" s="20">
        <f>'Landscape Trees '!C977</f>
        <v>0</v>
      </c>
      <c r="C1119" s="20">
        <f>'Landscape Trees '!D977</f>
        <v>0</v>
      </c>
      <c r="D1119" s="20">
        <f>'Landscape Trees '!E977</f>
        <v>0</v>
      </c>
      <c r="E1119" s="20">
        <f>'Landscape Trees '!F977</f>
        <v>0</v>
      </c>
      <c r="F1119" s="20">
        <f>'Landscape Trees '!G977</f>
        <v>0</v>
      </c>
      <c r="G1119" s="20">
        <f>'Landscape Trees '!H977</f>
        <v>0</v>
      </c>
      <c r="H1119" s="20">
        <f>'Landscape Trees '!I977</f>
        <v>0</v>
      </c>
    </row>
    <row r="1120" spans="1:8" ht="12.75">
      <c r="A1120" s="20">
        <f>'Landscape Trees '!A978</f>
        <v>0</v>
      </c>
      <c r="B1120" s="20">
        <f>'Landscape Trees '!C978</f>
        <v>0</v>
      </c>
      <c r="C1120" s="20">
        <f>'Landscape Trees '!D978</f>
        <v>0</v>
      </c>
      <c r="D1120" s="20">
        <f>'Landscape Trees '!E978</f>
        <v>0</v>
      </c>
      <c r="E1120" s="20">
        <f>'Landscape Trees '!F978</f>
        <v>0</v>
      </c>
      <c r="F1120" s="20">
        <f>'Landscape Trees '!G978</f>
        <v>0</v>
      </c>
      <c r="G1120" s="20">
        <f>'Landscape Trees '!H978</f>
        <v>0</v>
      </c>
      <c r="H1120" s="20">
        <f>'Landscape Trees '!I978</f>
        <v>0</v>
      </c>
    </row>
    <row r="1121" spans="1:8" ht="12.75">
      <c r="A1121" s="20">
        <f>'Landscape Trees '!A979</f>
        <v>0</v>
      </c>
      <c r="B1121" s="20">
        <f>'Landscape Trees '!C979</f>
        <v>0</v>
      </c>
      <c r="C1121" s="20">
        <f>'Landscape Trees '!D979</f>
        <v>0</v>
      </c>
      <c r="D1121" s="20">
        <f>'Landscape Trees '!E979</f>
        <v>0</v>
      </c>
      <c r="E1121" s="20">
        <f>'Landscape Trees '!F979</f>
        <v>0</v>
      </c>
      <c r="F1121" s="20">
        <f>'Landscape Trees '!G979</f>
        <v>0</v>
      </c>
      <c r="G1121" s="20">
        <f>'Landscape Trees '!H979</f>
        <v>0</v>
      </c>
      <c r="H1121" s="20">
        <f>'Landscape Trees '!I979</f>
        <v>0</v>
      </c>
    </row>
    <row r="1122" spans="1:8" ht="12.75">
      <c r="A1122" s="20">
        <f>'Landscape Trees '!A980</f>
        <v>0</v>
      </c>
      <c r="B1122" s="20">
        <f>'Landscape Trees '!C980</f>
        <v>0</v>
      </c>
      <c r="C1122" s="20">
        <f>'Landscape Trees '!D980</f>
        <v>0</v>
      </c>
      <c r="D1122" s="20">
        <f>'Landscape Trees '!E980</f>
        <v>0</v>
      </c>
      <c r="E1122" s="20">
        <f>'Landscape Trees '!F980</f>
        <v>0</v>
      </c>
      <c r="F1122" s="20">
        <f>'Landscape Trees '!G980</f>
        <v>0</v>
      </c>
      <c r="G1122" s="20">
        <f>'Landscape Trees '!H980</f>
        <v>0</v>
      </c>
      <c r="H1122" s="20">
        <f>'Landscape Trees '!I980</f>
        <v>0</v>
      </c>
    </row>
    <row r="1123" spans="1:8" ht="12.75">
      <c r="A1123" s="20">
        <f>'Landscape Trees '!A981</f>
        <v>0</v>
      </c>
      <c r="B1123" s="20">
        <f>'Landscape Trees '!C981</f>
        <v>0</v>
      </c>
      <c r="C1123" s="20">
        <f>'Landscape Trees '!D981</f>
        <v>0</v>
      </c>
      <c r="D1123" s="20">
        <f>'Landscape Trees '!E981</f>
        <v>0</v>
      </c>
      <c r="E1123" s="20">
        <f>'Landscape Trees '!F981</f>
        <v>0</v>
      </c>
      <c r="F1123" s="20">
        <f>'Landscape Trees '!G981</f>
        <v>0</v>
      </c>
      <c r="G1123" s="20">
        <f>'Landscape Trees '!H981</f>
        <v>0</v>
      </c>
      <c r="H1123" s="20">
        <f>'Landscape Trees '!I981</f>
        <v>0</v>
      </c>
    </row>
    <row r="1124" spans="1:8" ht="12.75">
      <c r="A1124" s="20">
        <f>'Landscape Trees '!A982</f>
        <v>0</v>
      </c>
      <c r="B1124" s="20">
        <f>'Landscape Trees '!C982</f>
        <v>0</v>
      </c>
      <c r="C1124" s="20">
        <f>'Landscape Trees '!D982</f>
        <v>0</v>
      </c>
      <c r="D1124" s="20">
        <f>'Landscape Trees '!E982</f>
        <v>0</v>
      </c>
      <c r="E1124" s="20">
        <f>'Landscape Trees '!F982</f>
        <v>0</v>
      </c>
      <c r="F1124" s="20">
        <f>'Landscape Trees '!G982</f>
        <v>0</v>
      </c>
      <c r="G1124" s="20">
        <f>'Landscape Trees '!H982</f>
        <v>0</v>
      </c>
      <c r="H1124" s="20">
        <f>'Landscape Trees '!I982</f>
        <v>0</v>
      </c>
    </row>
    <row r="1125" spans="1:8" ht="12.75">
      <c r="A1125" s="20">
        <f>'Landscape Trees '!A983</f>
        <v>0</v>
      </c>
      <c r="B1125" s="20">
        <f>'Landscape Trees '!C983</f>
        <v>0</v>
      </c>
      <c r="C1125" s="20">
        <f>'Landscape Trees '!D983</f>
        <v>0</v>
      </c>
      <c r="D1125" s="20">
        <f>'Landscape Trees '!E983</f>
        <v>0</v>
      </c>
      <c r="E1125" s="20">
        <f>'Landscape Trees '!F983</f>
        <v>0</v>
      </c>
      <c r="F1125" s="20">
        <f>'Landscape Trees '!G983</f>
        <v>0</v>
      </c>
      <c r="G1125" s="20">
        <f>'Landscape Trees '!H983</f>
        <v>0</v>
      </c>
      <c r="H1125" s="20">
        <f>'Landscape Trees '!I983</f>
        <v>0</v>
      </c>
    </row>
    <row r="1126" spans="1:8" ht="12.75">
      <c r="A1126" s="20">
        <f>'Landscape Trees '!A984</f>
        <v>0</v>
      </c>
      <c r="B1126" s="20">
        <f>'Landscape Trees '!C984</f>
        <v>0</v>
      </c>
      <c r="C1126" s="20">
        <f>'Landscape Trees '!D984</f>
        <v>0</v>
      </c>
      <c r="D1126" s="20">
        <f>'Landscape Trees '!E984</f>
        <v>0</v>
      </c>
      <c r="E1126" s="20">
        <f>'Landscape Trees '!F984</f>
        <v>0</v>
      </c>
      <c r="F1126" s="20">
        <f>'Landscape Trees '!G984</f>
        <v>0</v>
      </c>
      <c r="G1126" s="20">
        <f>'Landscape Trees '!H984</f>
        <v>0</v>
      </c>
      <c r="H1126" s="20">
        <f>'Landscape Trees '!I984</f>
        <v>0</v>
      </c>
    </row>
    <row r="1127" spans="1:8" ht="12.75">
      <c r="A1127" s="20">
        <f>'Landscape Trees '!A985</f>
        <v>0</v>
      </c>
      <c r="B1127" s="20">
        <f>'Landscape Trees '!C985</f>
        <v>0</v>
      </c>
      <c r="C1127" s="20">
        <f>'Landscape Trees '!D985</f>
        <v>0</v>
      </c>
      <c r="D1127" s="20">
        <f>'Landscape Trees '!E985</f>
        <v>0</v>
      </c>
      <c r="E1127" s="20">
        <f>'Landscape Trees '!F985</f>
        <v>0</v>
      </c>
      <c r="F1127" s="20">
        <f>'Landscape Trees '!G985</f>
        <v>0</v>
      </c>
      <c r="G1127" s="20">
        <f>'Landscape Trees '!H985</f>
        <v>0</v>
      </c>
      <c r="H1127" s="20">
        <f>'Landscape Trees '!I985</f>
        <v>0</v>
      </c>
    </row>
    <row r="1128" spans="1:8" ht="12.75">
      <c r="A1128" s="20">
        <f>'Landscape Trees '!A986</f>
        <v>0</v>
      </c>
      <c r="B1128" s="20">
        <f>'Landscape Trees '!C986</f>
        <v>0</v>
      </c>
      <c r="C1128" s="20">
        <f>'Landscape Trees '!D986</f>
        <v>0</v>
      </c>
      <c r="D1128" s="20">
        <f>'Landscape Trees '!E986</f>
        <v>0</v>
      </c>
      <c r="E1128" s="20">
        <f>'Landscape Trees '!F986</f>
        <v>0</v>
      </c>
      <c r="F1128" s="20">
        <f>'Landscape Trees '!G986</f>
        <v>0</v>
      </c>
      <c r="G1128" s="20">
        <f>'Landscape Trees '!H986</f>
        <v>0</v>
      </c>
      <c r="H1128" s="20">
        <f>'Landscape Trees '!I986</f>
        <v>0</v>
      </c>
    </row>
    <row r="1129" spans="1:8" ht="12.75">
      <c r="A1129" s="20">
        <f>'Landscape Trees '!A987</f>
        <v>0</v>
      </c>
      <c r="B1129" s="20">
        <f>'Landscape Trees '!C987</f>
        <v>0</v>
      </c>
      <c r="C1129" s="20">
        <f>'Landscape Trees '!D987</f>
        <v>0</v>
      </c>
      <c r="D1129" s="20">
        <f>'Landscape Trees '!E987</f>
        <v>0</v>
      </c>
      <c r="E1129" s="20">
        <f>'Landscape Trees '!F987</f>
        <v>0</v>
      </c>
      <c r="F1129" s="20">
        <f>'Landscape Trees '!G987</f>
        <v>0</v>
      </c>
      <c r="G1129" s="20">
        <f>'Landscape Trees '!H987</f>
        <v>0</v>
      </c>
      <c r="H1129" s="20">
        <f>'Landscape Trees '!I987</f>
        <v>0</v>
      </c>
    </row>
    <row r="1130" spans="1:8" ht="12.75">
      <c r="A1130" s="20">
        <f>'Landscape Trees '!A988</f>
        <v>0</v>
      </c>
      <c r="B1130" s="20">
        <f>'Landscape Trees '!C988</f>
        <v>0</v>
      </c>
      <c r="C1130" s="20">
        <f>'Landscape Trees '!D988</f>
        <v>0</v>
      </c>
      <c r="D1130" s="20">
        <f>'Landscape Trees '!E988</f>
        <v>0</v>
      </c>
      <c r="E1130" s="20">
        <f>'Landscape Trees '!F988</f>
        <v>0</v>
      </c>
      <c r="F1130" s="20">
        <f>'Landscape Trees '!G988</f>
        <v>0</v>
      </c>
      <c r="G1130" s="20">
        <f>'Landscape Trees '!H988</f>
        <v>0</v>
      </c>
      <c r="H1130" s="20">
        <f>'Landscape Trees '!I988</f>
        <v>0</v>
      </c>
    </row>
    <row r="1131" spans="1:8" ht="12.75">
      <c r="A1131" s="20">
        <f>'Landscape Trees '!A989</f>
        <v>0</v>
      </c>
      <c r="B1131" s="20">
        <f>'Landscape Trees '!C989</f>
        <v>0</v>
      </c>
      <c r="C1131" s="20">
        <f>'Landscape Trees '!D989</f>
        <v>0</v>
      </c>
      <c r="D1131" s="20">
        <f>'Landscape Trees '!E989</f>
        <v>0</v>
      </c>
      <c r="E1131" s="20">
        <f>'Landscape Trees '!F989</f>
        <v>0</v>
      </c>
      <c r="F1131" s="20">
        <f>'Landscape Trees '!G989</f>
        <v>0</v>
      </c>
      <c r="G1131" s="20">
        <f>'Landscape Trees '!H989</f>
        <v>0</v>
      </c>
      <c r="H1131" s="20">
        <f>'Landscape Trees '!I989</f>
        <v>0</v>
      </c>
    </row>
    <row r="1132" spans="1:8" ht="12.75">
      <c r="A1132" s="20">
        <f>'Landscape Trees '!A990</f>
        <v>0</v>
      </c>
      <c r="B1132" s="20">
        <f>'Landscape Trees '!C990</f>
        <v>0</v>
      </c>
      <c r="C1132" s="20">
        <f>'Landscape Trees '!D990</f>
        <v>0</v>
      </c>
      <c r="D1132" s="20">
        <f>'Landscape Trees '!E990</f>
        <v>0</v>
      </c>
      <c r="E1132" s="20">
        <f>'Landscape Trees '!F990</f>
        <v>0</v>
      </c>
      <c r="F1132" s="20">
        <f>'Landscape Trees '!G990</f>
        <v>0</v>
      </c>
      <c r="G1132" s="20">
        <f>'Landscape Trees '!H990</f>
        <v>0</v>
      </c>
      <c r="H1132" s="20">
        <f>'Landscape Trees '!I990</f>
        <v>0</v>
      </c>
    </row>
    <row r="1133" spans="1:8" ht="12.75">
      <c r="A1133" s="20">
        <f>'Landscape Trees '!A991</f>
        <v>0</v>
      </c>
      <c r="B1133" s="20">
        <f>'Landscape Trees '!C991</f>
        <v>0</v>
      </c>
      <c r="C1133" s="20">
        <f>'Landscape Trees '!D991</f>
        <v>0</v>
      </c>
      <c r="D1133" s="20">
        <f>'Landscape Trees '!E991</f>
        <v>0</v>
      </c>
      <c r="E1133" s="20">
        <f>'Landscape Trees '!F991</f>
        <v>0</v>
      </c>
      <c r="F1133" s="20">
        <f>'Landscape Trees '!G991</f>
        <v>0</v>
      </c>
      <c r="G1133" s="20">
        <f>'Landscape Trees '!H991</f>
        <v>0</v>
      </c>
      <c r="H1133" s="20">
        <f>'Landscape Trees '!I991</f>
        <v>0</v>
      </c>
    </row>
    <row r="1134" spans="1:8" ht="12.75">
      <c r="A1134" s="20">
        <f>'Landscape Trees '!A992</f>
        <v>0</v>
      </c>
      <c r="B1134" s="20">
        <f>'Landscape Trees '!C992</f>
        <v>0</v>
      </c>
      <c r="C1134" s="20">
        <f>'Landscape Trees '!D992</f>
        <v>0</v>
      </c>
      <c r="D1134" s="20">
        <f>'Landscape Trees '!E992</f>
        <v>0</v>
      </c>
      <c r="E1134" s="20">
        <f>'Landscape Trees '!F992</f>
        <v>0</v>
      </c>
      <c r="F1134" s="20">
        <f>'Landscape Trees '!G992</f>
        <v>0</v>
      </c>
      <c r="G1134" s="20">
        <f>'Landscape Trees '!H992</f>
        <v>0</v>
      </c>
      <c r="H1134" s="20">
        <f>'Landscape Trees '!I992</f>
        <v>0</v>
      </c>
    </row>
    <row r="1135" spans="1:8" ht="12.75">
      <c r="A1135" s="20">
        <f>'Landscape Trees '!A993</f>
        <v>0</v>
      </c>
      <c r="B1135" s="20">
        <f>'Landscape Trees '!C993</f>
        <v>0</v>
      </c>
      <c r="C1135" s="20">
        <f>'Landscape Trees '!D993</f>
        <v>0</v>
      </c>
      <c r="D1135" s="20">
        <f>'Landscape Trees '!E993</f>
        <v>0</v>
      </c>
      <c r="E1135" s="20">
        <f>'Landscape Trees '!F993</f>
        <v>0</v>
      </c>
      <c r="F1135" s="20">
        <f>'Landscape Trees '!G993</f>
        <v>0</v>
      </c>
      <c r="G1135" s="20">
        <f>'Landscape Trees '!H993</f>
        <v>0</v>
      </c>
      <c r="H1135" s="20">
        <f>'Landscape Trees '!I993</f>
        <v>0</v>
      </c>
    </row>
    <row r="1136" spans="1:8" ht="12.75">
      <c r="A1136" s="20">
        <f>'Landscape Trees '!A994</f>
        <v>0</v>
      </c>
      <c r="B1136" s="20">
        <f>'Landscape Trees '!C994</f>
        <v>0</v>
      </c>
      <c r="C1136" s="20">
        <f>'Landscape Trees '!D994</f>
        <v>0</v>
      </c>
      <c r="D1136" s="20">
        <f>'Landscape Trees '!E994</f>
        <v>0</v>
      </c>
      <c r="E1136" s="20">
        <f>'Landscape Trees '!F994</f>
        <v>0</v>
      </c>
      <c r="F1136" s="20">
        <f>'Landscape Trees '!G994</f>
        <v>0</v>
      </c>
      <c r="G1136" s="20">
        <f>'Landscape Trees '!H994</f>
        <v>0</v>
      </c>
      <c r="H1136" s="20">
        <f>'Landscape Trees '!I994</f>
        <v>0</v>
      </c>
    </row>
    <row r="1137" spans="1:8" ht="12.75">
      <c r="A1137" s="20">
        <f>'Landscape Trees '!A995</f>
        <v>0</v>
      </c>
      <c r="B1137" s="20">
        <f>'Landscape Trees '!C995</f>
        <v>0</v>
      </c>
      <c r="C1137" s="20">
        <f>'Landscape Trees '!D995</f>
        <v>0</v>
      </c>
      <c r="D1137" s="20">
        <f>'Landscape Trees '!E995</f>
        <v>0</v>
      </c>
      <c r="E1137" s="20">
        <f>'Landscape Trees '!F995</f>
        <v>0</v>
      </c>
      <c r="F1137" s="20">
        <f>'Landscape Trees '!G995</f>
        <v>0</v>
      </c>
      <c r="G1137" s="20">
        <f>'Landscape Trees '!H995</f>
        <v>0</v>
      </c>
      <c r="H1137" s="20">
        <f>'Landscape Trees '!I995</f>
        <v>0</v>
      </c>
    </row>
    <row r="1138" spans="1:8" ht="12.75">
      <c r="A1138" s="20">
        <f>'Landscape Trees '!A996</f>
        <v>0</v>
      </c>
      <c r="B1138" s="20">
        <f>'Landscape Trees '!C996</f>
        <v>0</v>
      </c>
      <c r="C1138" s="20">
        <f>'Landscape Trees '!D996</f>
        <v>0</v>
      </c>
      <c r="D1138" s="20">
        <f>'Landscape Trees '!E996</f>
        <v>0</v>
      </c>
      <c r="E1138" s="20">
        <f>'Landscape Trees '!F996</f>
        <v>0</v>
      </c>
      <c r="F1138" s="20">
        <f>'Landscape Trees '!G996</f>
        <v>0</v>
      </c>
      <c r="G1138" s="20">
        <f>'Landscape Trees '!H996</f>
        <v>0</v>
      </c>
      <c r="H1138" s="20">
        <f>'Landscape Trees '!I996</f>
        <v>0</v>
      </c>
    </row>
    <row r="1139" spans="1:8" ht="12.75">
      <c r="A1139" s="20">
        <f>'Landscape Trees '!A997</f>
        <v>0</v>
      </c>
      <c r="B1139" s="20">
        <f>'Landscape Trees '!C997</f>
        <v>0</v>
      </c>
      <c r="C1139" s="20">
        <f>'Landscape Trees '!D997</f>
        <v>0</v>
      </c>
      <c r="D1139" s="20">
        <f>'Landscape Trees '!E997</f>
        <v>0</v>
      </c>
      <c r="E1139" s="20">
        <f>'Landscape Trees '!F997</f>
        <v>0</v>
      </c>
      <c r="F1139" s="20">
        <f>'Landscape Trees '!G997</f>
        <v>0</v>
      </c>
      <c r="G1139" s="20">
        <f>'Landscape Trees '!H997</f>
        <v>0</v>
      </c>
      <c r="H1139" s="20">
        <f>'Landscape Trees '!I997</f>
        <v>0</v>
      </c>
    </row>
    <row r="1140" spans="1:8" ht="12.75">
      <c r="A1140" s="20">
        <f>'Landscape Trees '!A998</f>
        <v>0</v>
      </c>
      <c r="B1140" s="20">
        <f>'Landscape Trees '!C998</f>
        <v>0</v>
      </c>
      <c r="C1140" s="20">
        <f>'Landscape Trees '!D998</f>
        <v>0</v>
      </c>
      <c r="D1140" s="20">
        <f>'Landscape Trees '!E998</f>
        <v>0</v>
      </c>
      <c r="E1140" s="20">
        <f>'Landscape Trees '!F998</f>
        <v>0</v>
      </c>
      <c r="F1140" s="20">
        <f>'Landscape Trees '!G998</f>
        <v>0</v>
      </c>
      <c r="G1140" s="20">
        <f>'Landscape Trees '!H998</f>
        <v>0</v>
      </c>
      <c r="H1140" s="20">
        <f>'Landscape Trees '!I998</f>
        <v>0</v>
      </c>
    </row>
    <row r="1141" spans="1:8" ht="12.75">
      <c r="A1141" s="20">
        <f>'Landscape Trees '!A999</f>
        <v>0</v>
      </c>
      <c r="B1141" s="20">
        <f>'Landscape Trees '!C999</f>
        <v>0</v>
      </c>
      <c r="C1141" s="20">
        <f>'Landscape Trees '!D999</f>
        <v>0</v>
      </c>
      <c r="D1141" s="20">
        <f>'Landscape Trees '!E999</f>
        <v>0</v>
      </c>
      <c r="E1141" s="20">
        <f>'Landscape Trees '!F999</f>
        <v>0</v>
      </c>
      <c r="F1141" s="20">
        <f>'Landscape Trees '!G999</f>
        <v>0</v>
      </c>
      <c r="G1141" s="20">
        <f>'Landscape Trees '!H999</f>
        <v>0</v>
      </c>
      <c r="H1141" s="20">
        <f>'Landscape Trees '!I999</f>
        <v>0</v>
      </c>
    </row>
    <row r="1142" spans="1:8" ht="12.75">
      <c r="A1142" s="20">
        <f>'Landscape Trees '!A1000</f>
        <v>0</v>
      </c>
      <c r="B1142" s="20">
        <f>'Landscape Trees '!C1000</f>
        <v>0</v>
      </c>
      <c r="C1142" s="20">
        <f>'Landscape Trees '!D1000</f>
        <v>0</v>
      </c>
      <c r="D1142" s="20">
        <f>'Landscape Trees '!E1000</f>
        <v>0</v>
      </c>
      <c r="E1142" s="20">
        <f>'Landscape Trees '!F1000</f>
        <v>0</v>
      </c>
      <c r="F1142" s="20">
        <f>'Landscape Trees '!G1000</f>
        <v>0</v>
      </c>
      <c r="G1142" s="20">
        <f>'Landscape Trees '!H1000</f>
        <v>0</v>
      </c>
      <c r="H1142" s="20">
        <f>'Landscape Trees '!I1000</f>
        <v>0</v>
      </c>
    </row>
  </sheetData>
  <sheetProtection sheet="1" objects="1" scenarios="1"/>
  <printOptions horizontalCentered="1" gridLines="1"/>
  <pageMargins left="0.3" right="0.3" top="0.3" bottom="0.3" header="0" footer="0"/>
  <pageSetup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Order Form</vt:lpstr>
      <vt:lpstr>Fruit Trees</vt:lpstr>
      <vt:lpstr>Landscape Trees </vt:lpstr>
      <vt:lpstr>Printer Version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Tree Authority LLC</cp:lastModifiedBy>
  <dcterms:created xsi:type="dcterms:W3CDTF">2021-01-15T17:55:04Z</dcterms:created>
  <dcterms:modified xsi:type="dcterms:W3CDTF">2021-01-15T17:55:05Z</dcterms:modified>
</cp:coreProperties>
</file>