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D:\2025\Budget\"/>
    </mc:Choice>
  </mc:AlternateContent>
  <xr:revisionPtr revIDLastSave="0" documentId="8_{D6CCABB1-2892-4EE3-BB87-5FCBD5222C3E}" xr6:coauthVersionLast="47" xr6:coauthVersionMax="47" xr10:uidLastSave="{00000000-0000-0000-0000-000000000000}"/>
  <workbookProtection workbookAlgorithmName="SHA-512" workbookHashValue="E82SfMmsLBpb5SNH2Jzx7RGFj+rsqfUzaBMOIGUpmZbDBWguBME5dX9aeZ0p/BUGiwhrefKpYJHuc6qeSH3Ctw==" workbookSaltValue="fwZ5ar6L4ApuYu70a++HUQ==" workbookSpinCount="100000" lockStructure="1"/>
  <bookViews>
    <workbookView xWindow="-120" yWindow="-120" windowWidth="20730" windowHeight="11760" tabRatio="977" firstSheet="4" activeTab="4" xr2:uid="{21890A75-B024-443D-936D-A0C075345718}"/>
  </bookViews>
  <sheets>
    <sheet name="Info" sheetId="40" state="hidden" r:id="rId1"/>
    <sheet name="Examiner Dashboard" sheetId="66" state="hidden" r:id="rId2"/>
    <sheet name="KEY METRICS" sheetId="73" state="hidden" r:id="rId3"/>
    <sheet name="Instructions" sheetId="74" r:id="rId4"/>
    <sheet name="KEY INPUTS" sheetId="36" r:id="rId5"/>
    <sheet name="Cover Sheet" sheetId="18" r:id="rId6"/>
    <sheet name="Certification Section" sheetId="19" r:id="rId7"/>
    <sheet name="Division Cert." sheetId="20" r:id="rId8"/>
    <sheet name="Preparer Cert." sheetId="21" r:id="rId9"/>
    <sheet name="Preparer Other Assets Cert." sheetId="22" r:id="rId10"/>
    <sheet name="Internet Cert." sheetId="24" r:id="rId11"/>
    <sheet name="Approval Cert." sheetId="23" r:id="rId12"/>
    <sheet name="Approval Resolution" sheetId="25" r:id="rId13"/>
    <sheet name="Adoption Cert." sheetId="26" r:id="rId14"/>
    <sheet name="Adopted Resolution" sheetId="27" r:id="rId15"/>
    <sheet name="Narrative and Information" sheetId="28" r:id="rId16"/>
    <sheet name="Message &amp; Analysis" sheetId="29" r:id="rId17"/>
    <sheet name="Message &amp; Analysis (2)" sheetId="41" r:id="rId18"/>
    <sheet name="Message &amp; Analysis (3)" sheetId="55" r:id="rId19"/>
    <sheet name="Contact Information" sheetId="31" r:id="rId20"/>
    <sheet name="Questionnaire" sheetId="32" r:id="rId21"/>
    <sheet name="Questionnaire (2)" sheetId="33" r:id="rId22"/>
    <sheet name="Questionnaire (3)" sheetId="81" r:id="rId23"/>
    <sheet name="Vehicle List" sheetId="57" r:id="rId24"/>
    <sheet name="Vehicle List (2)" sheetId="59" state="hidden" r:id="rId25"/>
    <sheet name="Vehicle List (3)" sheetId="77" state="hidden" r:id="rId26"/>
    <sheet name="Commissioner Schedule (N-4)" sheetId="34" r:id="rId27"/>
    <sheet name="Page N-4 (2 of 2)" sheetId="15" r:id="rId28"/>
    <sheet name="Health Benefits (N-5)" sheetId="16" r:id="rId29"/>
    <sheet name="Accumulated Absences (N-6)" sheetId="17" r:id="rId30"/>
    <sheet name="Accumulated Absences (N-6) (2)" sheetId="48" state="hidden" r:id="rId31"/>
    <sheet name="Accumulated Absences (N-6) (3)" sheetId="49" state="hidden" r:id="rId32"/>
    <sheet name="Accumulated Absences (N-6) (4)" sheetId="50" state="hidden" r:id="rId33"/>
    <sheet name="Accumulated Absences (N-6) (5)" sheetId="51" state="hidden" r:id="rId34"/>
    <sheet name="Accumulated Absences (N-6) (6)" sheetId="52" state="hidden" r:id="rId35"/>
    <sheet name="Accumulated Absences (N-6) (7)" sheetId="54" state="hidden" r:id="rId36"/>
    <sheet name="TOTAL Accumulated Absences" sheetId="53" r:id="rId37"/>
    <sheet name="Financial Schedule" sheetId="35" r:id="rId38"/>
    <sheet name="Information Sheet" sheetId="1" r:id="rId39"/>
    <sheet name="F-1 Budget Summary" sheetId="12" r:id="rId40"/>
    <sheet name="F-2 Revenues (Proposed)" sheetId="3" r:id="rId41"/>
    <sheet name="Revenue Detail" sheetId="78" r:id="rId42"/>
    <sheet name="Revenue Detail (2)" sheetId="79" r:id="rId43"/>
    <sheet name="F-3 Appropriations (Proposed)" sheetId="4" r:id="rId44"/>
    <sheet name="Appropriation Detail" sheetId="68" r:id="rId45"/>
    <sheet name="Appropriation Detail (2)" sheetId="71" r:id="rId46"/>
    <sheet name="Appropriation Detail (3)" sheetId="72" r:id="rId47"/>
    <sheet name="F-4 Salary &amp; Benefit Schedule" sheetId="5" r:id="rId48"/>
    <sheet name="Salary &amp; Benefit Detail" sheetId="63" state="hidden" r:id="rId49"/>
    <sheet name="F-5 Capital Budget Proposed" sheetId="7" r:id="rId50"/>
    <sheet name="Capital Budget Detail" sheetId="76" state="hidden" r:id="rId51"/>
    <sheet name="F-6 Debt Service - Principal" sheetId="6" r:id="rId52"/>
    <sheet name="F-7 Debt Service - Interest" sheetId="8" r:id="rId53"/>
    <sheet name="F-8 Fund Balance" sheetId="9" r:id="rId54"/>
    <sheet name="F-9 Referendums" sheetId="10" r:id="rId55"/>
    <sheet name="F-10 Levy Cap Summary" sheetId="11" r:id="rId56"/>
    <sheet name="F-11 Shared Services" sheetId="13" r:id="rId57"/>
    <sheet name="F-12 Cap Exclusions" sheetId="14" r:id="rId58"/>
    <sheet name="Appendix-Change Orders" sheetId="82"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15G">#REF!</definedName>
    <definedName name="_3C">#REF!</definedName>
    <definedName name="_Order1" hidden="1">255</definedName>
    <definedName name="Absences">'KEY INPUTS'!$D$10</definedName>
    <definedName name="Accum._Absence">'KEY INPUTS'!$D$10</definedName>
    <definedName name="App_Percentage" localSheetId="58">'[1]F-3 Appropriations (Proposed)'!$I$5,'[1]F-3 Appropriations (Proposed)'!$I$6,'[1]F-3 Appropriations (Proposed)'!$I$7,'[1]F-3 Appropriations (Proposed)'!$I$10:$I$16,'[1]F-3 Appropriations (Proposed)'!$I$20:$I$21,'[1]F-3 Appropriations (Proposed)'!$I$24:$I$30,'[1]F-3 Appropriations (Proposed)'!$I$34:$I$35,'[1]F-3 Appropriations (Proposed)'!$I$38:$I$44,'[1]F-3 Appropriations (Proposed)'!$I$48:$I$50,'[1]F-3 Appropriations (Proposed)'!$I$53:$I$58,'[1]F-3 Appropriations (Proposed)'!$I$60:$I$64</definedName>
    <definedName name="App_Percentage" localSheetId="41">'[2]F-3 Appropriations (Proposed)'!$I$5,'[2]F-3 Appropriations (Proposed)'!$I$6,'[2]F-3 Appropriations (Proposed)'!$I$7,'[2]F-3 Appropriations (Proposed)'!$I$10:$I$16,'[2]F-3 Appropriations (Proposed)'!$I$20:$I$21,'[2]F-3 Appropriations (Proposed)'!$I$24:$I$30,'[2]F-3 Appropriations (Proposed)'!$I$34:$I$35,'[2]F-3 Appropriations (Proposed)'!$I$38:$I$44,'[2]F-3 Appropriations (Proposed)'!$I$48:$I$50,'[2]F-3 Appropriations (Proposed)'!$I$53:$I$58,'[2]F-3 Appropriations (Proposed)'!$I$60:$I$64</definedName>
    <definedName name="App_Percentage" localSheetId="42">'[2]F-3 Appropriations (Proposed)'!$I$5,'[2]F-3 Appropriations (Proposed)'!$I$6,'[2]F-3 Appropriations (Proposed)'!$I$7,'[2]F-3 Appropriations (Proposed)'!$I$10:$I$16,'[2]F-3 Appropriations (Proposed)'!$I$20:$I$21,'[2]F-3 Appropriations (Proposed)'!$I$24:$I$30,'[2]F-3 Appropriations (Proposed)'!$I$34:$I$35,'[2]F-3 Appropriations (Proposed)'!$I$38:$I$44,'[2]F-3 Appropriations (Proposed)'!$I$48:$I$50,'[2]F-3 Appropriations (Proposed)'!$I$53:$I$58,'[2]F-3 Appropriations (Proposed)'!$I$60:$I$64</definedName>
    <definedName name="App_Percentage">'F-3 Appropriations (Proposed)'!$I$5,'F-3 Appropriations (Proposed)'!$I$6,'F-3 Appropriations (Proposed)'!$I$7,'F-3 Appropriations (Proposed)'!$I$10:$I$16,'F-3 Appropriations (Proposed)'!$I$20:$I$21,'F-3 Appropriations (Proposed)'!$I$28:$I$34,'F-3 Appropriations (Proposed)'!$I$38:$I$39,'F-3 Appropriations (Proposed)'!$I$42:$I$48,'F-3 Appropriations (Proposed)'!$I$52:$I$54,'F-3 Appropriations (Proposed)'!$I$57:$I$62,'F-3 Appropriations (Proposed)'!$I$64:$I$68</definedName>
    <definedName name="Automatic" localSheetId="22">'Questionnaire (3)'!#REF!</definedName>
    <definedName name="Automatic">'Questionnaire (2)'!$E$38</definedName>
    <definedName name="Automatic_Increase" localSheetId="22">'Questionnaire (3)'!#REF!</definedName>
    <definedName name="Automatic_Increase">'Questionnaire (2)'!$E$38</definedName>
    <definedName name="Budget_Year_Type">'[3]Key Inputs'!$G$34</definedName>
    <definedName name="Capital_Budget_Detail" localSheetId="58">'[4]KEY INPUTS'!#REF!</definedName>
    <definedName name="Capital_Budget_Detail">'KEY INPUTS'!$D$12</definedName>
    <definedName name="MCode">'[5]Instructions-Data Entry'!#REF!</definedName>
    <definedName name="Muni_Code">[6]Tables!$A$2:$A$589</definedName>
    <definedName name="Muni_County">[6]Tables!$D$2:$D$589</definedName>
    <definedName name="OUT_S_F_ADJ" localSheetId="58">'[7]24:25'!$L$13:$L$25</definedName>
    <definedName name="OUT_S_F_ADJ">'[8]24:25'!$L$13:$L$25</definedName>
    <definedName name="OUT_S_F_BUD" localSheetId="58">'[7]24:25'!$F$13:$F$25</definedName>
    <definedName name="OUT_S_F_BUD">'[8]24:25'!$F$13:$F$25</definedName>
    <definedName name="OUT_S_F_CASH_" localSheetId="58">'[7]24:25'!$N$13:$N$25</definedName>
    <definedName name="OUT_S_F_CASH_">'[8]24:25'!$N$13:$N$25</definedName>
    <definedName name="OUT_S_F_CUR" localSheetId="58">'[7]24:25'!$H$13:$H$25</definedName>
    <definedName name="OUT_S_F_CUR">'[8]24:25'!$H$13:$H$25</definedName>
    <definedName name="OUT_S_F_EMER" localSheetId="58">'[7]24:25'!$J$13:$J$25</definedName>
    <definedName name="OUT_S_F_EMER">'[8]24:25'!$J$13:$J$25</definedName>
    <definedName name="OUT_S_F_RES" localSheetId="58">'[7]24:25'!$P$13:$P$25</definedName>
    <definedName name="OUT_S_F_RES">'[8]24:25'!$P$13:$P$25</definedName>
    <definedName name="_xlnm.Print_Area" localSheetId="29">'Accumulated Absences (N-6)'!$A$1:$G$26</definedName>
    <definedName name="_xlnm.Print_Area" localSheetId="30">'Accumulated Absences (N-6) (2)'!$A$1:$G$26</definedName>
    <definedName name="_xlnm.Print_Area" localSheetId="31">'Accumulated Absences (N-6) (3)'!$A$1:$G$26</definedName>
    <definedName name="_xlnm.Print_Area" localSheetId="32">'Accumulated Absences (N-6) (4)'!$A$1:$G$26</definedName>
    <definedName name="_xlnm.Print_Area" localSheetId="33">'Accumulated Absences (N-6) (5)'!$A$1:$G$26</definedName>
    <definedName name="_xlnm.Print_Area" localSheetId="34">'Accumulated Absences (N-6) (6)'!$A$1:$G$26</definedName>
    <definedName name="_xlnm.Print_Area" localSheetId="35">'Accumulated Absences (N-6) (7)'!$A$1:$G$26</definedName>
    <definedName name="_xlnm.Print_Area" localSheetId="14">'Adopted Resolution'!$A$1:$G$49</definedName>
    <definedName name="_xlnm.Print_Area" localSheetId="13">'Adoption Cert.'!$A$1:$H$45</definedName>
    <definedName name="_xlnm.Print_Area" localSheetId="58">'Appendix-Change Orders'!$A$1:$R$40</definedName>
    <definedName name="_xlnm.Print_Area" localSheetId="11">'Approval Cert.'!$A$1:$I$47</definedName>
    <definedName name="_xlnm.Print_Area" localSheetId="12">'Approval Resolution'!$A$1:$G$48</definedName>
    <definedName name="_xlnm.Print_Area" localSheetId="26">'Commissioner Schedule (N-4)'!$A$1:$F$48</definedName>
    <definedName name="_xlnm.Print_Area" localSheetId="57">'F-12 Cap Exclusions'!$A$1:$F$62</definedName>
    <definedName name="_xlnm.Print_Area" localSheetId="53">'F-8 Fund Balance'!$A$1:$E$46</definedName>
    <definedName name="_xlnm.Print_Area" localSheetId="28">'Health Benefits (N-5)'!$A$1:$I$36</definedName>
    <definedName name="_xlnm.Print_Area" localSheetId="3">Instructions!$A$1:$C$27</definedName>
    <definedName name="_xlnm.Print_Area" localSheetId="4">'KEY INPUTS'!$A$1:$D$35</definedName>
    <definedName name="_xlnm.Print_Area" localSheetId="16">'Message &amp; Analysis'!$A$1:$K$51</definedName>
    <definedName name="_xlnm.Print_Area" localSheetId="27">'Page N-4 (2 of 2)'!$A$1:$O$43</definedName>
    <definedName name="_xlnm.Print_Area" localSheetId="36">'TOTAL Accumulated Absences'!$A$1:$G$26</definedName>
    <definedName name="PWADJ">#REF!</definedName>
    <definedName name="PWCASH">#REF!</definedName>
    <definedName name="PWCURR">#REF!</definedName>
    <definedName name="PWRES">#REF!</definedName>
    <definedName name="ReceivingProviding">'[9]Data Lists'!$A$14:$A$15</definedName>
    <definedName name="Revenue_Percent" localSheetId="58">'[1]F-2 Revenues (Proposed)'!$I$5,'[1]F-2 Revenues (Proposed)'!$I$6,'[1]F-2 Revenues (Proposed)'!$I$9,'[1]F-2 Revenues (Proposed)'!$I$10,'[1]F-2 Revenues (Proposed)'!$I$11:$I$16,'[1]F-2 Revenues (Proposed)'!$I$19:$I$22,'[1]F-2 Revenues (Proposed)'!$I$25:$I$28,'[1]F-2 Revenues (Proposed)'!$I$31:$I$34,'[1]F-2 Revenues (Proposed)'!$I$37:$I$42,'[1]F-2 Revenues (Proposed)'!$I$46:$I$49,'[1]F-2 Revenues (Proposed)'!$I$52:$I$55</definedName>
    <definedName name="Revenue_Percent" localSheetId="41">'[2]F-2 Revenues (Proposed)'!$I$5,'[2]F-2 Revenues (Proposed)'!$I$6,'[2]F-2 Revenues (Proposed)'!$I$9,'[2]F-2 Revenues (Proposed)'!$I$10,'[2]F-2 Revenues (Proposed)'!$I$11:$I$16,'[2]F-2 Revenues (Proposed)'!$I$19:$I$22,'[2]F-2 Revenues (Proposed)'!$I$25:$I$28,'[2]F-2 Revenues (Proposed)'!$I$31:$I$34,'[2]F-2 Revenues (Proposed)'!$I$37:$I$42,'[2]F-2 Revenues (Proposed)'!$I$46:$I$49,'[2]F-2 Revenues (Proposed)'!$I$52:$I$55</definedName>
    <definedName name="Revenue_Percent" localSheetId="42">'[2]F-2 Revenues (Proposed)'!$I$5,'[2]F-2 Revenues (Proposed)'!$I$6,'[2]F-2 Revenues (Proposed)'!$I$9,'[2]F-2 Revenues (Proposed)'!$I$10,'[2]F-2 Revenues (Proposed)'!$I$11:$I$16,'[2]F-2 Revenues (Proposed)'!$I$19:$I$22,'[2]F-2 Revenues (Proposed)'!$I$25:$I$28,'[2]F-2 Revenues (Proposed)'!$I$31:$I$34,'[2]F-2 Revenues (Proposed)'!$I$37:$I$42,'[2]F-2 Revenues (Proposed)'!$I$46:$I$49,'[2]F-2 Revenues (Proposed)'!$I$52:$I$55</definedName>
    <definedName name="Revenue_Percent">'F-2 Revenues (Proposed)'!$I$5,'F-2 Revenues (Proposed)'!$I$6,'F-2 Revenues (Proposed)'!$I$9,'F-2 Revenues (Proposed)'!$I$10,'F-2 Revenues (Proposed)'!$I$11:$I$16,'F-2 Revenues (Proposed)'!$I$19:$I$22,'F-2 Revenues (Proposed)'!$I$25:$I$28,'F-2 Revenues (Proposed)'!$I$31:$I$34,'F-2 Revenues (Proposed)'!$I$37:$I$42,'F-2 Revenues (Proposed)'!$I$46:$I$49,'F-2 Revenues (Proposed)'!$I$52:$I$55</definedName>
    <definedName name="Salary_Benefit_Detail" localSheetId="58">'[4]KEY INPUTS'!#REF!</definedName>
    <definedName name="Salary_Benefit_Detail">'KEY INPUTS'!$D$11</definedName>
    <definedName name="SeventeenA">[3]Ranges!$A$2:$A$21</definedName>
    <definedName name="State_Wide_Average">'[5]Health Care Calc Worksheet'!$C$4</definedName>
    <definedName name="Twenty_Five">[3]Ranges!$B$2:$B$18</definedName>
    <definedName name="Vehicle_List" localSheetId="58">'[4]KEY INPUTS'!#REF!</definedName>
    <definedName name="Vehicle_List">'KEY INPUTS'!$D$9</definedName>
    <definedName name="YESNO">'[9]Data Lists'!$A$11:$A$12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8" l="1"/>
  <c r="P18" i="6"/>
  <c r="F26" i="4"/>
  <c r="D26" i="4"/>
  <c r="H26" i="4" s="1"/>
  <c r="I26" i="4" s="1"/>
  <c r="H25" i="4"/>
  <c r="I25" i="4" s="1"/>
  <c r="H24" i="4"/>
  <c r="I24" i="4" s="1"/>
  <c r="D7" i="82" l="1"/>
  <c r="N7" i="82"/>
  <c r="A6" i="81" l="1"/>
  <c r="A4" i="81"/>
  <c r="E49" i="79"/>
  <c r="D49" i="79"/>
  <c r="E48" i="79"/>
  <c r="D48" i="79"/>
  <c r="E47" i="79"/>
  <c r="D47" i="79"/>
  <c r="E46" i="79"/>
  <c r="D46" i="79"/>
  <c r="E45" i="79"/>
  <c r="D45" i="79"/>
  <c r="D44" i="79"/>
  <c r="E44" i="79" s="1"/>
  <c r="E43" i="79"/>
  <c r="D43" i="79"/>
  <c r="E42" i="79"/>
  <c r="D42" i="79"/>
  <c r="E41" i="79"/>
  <c r="D41" i="79"/>
  <c r="E40" i="79"/>
  <c r="D40" i="79"/>
  <c r="E39" i="79"/>
  <c r="D39" i="79"/>
  <c r="E38" i="79"/>
  <c r="D38" i="79"/>
  <c r="E37" i="79"/>
  <c r="D37" i="79"/>
  <c r="E36" i="79"/>
  <c r="D36" i="79"/>
  <c r="E35" i="79"/>
  <c r="D35" i="79"/>
  <c r="E34" i="79"/>
  <c r="D34" i="79"/>
  <c r="E33" i="79"/>
  <c r="D33" i="79"/>
  <c r="E32" i="79"/>
  <c r="D32" i="79"/>
  <c r="E31" i="79"/>
  <c r="D31" i="79"/>
  <c r="E30" i="79"/>
  <c r="D30" i="79"/>
  <c r="E29" i="79"/>
  <c r="D29" i="79"/>
  <c r="E28" i="79"/>
  <c r="D28" i="79"/>
  <c r="E27" i="79"/>
  <c r="D27" i="79"/>
  <c r="E26" i="79"/>
  <c r="D26" i="79"/>
  <c r="E25" i="79"/>
  <c r="D25" i="79"/>
  <c r="E24" i="79"/>
  <c r="D24" i="79"/>
  <c r="E23" i="79"/>
  <c r="D23" i="79"/>
  <c r="E22" i="79"/>
  <c r="D22" i="79"/>
  <c r="E21" i="79"/>
  <c r="D21" i="79"/>
  <c r="E20" i="79"/>
  <c r="D20" i="79"/>
  <c r="E19" i="79"/>
  <c r="D19" i="79"/>
  <c r="E18" i="79"/>
  <c r="D18" i="79"/>
  <c r="E17" i="79"/>
  <c r="D17" i="79"/>
  <c r="E16" i="79"/>
  <c r="D16" i="79"/>
  <c r="E15" i="79"/>
  <c r="D15" i="79"/>
  <c r="E14" i="79"/>
  <c r="D14" i="79"/>
  <c r="E13" i="79"/>
  <c r="D13" i="79"/>
  <c r="E12" i="79"/>
  <c r="D12" i="79"/>
  <c r="E11" i="79"/>
  <c r="D11" i="79"/>
  <c r="C10" i="79"/>
  <c r="B10" i="79"/>
  <c r="A6" i="79"/>
  <c r="A4" i="79"/>
  <c r="C10" i="78"/>
  <c r="B10" i="78"/>
  <c r="A6" i="78"/>
  <c r="A4" i="78"/>
  <c r="D49" i="78"/>
  <c r="E49" i="78" s="1"/>
  <c r="E48" i="78"/>
  <c r="D48" i="78"/>
  <c r="D47" i="78"/>
  <c r="E47" i="78" s="1"/>
  <c r="D46" i="78"/>
  <c r="E46" i="78" s="1"/>
  <c r="E45" i="78"/>
  <c r="D45" i="78"/>
  <c r="D44" i="78"/>
  <c r="E44" i="78" s="1"/>
  <c r="D43" i="78"/>
  <c r="E43" i="78" s="1"/>
  <c r="E42" i="78"/>
  <c r="D42" i="78"/>
  <c r="D41" i="78"/>
  <c r="E41" i="78" s="1"/>
  <c r="D40" i="78"/>
  <c r="E40" i="78" s="1"/>
  <c r="E39" i="78"/>
  <c r="D39" i="78"/>
  <c r="D38" i="78"/>
  <c r="E38" i="78" s="1"/>
  <c r="D37" i="78"/>
  <c r="E37" i="78" s="1"/>
  <c r="E36" i="78"/>
  <c r="D36" i="78"/>
  <c r="D35" i="78"/>
  <c r="E35" i="78" s="1"/>
  <c r="D34" i="78"/>
  <c r="E34" i="78" s="1"/>
  <c r="E33" i="78"/>
  <c r="D33" i="78"/>
  <c r="D32" i="78"/>
  <c r="E32" i="78" s="1"/>
  <c r="D31" i="78"/>
  <c r="E31" i="78" s="1"/>
  <c r="E30" i="78"/>
  <c r="D30" i="78"/>
  <c r="D29" i="78"/>
  <c r="E29" i="78" s="1"/>
  <c r="D28" i="78"/>
  <c r="E28" i="78" s="1"/>
  <c r="E27" i="78"/>
  <c r="D27" i="78"/>
  <c r="D26" i="78"/>
  <c r="E26" i="78" s="1"/>
  <c r="D25" i="78"/>
  <c r="E25" i="78" s="1"/>
  <c r="E24" i="78"/>
  <c r="D24" i="78"/>
  <c r="D23" i="78"/>
  <c r="E23" i="78" s="1"/>
  <c r="D22" i="78"/>
  <c r="E22" i="78" s="1"/>
  <c r="E21" i="78"/>
  <c r="D21" i="78"/>
  <c r="D20" i="78"/>
  <c r="E20" i="78" s="1"/>
  <c r="D19" i="78"/>
  <c r="E19" i="78" s="1"/>
  <c r="E18" i="78"/>
  <c r="D18" i="78"/>
  <c r="D17" i="78"/>
  <c r="E17" i="78" s="1"/>
  <c r="D16" i="78"/>
  <c r="E16" i="78" s="1"/>
  <c r="E15" i="78"/>
  <c r="D15" i="78"/>
  <c r="D14" i="78"/>
  <c r="E14" i="78" s="1"/>
  <c r="D13" i="78"/>
  <c r="E13" i="78" s="1"/>
  <c r="E12" i="78"/>
  <c r="D12" i="78"/>
  <c r="D11" i="78"/>
  <c r="E11" i="78" s="1"/>
  <c r="A5" i="34" l="1"/>
  <c r="A6" i="57"/>
  <c r="A32" i="41"/>
  <c r="A12" i="29"/>
  <c r="A6" i="77"/>
  <c r="A4" i="77"/>
  <c r="I31" i="63"/>
  <c r="H31" i="63"/>
  <c r="G31" i="63"/>
  <c r="E31" i="63"/>
  <c r="F31" i="63"/>
  <c r="D31" i="63"/>
  <c r="C31" i="63"/>
  <c r="B31" i="63"/>
  <c r="A27" i="27" l="1"/>
  <c r="A19" i="27"/>
  <c r="A18" i="27"/>
  <c r="A25" i="25"/>
  <c r="A14" i="25"/>
  <c r="A13" i="25"/>
  <c r="I5" i="3" l="1"/>
  <c r="I26" i="3"/>
  <c r="I15" i="3"/>
  <c r="I57" i="3"/>
  <c r="I56" i="3"/>
  <c r="I55" i="3"/>
  <c r="I54" i="3"/>
  <c r="I53" i="3"/>
  <c r="I52" i="3"/>
  <c r="I50" i="3"/>
  <c r="I49" i="3"/>
  <c r="I48" i="3"/>
  <c r="I47" i="3"/>
  <c r="I46" i="3"/>
  <c r="I43" i="3"/>
  <c r="I42" i="3"/>
  <c r="I41" i="3"/>
  <c r="I40" i="3"/>
  <c r="I39" i="3"/>
  <c r="I38" i="3"/>
  <c r="I37" i="3"/>
  <c r="I34" i="3"/>
  <c r="I33" i="3"/>
  <c r="I29" i="3"/>
  <c r="I28" i="3"/>
  <c r="I27" i="3"/>
  <c r="I25" i="3"/>
  <c r="I23" i="3"/>
  <c r="I22" i="3"/>
  <c r="I21" i="3"/>
  <c r="I20" i="3"/>
  <c r="I19" i="3"/>
  <c r="I17" i="3"/>
  <c r="I16" i="3"/>
  <c r="I14" i="3"/>
  <c r="I13" i="3"/>
  <c r="I12" i="3"/>
  <c r="I11" i="3"/>
  <c r="I10" i="3"/>
  <c r="I18" i="12"/>
  <c r="I16" i="12"/>
  <c r="I12" i="12"/>
  <c r="I10" i="12"/>
  <c r="I8" i="12"/>
  <c r="A1" i="55" l="1"/>
  <c r="A1" i="41"/>
  <c r="A1" i="29"/>
  <c r="H33" i="76" l="1"/>
  <c r="G33" i="76"/>
  <c r="D40" i="73" l="1"/>
  <c r="C40" i="73"/>
  <c r="D39" i="73"/>
  <c r="D35" i="73"/>
  <c r="D32" i="73"/>
  <c r="D22" i="73"/>
  <c r="B40" i="5"/>
  <c r="B29" i="5"/>
  <c r="B12" i="5"/>
  <c r="D7" i="73"/>
  <c r="B42" i="5" l="1"/>
  <c r="C14" i="73" s="1"/>
  <c r="C39" i="73"/>
  <c r="C22" i="73"/>
  <c r="C7" i="73"/>
  <c r="L55" i="3" l="1"/>
  <c r="L54" i="3"/>
  <c r="L53" i="3"/>
  <c r="L52" i="3"/>
  <c r="L49" i="3"/>
  <c r="L48" i="3"/>
  <c r="L47" i="3"/>
  <c r="L46" i="3"/>
  <c r="L42" i="3"/>
  <c r="L41" i="3"/>
  <c r="L40" i="3"/>
  <c r="L39" i="3"/>
  <c r="L38" i="3"/>
  <c r="L37" i="3"/>
  <c r="L34" i="3"/>
  <c r="L33" i="3"/>
  <c r="L32" i="3"/>
  <c r="L31" i="3"/>
  <c r="L28" i="3"/>
  <c r="L27" i="3"/>
  <c r="L26" i="3"/>
  <c r="L25" i="3"/>
  <c r="L22" i="3"/>
  <c r="L21" i="3"/>
  <c r="L20" i="3"/>
  <c r="L19" i="3"/>
  <c r="L18" i="3"/>
  <c r="L16" i="3"/>
  <c r="L15" i="3"/>
  <c r="L14" i="3"/>
  <c r="L13" i="3"/>
  <c r="L12" i="3"/>
  <c r="L11" i="3"/>
  <c r="L10" i="3"/>
  <c r="L9" i="3"/>
  <c r="D46" i="72" l="1"/>
  <c r="E46" i="72" s="1"/>
  <c r="D45" i="72"/>
  <c r="E45" i="72" s="1"/>
  <c r="D44" i="72"/>
  <c r="E44" i="72" s="1"/>
  <c r="D43" i="72"/>
  <c r="E43" i="72" s="1"/>
  <c r="D42" i="72"/>
  <c r="E42" i="72" s="1"/>
  <c r="D41" i="72"/>
  <c r="E41" i="72" s="1"/>
  <c r="D40" i="72"/>
  <c r="E40" i="72" s="1"/>
  <c r="D39" i="72"/>
  <c r="E39" i="72" s="1"/>
  <c r="D38" i="72"/>
  <c r="E38" i="72" s="1"/>
  <c r="D37" i="72"/>
  <c r="E37" i="72" s="1"/>
  <c r="D36" i="72"/>
  <c r="E36" i="72" s="1"/>
  <c r="D35" i="72"/>
  <c r="E35" i="72" s="1"/>
  <c r="D34" i="72"/>
  <c r="E34" i="72" s="1"/>
  <c r="D33" i="72"/>
  <c r="E33" i="72" s="1"/>
  <c r="D32" i="72"/>
  <c r="E32" i="72" s="1"/>
  <c r="D31" i="72"/>
  <c r="E31" i="72" s="1"/>
  <c r="D30" i="72"/>
  <c r="E30" i="72" s="1"/>
  <c r="D29" i="72"/>
  <c r="E29" i="72" s="1"/>
  <c r="D28" i="72"/>
  <c r="E28" i="72" s="1"/>
  <c r="D27" i="72"/>
  <c r="E27" i="72" s="1"/>
  <c r="D26" i="72"/>
  <c r="E26" i="72" s="1"/>
  <c r="D25" i="72"/>
  <c r="E25" i="72" s="1"/>
  <c r="D24" i="72"/>
  <c r="E24" i="72" s="1"/>
  <c r="D23" i="72"/>
  <c r="E23" i="72" s="1"/>
  <c r="D22" i="72"/>
  <c r="E22" i="72" s="1"/>
  <c r="D21" i="72"/>
  <c r="E21" i="72" s="1"/>
  <c r="D20" i="72"/>
  <c r="E20" i="72" s="1"/>
  <c r="D19" i="72"/>
  <c r="E19" i="72" s="1"/>
  <c r="D18" i="72"/>
  <c r="E18" i="72" s="1"/>
  <c r="D17" i="72"/>
  <c r="E17" i="72" s="1"/>
  <c r="D16" i="72"/>
  <c r="E16" i="72" s="1"/>
  <c r="D15" i="72"/>
  <c r="E15" i="72" s="1"/>
  <c r="D14" i="72"/>
  <c r="E14" i="72" s="1"/>
  <c r="D13" i="72"/>
  <c r="E13" i="72" s="1"/>
  <c r="D12" i="72"/>
  <c r="E12" i="72" s="1"/>
  <c r="D11" i="72"/>
  <c r="E11" i="72" s="1"/>
  <c r="C10" i="72"/>
  <c r="B10" i="72"/>
  <c r="A6" i="72"/>
  <c r="A4" i="72"/>
  <c r="A11" i="23"/>
  <c r="A10" i="26" l="1"/>
  <c r="A19" i="66" l="1"/>
  <c r="I28" i="16" l="1"/>
  <c r="I27" i="16"/>
  <c r="I26" i="16"/>
  <c r="I25" i="16"/>
  <c r="I24" i="16"/>
  <c r="I23" i="16"/>
  <c r="I20" i="16"/>
  <c r="I19" i="16"/>
  <c r="I18" i="16"/>
  <c r="I17" i="16"/>
  <c r="I16" i="16"/>
  <c r="I15" i="16"/>
  <c r="I10" i="16"/>
  <c r="I8" i="16"/>
  <c r="I7" i="16"/>
  <c r="A4" i="66"/>
  <c r="A14" i="66"/>
  <c r="A12" i="66"/>
  <c r="A11" i="66"/>
  <c r="F14" i="66"/>
  <c r="F11" i="66"/>
  <c r="D46" i="71"/>
  <c r="E46" i="71" s="1"/>
  <c r="D45" i="71"/>
  <c r="E45" i="71" s="1"/>
  <c r="D44" i="71"/>
  <c r="E44" i="71" s="1"/>
  <c r="D43" i="71"/>
  <c r="E43" i="71" s="1"/>
  <c r="D42" i="71"/>
  <c r="E42" i="71" s="1"/>
  <c r="D41" i="71"/>
  <c r="E41" i="71" s="1"/>
  <c r="D40" i="71"/>
  <c r="E40" i="71" s="1"/>
  <c r="D39" i="71"/>
  <c r="E39" i="71" s="1"/>
  <c r="D38" i="71"/>
  <c r="E38" i="71" s="1"/>
  <c r="D37" i="71"/>
  <c r="E37" i="71" s="1"/>
  <c r="D36" i="71"/>
  <c r="E36" i="71" s="1"/>
  <c r="D35" i="71"/>
  <c r="E35" i="71" s="1"/>
  <c r="D34" i="71"/>
  <c r="E34" i="71" s="1"/>
  <c r="D33" i="71"/>
  <c r="E33" i="71" s="1"/>
  <c r="D32" i="71"/>
  <c r="E32" i="71" s="1"/>
  <c r="D31" i="71"/>
  <c r="E31" i="71" s="1"/>
  <c r="D30" i="71"/>
  <c r="E30" i="71" s="1"/>
  <c r="D29" i="71"/>
  <c r="E29" i="71" s="1"/>
  <c r="D28" i="71"/>
  <c r="E28" i="71" s="1"/>
  <c r="D27" i="71"/>
  <c r="E27" i="71" s="1"/>
  <c r="D26" i="71"/>
  <c r="E26" i="71" s="1"/>
  <c r="D25" i="71"/>
  <c r="E25" i="71" s="1"/>
  <c r="D24" i="71"/>
  <c r="E24" i="71" s="1"/>
  <c r="D23" i="71"/>
  <c r="E23" i="71" s="1"/>
  <c r="D22" i="71"/>
  <c r="E22" i="71" s="1"/>
  <c r="D21" i="71"/>
  <c r="E21" i="71" s="1"/>
  <c r="D20" i="71"/>
  <c r="E20" i="71" s="1"/>
  <c r="D19" i="71"/>
  <c r="E19" i="71" s="1"/>
  <c r="D18" i="71"/>
  <c r="E18" i="71" s="1"/>
  <c r="D17" i="71"/>
  <c r="E17" i="71" s="1"/>
  <c r="D16" i="71"/>
  <c r="E16" i="71" s="1"/>
  <c r="D15" i="71"/>
  <c r="E15" i="71" s="1"/>
  <c r="D14" i="71"/>
  <c r="E14" i="71" s="1"/>
  <c r="D13" i="71"/>
  <c r="E13" i="71" s="1"/>
  <c r="D12" i="71"/>
  <c r="E12" i="71" s="1"/>
  <c r="D11" i="71"/>
  <c r="E11" i="71" s="1"/>
  <c r="C10" i="71"/>
  <c r="B10" i="71"/>
  <c r="A6" i="71"/>
  <c r="A4" i="71"/>
  <c r="D46" i="68"/>
  <c r="E46" i="68" s="1"/>
  <c r="D45" i="68"/>
  <c r="E45" i="68" s="1"/>
  <c r="D44" i="68"/>
  <c r="E44" i="68" s="1"/>
  <c r="D43" i="68"/>
  <c r="E43" i="68" s="1"/>
  <c r="D42" i="68"/>
  <c r="E42" i="68" s="1"/>
  <c r="D41" i="68"/>
  <c r="E41" i="68" s="1"/>
  <c r="D40" i="68"/>
  <c r="E40" i="68" s="1"/>
  <c r="D39" i="68"/>
  <c r="E39" i="68" s="1"/>
  <c r="D38" i="68"/>
  <c r="E38" i="68" s="1"/>
  <c r="D37" i="68"/>
  <c r="E37" i="68" s="1"/>
  <c r="D36" i="68"/>
  <c r="E36" i="68" s="1"/>
  <c r="D35" i="68"/>
  <c r="E35" i="68" s="1"/>
  <c r="D34" i="68"/>
  <c r="E34" i="68" s="1"/>
  <c r="D33" i="68"/>
  <c r="E33" i="68" s="1"/>
  <c r="D32" i="68"/>
  <c r="E32" i="68" s="1"/>
  <c r="D31" i="68"/>
  <c r="E31" i="68" s="1"/>
  <c r="D30" i="68"/>
  <c r="E30" i="68" s="1"/>
  <c r="D29" i="68"/>
  <c r="E29" i="68" s="1"/>
  <c r="D28" i="68"/>
  <c r="E28" i="68" s="1"/>
  <c r="D27" i="68"/>
  <c r="E27" i="68" s="1"/>
  <c r="D26" i="68"/>
  <c r="E26" i="68" s="1"/>
  <c r="D25" i="68"/>
  <c r="E25" i="68" s="1"/>
  <c r="D24" i="68"/>
  <c r="E24" i="68" s="1"/>
  <c r="D23" i="68"/>
  <c r="E23" i="68" s="1"/>
  <c r="D22" i="68"/>
  <c r="E22" i="68" s="1"/>
  <c r="D21" i="68"/>
  <c r="E21" i="68" s="1"/>
  <c r="D20" i="68"/>
  <c r="E20" i="68" s="1"/>
  <c r="D19" i="68"/>
  <c r="E19" i="68" s="1"/>
  <c r="D18" i="68"/>
  <c r="E18" i="68" s="1"/>
  <c r="D17" i="68"/>
  <c r="E17" i="68" s="1"/>
  <c r="D16" i="68"/>
  <c r="E16" i="68" s="1"/>
  <c r="D15" i="68"/>
  <c r="E15" i="68" s="1"/>
  <c r="D14" i="68"/>
  <c r="E14" i="68" s="1"/>
  <c r="D13" i="68"/>
  <c r="E13" i="68" s="1"/>
  <c r="D12" i="68"/>
  <c r="E12" i="68" s="1"/>
  <c r="D11" i="68"/>
  <c r="E11" i="68" s="1"/>
  <c r="C10" i="68"/>
  <c r="B10" i="68"/>
  <c r="A6" i="68"/>
  <c r="A4" i="68"/>
  <c r="A22" i="27" l="1"/>
  <c r="A21" i="27"/>
  <c r="A35" i="27"/>
  <c r="A34" i="27"/>
  <c r="A33" i="27"/>
  <c r="A16" i="27" l="1"/>
  <c r="A15" i="27"/>
  <c r="A26" i="27" l="1"/>
  <c r="A25" i="27"/>
  <c r="A9" i="27" l="1"/>
  <c r="A33" i="25"/>
  <c r="A9" i="25"/>
  <c r="I9" i="29"/>
  <c r="C3" i="24"/>
  <c r="D20" i="21"/>
  <c r="I29" i="63"/>
  <c r="I28" i="63"/>
  <c r="I27" i="63"/>
  <c r="I26" i="63"/>
  <c r="I25" i="63"/>
  <c r="I24" i="63"/>
  <c r="I23" i="63"/>
  <c r="I22" i="63"/>
  <c r="I21" i="63"/>
  <c r="I20" i="63"/>
  <c r="I19" i="63"/>
  <c r="I18" i="63"/>
  <c r="I17" i="63"/>
  <c r="I16" i="63"/>
  <c r="I15" i="63"/>
  <c r="I14" i="63"/>
  <c r="I13" i="63"/>
  <c r="I12" i="63"/>
  <c r="I11" i="63"/>
  <c r="I10" i="63"/>
  <c r="D13" i="63"/>
  <c r="D29" i="63"/>
  <c r="D28" i="63"/>
  <c r="D27" i="63"/>
  <c r="D26" i="63"/>
  <c r="D25" i="63"/>
  <c r="D24" i="63"/>
  <c r="D23" i="63"/>
  <c r="D22" i="63"/>
  <c r="D21" i="63"/>
  <c r="D20" i="63"/>
  <c r="D19" i="63"/>
  <c r="D18" i="63"/>
  <c r="D17" i="63"/>
  <c r="D16" i="63"/>
  <c r="D15" i="63"/>
  <c r="D14" i="63"/>
  <c r="D12" i="63"/>
  <c r="D11" i="63"/>
  <c r="D10" i="63"/>
  <c r="A5" i="63"/>
  <c r="A3" i="63"/>
  <c r="C23" i="9" l="1"/>
  <c r="B21" i="9"/>
  <c r="C20" i="9"/>
  <c r="B19" i="9"/>
  <c r="B17" i="9"/>
  <c r="B16" i="9"/>
  <c r="C13" i="9"/>
  <c r="B12" i="9"/>
  <c r="C11" i="9"/>
  <c r="B10" i="9"/>
  <c r="B8" i="9"/>
  <c r="B5" i="9"/>
  <c r="A6" i="59" l="1"/>
  <c r="A4" i="59"/>
  <c r="A5" i="32"/>
  <c r="A4" i="57"/>
  <c r="A5" i="27"/>
  <c r="A5" i="55" s="1"/>
  <c r="A7" i="26"/>
  <c r="D28" i="14" l="1"/>
  <c r="D27" i="14"/>
  <c r="D26" i="14"/>
  <c r="D23" i="14"/>
  <c r="D22" i="14"/>
  <c r="D21" i="14"/>
  <c r="D16" i="14"/>
  <c r="D15" i="14"/>
  <c r="B16" i="31"/>
  <c r="B15" i="31"/>
  <c r="F15" i="31"/>
  <c r="D23" i="22"/>
  <c r="D24" i="22"/>
  <c r="D25" i="22"/>
  <c r="D26" i="22"/>
  <c r="D27" i="22"/>
  <c r="D22" i="22"/>
  <c r="D37" i="11"/>
  <c r="D35" i="11"/>
  <c r="D34" i="11"/>
  <c r="E26" i="11"/>
  <c r="E25" i="11"/>
  <c r="E24" i="11"/>
  <c r="D22" i="11"/>
  <c r="D21" i="11"/>
  <c r="E20" i="11"/>
  <c r="E7" i="11"/>
  <c r="E6" i="11"/>
  <c r="E5" i="11"/>
  <c r="D42" i="14"/>
  <c r="D41" i="14"/>
  <c r="D40" i="14"/>
  <c r="D37" i="14"/>
  <c r="D36" i="14"/>
  <c r="D35" i="14"/>
  <c r="B26" i="31"/>
  <c r="B22" i="31"/>
  <c r="B18" i="31"/>
  <c r="B12" i="31"/>
  <c r="C25" i="54" l="1"/>
  <c r="C25" i="52"/>
  <c r="C25" i="51"/>
  <c r="C25" i="50"/>
  <c r="C25" i="49"/>
  <c r="C25" i="48"/>
  <c r="A3" i="32"/>
  <c r="A4" i="18" l="1"/>
  <c r="B33" i="8" l="1"/>
  <c r="B32" i="8"/>
  <c r="B31" i="8"/>
  <c r="B30" i="8"/>
  <c r="B27" i="8"/>
  <c r="B26" i="8"/>
  <c r="B25" i="8"/>
  <c r="B24" i="8"/>
  <c r="B21" i="8"/>
  <c r="B20" i="8"/>
  <c r="B19" i="8"/>
  <c r="B18" i="8"/>
  <c r="B15" i="8" l="1"/>
  <c r="B14" i="8"/>
  <c r="B13" i="8"/>
  <c r="B12" i="8"/>
  <c r="B9" i="8"/>
  <c r="B8" i="8"/>
  <c r="B7" i="8"/>
  <c r="B6" i="8"/>
  <c r="B3" i="36"/>
  <c r="A7" i="66" s="1"/>
  <c r="A6" i="33" l="1"/>
  <c r="A4" i="33"/>
  <c r="A3" i="34" s="1"/>
  <c r="A8" i="27"/>
  <c r="A3" i="26"/>
  <c r="A1" i="26"/>
  <c r="A3" i="27"/>
  <c r="A3" i="55" s="1"/>
  <c r="A1" i="27"/>
  <c r="A26" i="25"/>
  <c r="A8" i="25"/>
  <c r="A1" i="25"/>
  <c r="A1" i="23"/>
  <c r="A3" i="23"/>
  <c r="A3" i="25" s="1"/>
  <c r="A7" i="25" s="1"/>
  <c r="C40" i="24"/>
  <c r="D15" i="26"/>
  <c r="D22" i="23"/>
  <c r="D21" i="23"/>
  <c r="D20" i="23"/>
  <c r="D19" i="23"/>
  <c r="D18" i="23"/>
  <c r="D17" i="23"/>
  <c r="C41" i="24"/>
  <c r="D19" i="26"/>
  <c r="G18" i="26"/>
  <c r="D18" i="26"/>
  <c r="D17" i="26"/>
  <c r="D16" i="26"/>
  <c r="B11" i="1"/>
  <c r="B36" i="11" s="1"/>
  <c r="B10" i="1"/>
  <c r="A2" i="76" s="1"/>
  <c r="B9" i="1"/>
  <c r="A1" i="76" s="1"/>
  <c r="A13" i="35"/>
  <c r="B6" i="31"/>
  <c r="A2" i="31"/>
  <c r="A13" i="28"/>
  <c r="D21" i="21"/>
  <c r="D22" i="21"/>
  <c r="D23" i="21"/>
  <c r="D24" i="21"/>
  <c r="D25" i="21"/>
  <c r="A7" i="21"/>
  <c r="A8" i="22" s="1"/>
  <c r="A7" i="23" s="1"/>
  <c r="A5" i="25" s="1"/>
  <c r="A3" i="21"/>
  <c r="A4" i="22" s="1"/>
  <c r="A1" i="21"/>
  <c r="A1" i="22" s="1"/>
  <c r="A3" i="20"/>
  <c r="A1" i="20"/>
  <c r="A7" i="20" s="1"/>
  <c r="A13" i="19"/>
  <c r="A2" i="18"/>
  <c r="A1" i="18"/>
  <c r="A25" i="53" l="1"/>
  <c r="A25" i="50"/>
  <c r="B6" i="53"/>
  <c r="B6" i="49"/>
  <c r="B6" i="52"/>
  <c r="A25" i="17"/>
  <c r="B6" i="50"/>
  <c r="A25" i="54"/>
  <c r="A25" i="49"/>
  <c r="B6" i="54"/>
  <c r="A25" i="48"/>
  <c r="A25" i="51"/>
  <c r="B6" i="51"/>
  <c r="A25" i="52"/>
  <c r="B6" i="48"/>
  <c r="B6" i="17"/>
  <c r="H7" i="76"/>
  <c r="G7" i="76"/>
  <c r="A5" i="29"/>
  <c r="A5" i="41"/>
  <c r="A3" i="29"/>
  <c r="A7" i="27"/>
  <c r="A3" i="41"/>
  <c r="A1" i="54"/>
  <c r="A1" i="53"/>
  <c r="A1" i="52"/>
  <c r="A1" i="51"/>
  <c r="A1" i="50"/>
  <c r="A1" i="49"/>
  <c r="A1" i="48"/>
  <c r="A2" i="54"/>
  <c r="A2" i="53"/>
  <c r="A2" i="52"/>
  <c r="A2" i="51"/>
  <c r="A2" i="50"/>
  <c r="A2" i="49"/>
  <c r="A2" i="48"/>
  <c r="F4" i="8"/>
  <c r="I4" i="6"/>
  <c r="D5" i="3"/>
  <c r="C32" i="73" l="1"/>
  <c r="L5" i="3"/>
  <c r="A17" i="1"/>
  <c r="A1" i="17"/>
  <c r="A2" i="17"/>
  <c r="A2" i="16"/>
  <c r="A1" i="16"/>
  <c r="A2" i="15"/>
  <c r="A1" i="15"/>
  <c r="Q6" i="14"/>
  <c r="A2" i="14"/>
  <c r="A1" i="14"/>
  <c r="A1" i="13"/>
  <c r="B40" i="11"/>
  <c r="B38" i="11"/>
  <c r="A37" i="11"/>
  <c r="A56" i="14" l="1"/>
  <c r="B29" i="14"/>
  <c r="A28" i="14"/>
  <c r="A27" i="14"/>
  <c r="A26" i="14"/>
  <c r="A9" i="14"/>
  <c r="A8" i="14"/>
  <c r="A25" i="14"/>
  <c r="A5" i="14"/>
  <c r="A52" i="14"/>
  <c r="A48" i="14"/>
  <c r="B11" i="14"/>
  <c r="A37" i="14"/>
  <c r="A58" i="14"/>
  <c r="A21" i="14"/>
  <c r="A41" i="14"/>
  <c r="B7" i="14"/>
  <c r="A15" i="14"/>
  <c r="A22" i="14"/>
  <c r="A34" i="14"/>
  <c r="B38" i="14"/>
  <c r="A42" i="14"/>
  <c r="A49" i="14"/>
  <c r="B53" i="14"/>
  <c r="A59" i="14"/>
  <c r="A16" i="14"/>
  <c r="A23" i="14"/>
  <c r="A35" i="14"/>
  <c r="A39" i="14"/>
  <c r="B43" i="14"/>
  <c r="B50" i="14"/>
  <c r="A55" i="14"/>
  <c r="B61" i="14"/>
  <c r="A4" i="14"/>
  <c r="A20" i="14"/>
  <c r="B24" i="14"/>
  <c r="A36" i="14"/>
  <c r="A40" i="14"/>
  <c r="A47" i="14"/>
  <c r="A51" i="14"/>
  <c r="D5" i="10"/>
  <c r="D20" i="10" s="1"/>
  <c r="B5" i="10"/>
  <c r="B20" i="10" s="1"/>
  <c r="A35" i="11"/>
  <c r="A34" i="11"/>
  <c r="A24" i="11"/>
  <c r="A26" i="11"/>
  <c r="A25" i="11"/>
  <c r="E17" i="11"/>
  <c r="A2" i="11"/>
  <c r="A2" i="13" s="1"/>
  <c r="A1" i="11"/>
  <c r="A2" i="10"/>
  <c r="A1" i="10"/>
  <c r="D17" i="9"/>
  <c r="D8" i="9"/>
  <c r="F19" i="66" l="1"/>
  <c r="F20" i="66" s="1"/>
  <c r="D9" i="9"/>
  <c r="D11" i="9" s="1"/>
  <c r="D13" i="9" s="1"/>
  <c r="A2" i="9"/>
  <c r="A1" i="9"/>
  <c r="D4" i="8"/>
  <c r="A2" i="6"/>
  <c r="A2" i="8" s="1"/>
  <c r="A1" i="6"/>
  <c r="A1" i="8" s="1"/>
  <c r="G4" i="6"/>
  <c r="H5" i="7"/>
  <c r="H16" i="7" s="1"/>
  <c r="G5" i="7"/>
  <c r="G16" i="7" s="1"/>
  <c r="A2" i="7"/>
  <c r="A1" i="7"/>
  <c r="F3" i="4"/>
  <c r="A2" i="4"/>
  <c r="A2" i="5" s="1"/>
  <c r="A1" i="4"/>
  <c r="A1" i="5" s="1"/>
  <c r="D3" i="4"/>
  <c r="F3" i="3"/>
  <c r="D3" i="3"/>
  <c r="A2" i="3"/>
  <c r="A1" i="3"/>
  <c r="A2" i="12"/>
  <c r="A1" i="12"/>
  <c r="F3" i="12"/>
  <c r="D3" i="12"/>
  <c r="I3" i="5"/>
  <c r="I14" i="5" s="1"/>
  <c r="I31" i="5" s="1"/>
  <c r="D3" i="5"/>
  <c r="D14" i="5" s="1"/>
  <c r="D31" i="5" s="1"/>
  <c r="F40" i="12"/>
  <c r="F38" i="12"/>
  <c r="E20" i="66" l="1"/>
  <c r="D40" i="12"/>
  <c r="D38" i="12"/>
  <c r="A14" i="1"/>
  <c r="A20" i="1"/>
  <c r="A19" i="1"/>
  <c r="A18" i="1"/>
  <c r="A16" i="1"/>
  <c r="A15" i="1"/>
  <c r="C25" i="17"/>
  <c r="C25" i="53" s="1"/>
  <c r="C42" i="73" s="1"/>
  <c r="E28" i="16"/>
  <c r="B28" i="16"/>
  <c r="H27" i="16"/>
  <c r="G26" i="16"/>
  <c r="D26" i="16"/>
  <c r="H26" i="16" s="1"/>
  <c r="G25" i="16"/>
  <c r="D25" i="16"/>
  <c r="H25" i="16" s="1"/>
  <c r="G24" i="16"/>
  <c r="D24" i="16"/>
  <c r="H24" i="16" s="1"/>
  <c r="G23" i="16"/>
  <c r="G28" i="16" s="1"/>
  <c r="D23" i="16"/>
  <c r="E20" i="16"/>
  <c r="B20" i="16"/>
  <c r="H19" i="16"/>
  <c r="G18" i="16"/>
  <c r="D18" i="16"/>
  <c r="H18" i="16" s="1"/>
  <c r="G17" i="16"/>
  <c r="D17" i="16"/>
  <c r="G16" i="16"/>
  <c r="D16" i="16"/>
  <c r="G15" i="16"/>
  <c r="D15" i="16"/>
  <c r="E12" i="16"/>
  <c r="B12" i="16"/>
  <c r="H11" i="16"/>
  <c r="I11" i="16" s="1"/>
  <c r="G10" i="16"/>
  <c r="D10" i="16"/>
  <c r="H10" i="16" s="1"/>
  <c r="G9" i="16"/>
  <c r="D9" i="16"/>
  <c r="G8" i="16"/>
  <c r="D8" i="16"/>
  <c r="G7" i="16"/>
  <c r="D7" i="16"/>
  <c r="K21" i="15"/>
  <c r="J21" i="15"/>
  <c r="I21" i="15"/>
  <c r="H21" i="15"/>
  <c r="L20" i="15"/>
  <c r="L19" i="15"/>
  <c r="L18" i="15"/>
  <c r="L17" i="15"/>
  <c r="L16" i="15"/>
  <c r="L15" i="15"/>
  <c r="L14" i="15"/>
  <c r="L13" i="15"/>
  <c r="L12" i="15"/>
  <c r="L11" i="15"/>
  <c r="L10" i="15"/>
  <c r="L9" i="15"/>
  <c r="L8" i="15"/>
  <c r="L7" i="15"/>
  <c r="L6" i="15"/>
  <c r="D53" i="14"/>
  <c r="D17" i="14"/>
  <c r="E16" i="11" s="1"/>
  <c r="D11" i="14"/>
  <c r="R23" i="13"/>
  <c r="Q23" i="13"/>
  <c r="P23" i="13"/>
  <c r="O23" i="13"/>
  <c r="L23" i="13"/>
  <c r="K23" i="13"/>
  <c r="J23" i="13"/>
  <c r="I23" i="13"/>
  <c r="H23" i="13"/>
  <c r="G23" i="13"/>
  <c r="F23" i="13"/>
  <c r="E23" i="13"/>
  <c r="D23" i="13"/>
  <c r="C23" i="13"/>
  <c r="N22" i="13"/>
  <c r="T22" i="13" s="1"/>
  <c r="M22" i="13"/>
  <c r="S22" i="13" s="1"/>
  <c r="N21" i="13"/>
  <c r="T21" i="13" s="1"/>
  <c r="M21" i="13"/>
  <c r="S21" i="13" s="1"/>
  <c r="N20" i="13"/>
  <c r="T20" i="13" s="1"/>
  <c r="M20" i="13"/>
  <c r="S20" i="13" s="1"/>
  <c r="S19" i="13"/>
  <c r="N19" i="13"/>
  <c r="T19" i="13" s="1"/>
  <c r="M19" i="13"/>
  <c r="N18" i="13"/>
  <c r="T18" i="13" s="1"/>
  <c r="M18" i="13"/>
  <c r="S18" i="13" s="1"/>
  <c r="N17" i="13"/>
  <c r="T17" i="13" s="1"/>
  <c r="M17" i="13"/>
  <c r="S17" i="13" s="1"/>
  <c r="N16" i="13"/>
  <c r="T16" i="13" s="1"/>
  <c r="M16" i="13"/>
  <c r="S16" i="13" s="1"/>
  <c r="N15" i="13"/>
  <c r="T15" i="13" s="1"/>
  <c r="M15" i="13"/>
  <c r="S15" i="13" s="1"/>
  <c r="N14" i="13"/>
  <c r="T14" i="13" s="1"/>
  <c r="M14" i="13"/>
  <c r="S14" i="13" s="1"/>
  <c r="N13" i="13"/>
  <c r="T13" i="13" s="1"/>
  <c r="M13" i="13"/>
  <c r="S13" i="13" s="1"/>
  <c r="T12" i="13"/>
  <c r="N12" i="13"/>
  <c r="M12" i="13"/>
  <c r="S12" i="13" s="1"/>
  <c r="N11" i="13"/>
  <c r="M11" i="13"/>
  <c r="S11" i="13" s="1"/>
  <c r="N10" i="13"/>
  <c r="T10" i="13" s="1"/>
  <c r="M10" i="13"/>
  <c r="S10" i="13" s="1"/>
  <c r="T9" i="13"/>
  <c r="S9" i="13"/>
  <c r="R9" i="13"/>
  <c r="Q9" i="13"/>
  <c r="P9" i="13"/>
  <c r="O9" i="13"/>
  <c r="N9" i="13"/>
  <c r="M9" i="13"/>
  <c r="L9" i="13"/>
  <c r="K9" i="13"/>
  <c r="J9" i="13"/>
  <c r="I9" i="13"/>
  <c r="H9" i="13"/>
  <c r="G9" i="13"/>
  <c r="F9" i="13"/>
  <c r="E9" i="13"/>
  <c r="E38" i="11"/>
  <c r="E36" i="11"/>
  <c r="E22" i="11"/>
  <c r="E8" i="11"/>
  <c r="D28" i="10"/>
  <c r="B28" i="10"/>
  <c r="D13" i="10"/>
  <c r="B13" i="10"/>
  <c r="D18" i="9"/>
  <c r="D20" i="9" s="1"/>
  <c r="F10" i="66"/>
  <c r="F17" i="66" s="1"/>
  <c r="M34" i="8"/>
  <c r="L34" i="8"/>
  <c r="K34" i="8"/>
  <c r="J34" i="8"/>
  <c r="I34" i="8"/>
  <c r="H34" i="8"/>
  <c r="F34" i="8"/>
  <c r="D34" i="8"/>
  <c r="N33" i="8"/>
  <c r="N32" i="8"/>
  <c r="N31" i="8"/>
  <c r="N30" i="8"/>
  <c r="M28" i="8"/>
  <c r="L28" i="8"/>
  <c r="K28" i="8"/>
  <c r="J28" i="8"/>
  <c r="I28" i="8"/>
  <c r="H28" i="8"/>
  <c r="F28" i="8"/>
  <c r="D28" i="8"/>
  <c r="N27" i="8"/>
  <c r="N26" i="8"/>
  <c r="N25" i="8"/>
  <c r="N24" i="8"/>
  <c r="M22" i="8"/>
  <c r="L22" i="8"/>
  <c r="K22" i="8"/>
  <c r="J22" i="8"/>
  <c r="I22" i="8"/>
  <c r="H22" i="8"/>
  <c r="F22" i="8"/>
  <c r="D22" i="8"/>
  <c r="N21" i="8"/>
  <c r="N20" i="8"/>
  <c r="N19" i="8"/>
  <c r="N18" i="8"/>
  <c r="M16" i="8"/>
  <c r="L16" i="8"/>
  <c r="K16" i="8"/>
  <c r="J16" i="8"/>
  <c r="I16" i="8"/>
  <c r="H16" i="8"/>
  <c r="F16" i="8"/>
  <c r="D16" i="8"/>
  <c r="N15" i="8"/>
  <c r="N14" i="8"/>
  <c r="N13" i="8"/>
  <c r="N12" i="8"/>
  <c r="M10" i="8"/>
  <c r="L10" i="8"/>
  <c r="K10" i="8"/>
  <c r="J10" i="8"/>
  <c r="I10" i="8"/>
  <c r="H10" i="8"/>
  <c r="F10" i="8"/>
  <c r="D10" i="8"/>
  <c r="N9" i="8"/>
  <c r="N8" i="8"/>
  <c r="N7" i="8"/>
  <c r="N6" i="8"/>
  <c r="H4" i="8"/>
  <c r="I4" i="8" s="1"/>
  <c r="J4" i="8" s="1"/>
  <c r="K4" i="8" s="1"/>
  <c r="L4" i="8" s="1"/>
  <c r="H24" i="7"/>
  <c r="G24" i="7"/>
  <c r="H13" i="7"/>
  <c r="G13" i="7"/>
  <c r="G25" i="7" s="1"/>
  <c r="P34" i="6"/>
  <c r="O34" i="6"/>
  <c r="N34" i="6"/>
  <c r="M34" i="6"/>
  <c r="L34" i="6"/>
  <c r="K34" i="6"/>
  <c r="I34" i="6"/>
  <c r="G34" i="6"/>
  <c r="Q33" i="6"/>
  <c r="Q32" i="6"/>
  <c r="Q31" i="6"/>
  <c r="Q30" i="6"/>
  <c r="Q34" i="6" s="1"/>
  <c r="P28" i="6"/>
  <c r="O28" i="6"/>
  <c r="N28" i="6"/>
  <c r="M28" i="6"/>
  <c r="L28" i="6"/>
  <c r="K28" i="6"/>
  <c r="I28" i="6"/>
  <c r="G28" i="6"/>
  <c r="Q27" i="6"/>
  <c r="Q26" i="6"/>
  <c r="Q25" i="6"/>
  <c r="Q24" i="6"/>
  <c r="Q28" i="6" s="1"/>
  <c r="P22" i="6"/>
  <c r="O22" i="6"/>
  <c r="N22" i="6"/>
  <c r="M22" i="6"/>
  <c r="L22" i="6"/>
  <c r="K22" i="6"/>
  <c r="I22" i="6"/>
  <c r="G22" i="6"/>
  <c r="Q21" i="6"/>
  <c r="Q20" i="6"/>
  <c r="Q19" i="6"/>
  <c r="Q18" i="6"/>
  <c r="P16" i="6"/>
  <c r="O16" i="6"/>
  <c r="N16" i="6"/>
  <c r="M16" i="6"/>
  <c r="L16" i="6"/>
  <c r="K16" i="6"/>
  <c r="I16" i="6"/>
  <c r="G16" i="6"/>
  <c r="Q15" i="6"/>
  <c r="Q14" i="6"/>
  <c r="Q13" i="6"/>
  <c r="Q12" i="6"/>
  <c r="Q16" i="6" s="1"/>
  <c r="P10" i="6"/>
  <c r="O10" i="6"/>
  <c r="N10" i="6"/>
  <c r="M10" i="6"/>
  <c r="L10" i="6"/>
  <c r="K10" i="6"/>
  <c r="I10" i="6"/>
  <c r="G10" i="6"/>
  <c r="Q9" i="6"/>
  <c r="Q8" i="6"/>
  <c r="Q7" i="6"/>
  <c r="Q6" i="6"/>
  <c r="K4" i="6"/>
  <c r="L4" i="6" s="1"/>
  <c r="M4" i="6" s="1"/>
  <c r="N4" i="6" s="1"/>
  <c r="O4" i="6" s="1"/>
  <c r="H40" i="5"/>
  <c r="G40" i="5"/>
  <c r="F40" i="5"/>
  <c r="E40" i="5"/>
  <c r="I39" i="5"/>
  <c r="D39" i="5"/>
  <c r="I38" i="5"/>
  <c r="D38" i="5"/>
  <c r="I37" i="5"/>
  <c r="D37" i="5"/>
  <c r="I36" i="5"/>
  <c r="D36" i="5"/>
  <c r="I35" i="5"/>
  <c r="D35" i="5"/>
  <c r="I34" i="5"/>
  <c r="D34" i="5"/>
  <c r="I33" i="5"/>
  <c r="D33" i="5"/>
  <c r="I32" i="5"/>
  <c r="D32" i="5"/>
  <c r="H29" i="5"/>
  <c r="G29" i="5"/>
  <c r="D49" i="14" s="1"/>
  <c r="F29" i="5"/>
  <c r="E29" i="5"/>
  <c r="I28" i="5"/>
  <c r="D28" i="5"/>
  <c r="I27" i="5"/>
  <c r="D27" i="5"/>
  <c r="I26" i="5"/>
  <c r="D26" i="5"/>
  <c r="I25" i="5"/>
  <c r="D25" i="5"/>
  <c r="I24" i="5"/>
  <c r="D24" i="5"/>
  <c r="I23" i="5"/>
  <c r="D23" i="5"/>
  <c r="I22" i="5"/>
  <c r="D22" i="5"/>
  <c r="I21" i="5"/>
  <c r="D21" i="5"/>
  <c r="I20" i="5"/>
  <c r="D20" i="5"/>
  <c r="I19" i="5"/>
  <c r="D19" i="5"/>
  <c r="I18" i="5"/>
  <c r="D18" i="5"/>
  <c r="I17" i="5"/>
  <c r="D17" i="5"/>
  <c r="I16" i="5"/>
  <c r="D16" i="5"/>
  <c r="I15" i="5"/>
  <c r="D15" i="5"/>
  <c r="H12" i="5"/>
  <c r="G12" i="5"/>
  <c r="D48" i="14" s="1"/>
  <c r="F12" i="5"/>
  <c r="E12" i="5"/>
  <c r="I11" i="5"/>
  <c r="D11" i="5"/>
  <c r="I10" i="5"/>
  <c r="D10" i="5"/>
  <c r="I9" i="5"/>
  <c r="D9" i="5"/>
  <c r="I8" i="5"/>
  <c r="D8" i="5"/>
  <c r="I7" i="5"/>
  <c r="D7" i="5"/>
  <c r="I6" i="5"/>
  <c r="D6" i="5"/>
  <c r="I5" i="5"/>
  <c r="D5" i="5"/>
  <c r="I4" i="5"/>
  <c r="D4" i="5"/>
  <c r="H65" i="4"/>
  <c r="I65" i="4" s="1"/>
  <c r="H64" i="4"/>
  <c r="I64" i="4" s="1"/>
  <c r="F63" i="4"/>
  <c r="D63" i="4"/>
  <c r="D36" i="12" s="1"/>
  <c r="H62" i="4"/>
  <c r="I62" i="4" s="1"/>
  <c r="H61" i="4"/>
  <c r="I61" i="4" s="1"/>
  <c r="H60" i="4"/>
  <c r="I60" i="4" s="1"/>
  <c r="H59" i="4"/>
  <c r="I59" i="4" s="1"/>
  <c r="H58" i="4"/>
  <c r="I58" i="4" s="1"/>
  <c r="H57" i="4"/>
  <c r="I57" i="4" s="1"/>
  <c r="F55" i="4"/>
  <c r="D55" i="4"/>
  <c r="H54" i="4"/>
  <c r="I54" i="4" s="1"/>
  <c r="H53" i="4"/>
  <c r="I53" i="4" s="1"/>
  <c r="H52" i="4"/>
  <c r="I52" i="4" s="1"/>
  <c r="F49" i="4"/>
  <c r="D49" i="4"/>
  <c r="H48" i="4"/>
  <c r="I48" i="4" s="1"/>
  <c r="H47" i="4"/>
  <c r="I47" i="4" s="1"/>
  <c r="H46" i="4"/>
  <c r="I46" i="4" s="1"/>
  <c r="H45" i="4"/>
  <c r="I45" i="4" s="1"/>
  <c r="H44" i="4"/>
  <c r="I44" i="4" s="1"/>
  <c r="H43" i="4"/>
  <c r="I43" i="4" s="1"/>
  <c r="H42" i="4"/>
  <c r="I42" i="4" s="1"/>
  <c r="F40" i="4"/>
  <c r="F35" i="4"/>
  <c r="F36" i="4" s="1"/>
  <c r="D35" i="4"/>
  <c r="D36" i="4" s="1"/>
  <c r="H34" i="4"/>
  <c r="I34" i="4" s="1"/>
  <c r="H33" i="4"/>
  <c r="I33" i="4" s="1"/>
  <c r="H32" i="4"/>
  <c r="I32" i="4" s="1"/>
  <c r="H31" i="4"/>
  <c r="I31" i="4" s="1"/>
  <c r="H30" i="4"/>
  <c r="I30" i="4" s="1"/>
  <c r="H29" i="4"/>
  <c r="I29" i="4" s="1"/>
  <c r="H28" i="4"/>
  <c r="I28" i="4" s="1"/>
  <c r="F22" i="4"/>
  <c r="F17" i="4"/>
  <c r="D17" i="4"/>
  <c r="H16" i="4"/>
  <c r="I16" i="4" s="1"/>
  <c r="H15" i="4"/>
  <c r="I15" i="4" s="1"/>
  <c r="H14" i="4"/>
  <c r="I14" i="4" s="1"/>
  <c r="H13" i="4"/>
  <c r="I13" i="4" s="1"/>
  <c r="H12" i="4"/>
  <c r="I12" i="4" s="1"/>
  <c r="H11" i="4"/>
  <c r="I11" i="4" s="1"/>
  <c r="H10" i="4"/>
  <c r="I10" i="4" s="1"/>
  <c r="F8" i="4"/>
  <c r="H6" i="4"/>
  <c r="I6" i="4" s="1"/>
  <c r="F56" i="3"/>
  <c r="D56" i="3"/>
  <c r="H55" i="3"/>
  <c r="H54" i="3"/>
  <c r="H53" i="3"/>
  <c r="H52" i="3"/>
  <c r="F50" i="3"/>
  <c r="D50" i="3"/>
  <c r="H49" i="3"/>
  <c r="H48" i="3"/>
  <c r="H47" i="3"/>
  <c r="H46" i="3"/>
  <c r="F43" i="3"/>
  <c r="D43" i="3"/>
  <c r="D16" i="12" s="1"/>
  <c r="H42" i="3"/>
  <c r="H41" i="3"/>
  <c r="H40" i="3"/>
  <c r="H39" i="3"/>
  <c r="H38" i="3"/>
  <c r="H37" i="3"/>
  <c r="F35" i="3"/>
  <c r="D35" i="3"/>
  <c r="D14" i="12" s="1"/>
  <c r="H34" i="3"/>
  <c r="H33" i="3"/>
  <c r="H32" i="3"/>
  <c r="I32" i="3" s="1"/>
  <c r="H31" i="3"/>
  <c r="I31" i="3" s="1"/>
  <c r="F29" i="3"/>
  <c r="F12" i="12" s="1"/>
  <c r="D29" i="3"/>
  <c r="D12" i="12" s="1"/>
  <c r="H28" i="3"/>
  <c r="H27" i="3"/>
  <c r="H26" i="3"/>
  <c r="H25" i="3"/>
  <c r="F23" i="3"/>
  <c r="F10" i="12" s="1"/>
  <c r="D23" i="3"/>
  <c r="H22" i="3"/>
  <c r="H21" i="3"/>
  <c r="H20" i="3"/>
  <c r="H19" i="3"/>
  <c r="F17" i="3"/>
  <c r="F8" i="12" s="1"/>
  <c r="D17" i="3"/>
  <c r="D8" i="12" s="1"/>
  <c r="H16" i="3"/>
  <c r="H15" i="3"/>
  <c r="H14" i="3"/>
  <c r="H13" i="3"/>
  <c r="H12" i="3"/>
  <c r="H11" i="3"/>
  <c r="H10" i="3"/>
  <c r="H9" i="3"/>
  <c r="I9" i="3" s="1"/>
  <c r="F7" i="3"/>
  <c r="H5" i="3"/>
  <c r="H40" i="12"/>
  <c r="I40" i="12" s="1"/>
  <c r="H38" i="12"/>
  <c r="I38" i="12" s="1"/>
  <c r="F6" i="12" l="1"/>
  <c r="F34" i="12"/>
  <c r="G27" i="7"/>
  <c r="C21" i="73"/>
  <c r="D10" i="12"/>
  <c r="H10" i="12" s="1"/>
  <c r="D33" i="66"/>
  <c r="D34" i="66" s="1"/>
  <c r="F12" i="66"/>
  <c r="D22" i="9"/>
  <c r="D6" i="3" s="1"/>
  <c r="E24" i="66"/>
  <c r="F24" i="66" s="1"/>
  <c r="E28" i="11"/>
  <c r="E23" i="66"/>
  <c r="F23" i="66" s="1"/>
  <c r="C33" i="73"/>
  <c r="Q22" i="6"/>
  <c r="H35" i="3"/>
  <c r="I35" i="3" s="1"/>
  <c r="H12" i="12"/>
  <c r="D57" i="3"/>
  <c r="D18" i="12" s="1"/>
  <c r="H15" i="16"/>
  <c r="H17" i="16"/>
  <c r="N28" i="8"/>
  <c r="D6" i="14"/>
  <c r="H23" i="16"/>
  <c r="Q10" i="6"/>
  <c r="Q35" i="6" s="1"/>
  <c r="C28" i="73" s="1"/>
  <c r="H25" i="7"/>
  <c r="H35" i="4"/>
  <c r="I35" i="4" s="1"/>
  <c r="H17" i="4"/>
  <c r="I17" i="4" s="1"/>
  <c r="F18" i="4"/>
  <c r="H7" i="16"/>
  <c r="D66" i="4"/>
  <c r="D42" i="12" s="1"/>
  <c r="C20" i="73" s="1"/>
  <c r="D34" i="14"/>
  <c r="D38" i="14" s="1"/>
  <c r="D40" i="5"/>
  <c r="D38" i="4" s="1"/>
  <c r="F42" i="5"/>
  <c r="D5" i="14" s="1"/>
  <c r="I29" i="5"/>
  <c r="D21" i="4" s="1"/>
  <c r="H21" i="4" s="1"/>
  <c r="I21" i="4" s="1"/>
  <c r="E42" i="5"/>
  <c r="D4" i="14" s="1"/>
  <c r="D12" i="5"/>
  <c r="D5" i="4" s="1"/>
  <c r="H5" i="4" s="1"/>
  <c r="I5" i="4" s="1"/>
  <c r="F50" i="4"/>
  <c r="H50" i="3"/>
  <c r="H17" i="3"/>
  <c r="H9" i="16"/>
  <c r="I9" i="16" s="1"/>
  <c r="H35" i="8"/>
  <c r="B30" i="16"/>
  <c r="H23" i="3"/>
  <c r="H43" i="3"/>
  <c r="D29" i="5"/>
  <c r="D20" i="4" s="1"/>
  <c r="H20" i="4" s="1"/>
  <c r="I20" i="4" s="1"/>
  <c r="I35" i="6"/>
  <c r="N35" i="6"/>
  <c r="I35" i="8"/>
  <c r="M35" i="8"/>
  <c r="L21" i="15"/>
  <c r="C16" i="73" s="1"/>
  <c r="G12" i="16"/>
  <c r="G20" i="16"/>
  <c r="E30" i="16"/>
  <c r="M35" i="6"/>
  <c r="L35" i="8"/>
  <c r="H29" i="3"/>
  <c r="I12" i="5"/>
  <c r="D7" i="4" s="1"/>
  <c r="O35" i="6"/>
  <c r="J35" i="8"/>
  <c r="D35" i="8"/>
  <c r="F68" i="4" s="1"/>
  <c r="N23" i="13"/>
  <c r="D28" i="16"/>
  <c r="F14" i="12"/>
  <c r="H42" i="5"/>
  <c r="G35" i="6"/>
  <c r="H63" i="4"/>
  <c r="I63" i="4" s="1"/>
  <c r="F36" i="12"/>
  <c r="I40" i="5"/>
  <c r="D39" i="4" s="1"/>
  <c r="H39" i="4" s="1"/>
  <c r="I39" i="4" s="1"/>
  <c r="K35" i="6"/>
  <c r="H56" i="3"/>
  <c r="H55" i="4"/>
  <c r="I55" i="4" s="1"/>
  <c r="G42" i="5"/>
  <c r="L35" i="6"/>
  <c r="P35" i="6"/>
  <c r="N10" i="8"/>
  <c r="N16" i="8"/>
  <c r="N22" i="8"/>
  <c r="N34" i="8"/>
  <c r="F35" i="8"/>
  <c r="D68" i="4" s="1"/>
  <c r="K35" i="8"/>
  <c r="D23" i="9"/>
  <c r="C36" i="73" s="1"/>
  <c r="D50" i="14"/>
  <c r="D54" i="14" s="1"/>
  <c r="D55" i="14" s="1"/>
  <c r="H8" i="16"/>
  <c r="H16" i="16"/>
  <c r="D34" i="12"/>
  <c r="H34" i="12" s="1"/>
  <c r="F16" i="12"/>
  <c r="H16" i="12" s="1"/>
  <c r="H20" i="16"/>
  <c r="H28" i="16"/>
  <c r="D12" i="16"/>
  <c r="D20" i="16"/>
  <c r="S23" i="13"/>
  <c r="M23" i="13"/>
  <c r="T11" i="13"/>
  <c r="T23" i="13" s="1"/>
  <c r="E9" i="11"/>
  <c r="E10" i="11" s="1"/>
  <c r="H49" i="4"/>
  <c r="I49" i="4" s="1"/>
  <c r="F57" i="3"/>
  <c r="H8" i="12"/>
  <c r="H27" i="7" l="1"/>
  <c r="D39" i="14" s="1"/>
  <c r="D43" i="14" s="1"/>
  <c r="D21" i="73"/>
  <c r="H14" i="12"/>
  <c r="I14" i="12"/>
  <c r="F30" i="12"/>
  <c r="F46" i="12"/>
  <c r="F32" i="12"/>
  <c r="I34" i="12"/>
  <c r="H36" i="12"/>
  <c r="I36" i="12" s="1"/>
  <c r="F28" i="12"/>
  <c r="C35" i="73"/>
  <c r="L6" i="3"/>
  <c r="E12" i="11"/>
  <c r="D7" i="3"/>
  <c r="H7" i="3" s="1"/>
  <c r="I7" i="3" s="1"/>
  <c r="D30" i="66"/>
  <c r="H6" i="3"/>
  <c r="D30" i="16"/>
  <c r="G30" i="16"/>
  <c r="D67" i="4"/>
  <c r="D44" i="12" s="1"/>
  <c r="C25" i="73" s="1"/>
  <c r="D20" i="14"/>
  <c r="D24" i="14" s="1"/>
  <c r="F67" i="4"/>
  <c r="D25" i="14"/>
  <c r="D29" i="14" s="1"/>
  <c r="F66" i="4"/>
  <c r="D7" i="14"/>
  <c r="D12" i="14" s="1"/>
  <c r="E14" i="11" s="1"/>
  <c r="N35" i="8"/>
  <c r="C29" i="73" s="1"/>
  <c r="D22" i="4"/>
  <c r="D42" i="5"/>
  <c r="C13" i="73" s="1"/>
  <c r="I42" i="5"/>
  <c r="H12" i="16"/>
  <c r="D44" i="14"/>
  <c r="E18" i="11" s="1"/>
  <c r="F58" i="3"/>
  <c r="F18" i="12"/>
  <c r="H18" i="12" s="1"/>
  <c r="H7" i="4"/>
  <c r="I7" i="4" s="1"/>
  <c r="D8" i="4"/>
  <c r="H57" i="3"/>
  <c r="H68" i="4"/>
  <c r="I68" i="4" s="1"/>
  <c r="D46" i="12"/>
  <c r="H38" i="4"/>
  <c r="I38" i="4" s="1"/>
  <c r="D40" i="4"/>
  <c r="D60" i="14"/>
  <c r="D56" i="14"/>
  <c r="D59" i="14" s="1"/>
  <c r="E15" i="11" s="1"/>
  <c r="I6" i="3" l="1"/>
  <c r="D27" i="66" s="1"/>
  <c r="D26" i="73"/>
  <c r="F42" i="12"/>
  <c r="F44" i="12"/>
  <c r="D11" i="73"/>
  <c r="D6" i="12"/>
  <c r="D58" i="3"/>
  <c r="D25" i="73"/>
  <c r="H46" i="12"/>
  <c r="I46" i="12" s="1"/>
  <c r="C26" i="73"/>
  <c r="H42" i="12"/>
  <c r="H67" i="4"/>
  <c r="I67" i="4" s="1"/>
  <c r="H58" i="3"/>
  <c r="I58" i="3" s="1"/>
  <c r="H30" i="16"/>
  <c r="I30" i="16" s="1"/>
  <c r="I12" i="16"/>
  <c r="D31" i="14"/>
  <c r="E13" i="11" s="1"/>
  <c r="E19" i="11" s="1"/>
  <c r="E23" i="11" s="1"/>
  <c r="E27" i="11" s="1"/>
  <c r="E29" i="11" s="1"/>
  <c r="E4" i="66" s="1"/>
  <c r="H66" i="4"/>
  <c r="I66" i="4" s="1"/>
  <c r="F69" i="4"/>
  <c r="H22" i="4"/>
  <c r="I22" i="4" s="1"/>
  <c r="F20" i="12"/>
  <c r="D57" i="14"/>
  <c r="D58" i="14" s="1"/>
  <c r="D61" i="14" s="1"/>
  <c r="H8" i="4"/>
  <c r="I8" i="4" s="1"/>
  <c r="D18" i="4"/>
  <c r="H40" i="4"/>
  <c r="I40" i="4" s="1"/>
  <c r="D50" i="4"/>
  <c r="H36" i="4"/>
  <c r="I36" i="4" s="1"/>
  <c r="D30" i="12"/>
  <c r="C11" i="73" s="1"/>
  <c r="F48" i="12" l="1"/>
  <c r="I42" i="12"/>
  <c r="D37" i="66"/>
  <c r="H44" i="12"/>
  <c r="I44" i="12" s="1"/>
  <c r="F22" i="12"/>
  <c r="D20" i="73"/>
  <c r="H6" i="12"/>
  <c r="I6" i="12" s="1"/>
  <c r="D20" i="12"/>
  <c r="H20" i="12" s="1"/>
  <c r="I20" i="12" s="1"/>
  <c r="D32" i="12"/>
  <c r="H32" i="12" s="1"/>
  <c r="I32" i="12" s="1"/>
  <c r="H50" i="4"/>
  <c r="I50" i="4" s="1"/>
  <c r="D69" i="4"/>
  <c r="H69" i="4" s="1"/>
  <c r="I69" i="4" s="1"/>
  <c r="D28" i="12"/>
  <c r="H28" i="12" s="1"/>
  <c r="I28" i="12" s="1"/>
  <c r="H18" i="4"/>
  <c r="I18" i="4" s="1"/>
  <c r="H30" i="12"/>
  <c r="I30" i="12" s="1"/>
  <c r="D6" i="73" l="1"/>
  <c r="F24" i="12"/>
  <c r="F50" i="12" s="1"/>
  <c r="D10" i="73"/>
  <c r="D48" i="12"/>
  <c r="D22" i="12"/>
  <c r="D5" i="73" l="1"/>
  <c r="B27" i="1"/>
  <c r="C6" i="73"/>
  <c r="H48" i="12"/>
  <c r="I48" i="12" s="1"/>
  <c r="C10" i="73"/>
  <c r="D32" i="11"/>
  <c r="D24" i="12"/>
  <c r="C5" i="73" s="1"/>
  <c r="B15" i="10"/>
  <c r="H22" i="12"/>
  <c r="I22" i="12" s="1"/>
  <c r="E40" i="11" l="1"/>
  <c r="E5" i="66"/>
  <c r="E6" i="66" s="1"/>
  <c r="E7" i="66" s="1"/>
  <c r="H24" i="12"/>
  <c r="I24" i="12" s="1"/>
  <c r="D50" i="12"/>
  <c r="H50" i="12" s="1"/>
  <c r="I50" i="12" s="1"/>
</calcChain>
</file>

<file path=xl/sharedStrings.xml><?xml version="1.0" encoding="utf-8"?>
<sst xmlns="http://schemas.openxmlformats.org/spreadsheetml/2006/main" count="1622" uniqueCount="1076">
  <si>
    <t>Instructions:</t>
  </si>
  <si>
    <t xml:space="preserve">Input requested information in highlighted boxes only. Information input into yellow boxes will automatically fill throughout the rest of the workbook. Please round to the nearest whole dollar. No pennies. </t>
  </si>
  <si>
    <t>Name of Fire District:</t>
  </si>
  <si>
    <t>County:</t>
  </si>
  <si>
    <t>Levy Cap Calculation Summary</t>
  </si>
  <si>
    <t>Changes in Service Provider (+/-)</t>
  </si>
  <si>
    <t>DLGS Approved Adjustments</t>
  </si>
  <si>
    <t>Cancelled or Unexpended Referendum Amount
(Enter as a positive number)</t>
  </si>
  <si>
    <t>Assessed Valuation of District for adopted budget</t>
  </si>
  <si>
    <t>New Ratables - Increase in Valuations (New Construction and Additions)</t>
  </si>
  <si>
    <t xml:space="preserve">Adopted Fire District Tax Rate (three decimals) per $100 </t>
  </si>
  <si>
    <t xml:space="preserve">Projected Tax Rate based upon Proposed Levy </t>
  </si>
  <si>
    <t xml:space="preserve">The Levy Cap worksheets simplify data entry by having the user enter most data on support pages and some from this sheet. By filling in the highlighted cells on this page, each worksheet will reflect the information and automatically calculate the formulas on each individiual worksheet. </t>
  </si>
  <si>
    <t>$ Increase (Decrease) Proposed vs. Adopted</t>
  </si>
  <si>
    <t>% Increase (Decrease) Proposed vs. Adopted</t>
  </si>
  <si>
    <t>REVENUES AND FUND BALANCE UTILIZED</t>
  </si>
  <si>
    <t>Total Fund Balance Utilized</t>
  </si>
  <si>
    <t>Total Miscellaneous Anticipated Revenues</t>
  </si>
  <si>
    <t>Total Sale of Assets</t>
  </si>
  <si>
    <t>Total Interest on Investments &amp; Deposits</t>
  </si>
  <si>
    <t xml:space="preserve">Total Other Revenue </t>
  </si>
  <si>
    <t>Total Operating Grant Revenue</t>
  </si>
  <si>
    <t>Total Revenues Offset with Appropriations</t>
  </si>
  <si>
    <t>Total Revenues and Fund Balance Utilized</t>
  </si>
  <si>
    <t>Amount to be Raised by Taxation to Support Budget</t>
  </si>
  <si>
    <t>Total Anticipated Revenues</t>
  </si>
  <si>
    <t>APPROPRIATIONS</t>
  </si>
  <si>
    <t>Total Administration</t>
  </si>
  <si>
    <t>Total Cost of Operations &amp; Maintenance</t>
  </si>
  <si>
    <t>Total Appropriations Offset with Revenue</t>
  </si>
  <si>
    <t>(must equal Revenues Offset with Appropriations)</t>
  </si>
  <si>
    <t>Total Deferred Charges</t>
  </si>
  <si>
    <t>Cash Deficit, Preceeding Year (N.J.S.A. 40A:14-78.6)</t>
  </si>
  <si>
    <t>Length of Service Award Program (LOSAP) Contribution (P.L.1997,c.388)</t>
  </si>
  <si>
    <t>Total Capital Appropriations</t>
  </si>
  <si>
    <t xml:space="preserve">Total Principal Payments on Debt Service </t>
  </si>
  <si>
    <t>Total Interest Payments on Debt</t>
  </si>
  <si>
    <t>Total Appropriations</t>
  </si>
  <si>
    <t>ANTICIPATED SURPLUS (DEFICIT)</t>
  </si>
  <si>
    <t>$ Increase (Decrease) Proposed vs.Adopted</t>
  </si>
  <si>
    <t>Fund Balance Utilized</t>
  </si>
  <si>
    <t>Unrestricted Fund Balance</t>
  </si>
  <si>
    <t>Restricted Fund Balance</t>
  </si>
  <si>
    <t>Miscellaneous Anticipated Revenues</t>
  </si>
  <si>
    <t>Shared Services (N.J.S.A. 40A:65-1 et seq.)</t>
  </si>
  <si>
    <t>Joint Purchasing Agreements (N.J.S.A. 40A:10 &amp; 11)</t>
  </si>
  <si>
    <t>Emergency Assistance (N.J.S.A. 40A:14-26)</t>
  </si>
  <si>
    <t>Municipal Assistance (N.J.S.A. 40A:14-34)</t>
  </si>
  <si>
    <t>Municipal Assistance - Adjoin (N.J.S.A. 40A:14-35)</t>
  </si>
  <si>
    <t>Contracts - Volunteer Fire Co (N.J.S.A. 40A:14-68)</t>
  </si>
  <si>
    <t>Leases - Local Municipality (N.J.S.A. 40A:14-83)</t>
  </si>
  <si>
    <t>Rental Income</t>
  </si>
  <si>
    <t>Sale of Assets (List Individually)</t>
  </si>
  <si>
    <t>Asset #1</t>
  </si>
  <si>
    <t>Asset #2</t>
  </si>
  <si>
    <t>Asset #3</t>
  </si>
  <si>
    <t>Asset #4</t>
  </si>
  <si>
    <t>Interest on Investments &amp; Deposits (List Accounts Separately)</t>
  </si>
  <si>
    <t>Investment Account #2</t>
  </si>
  <si>
    <t>Investment Account #3</t>
  </si>
  <si>
    <t>Investment Account #4</t>
  </si>
  <si>
    <t>Other Revenue (List in Detail)</t>
  </si>
  <si>
    <t>Other Revenue #3</t>
  </si>
  <si>
    <t>Other Revenue #4</t>
  </si>
  <si>
    <t>Total Other Revenue</t>
  </si>
  <si>
    <t>Operating Grant Revenue (List in Detail)</t>
  </si>
  <si>
    <t>Supplemental Fire Service Act (P.L.1985,c.295)</t>
  </si>
  <si>
    <t>Other Grant #3</t>
  </si>
  <si>
    <t>Other Grant #4</t>
  </si>
  <si>
    <t>Other Grant #5</t>
  </si>
  <si>
    <t>Revenues Offset with Appropriations</t>
  </si>
  <si>
    <t>Uniform Fire Safety Act (P.L.1983,c.383)</t>
  </si>
  <si>
    <t>Reserves Utilized</t>
  </si>
  <si>
    <t>Annual Registration Fees</t>
  </si>
  <si>
    <t>Penalties and Fines</t>
  </si>
  <si>
    <t>Other Revenues</t>
  </si>
  <si>
    <t xml:space="preserve">     Total Uniform Fire Safety Act</t>
  </si>
  <si>
    <t>Other Revenues Offset with Appropriations (List)</t>
  </si>
  <si>
    <t>Other Offset Revenues #1</t>
  </si>
  <si>
    <t>Other Offset Revenues #2</t>
  </si>
  <si>
    <t>Other Offset Revenues #3</t>
  </si>
  <si>
    <t>Other Offset Revenues #4</t>
  </si>
  <si>
    <t xml:space="preserve">     Total Other Revenues Offset with Appropriations</t>
  </si>
  <si>
    <t xml:space="preserve">           Total Revenues Offset with Appropriations</t>
  </si>
  <si>
    <t>TOTAL REVENUES AND FUND BALANCE UTILIZED</t>
  </si>
  <si>
    <t>Administration - Personnel</t>
  </si>
  <si>
    <t>Salary &amp; Wages (excluding Commissioners)</t>
  </si>
  <si>
    <t>Commissioners</t>
  </si>
  <si>
    <t>Fringe Benefits</t>
  </si>
  <si>
    <t>Total Administration - Personnel</t>
  </si>
  <si>
    <t>Administration - Other (List)</t>
  </si>
  <si>
    <t>Contingent Expenses</t>
  </si>
  <si>
    <t>Other Assets, Non-Bondable #1</t>
  </si>
  <si>
    <t>Other Assets, Non-Bondable #2</t>
  </si>
  <si>
    <t>Other Assets, Non-Bondable #3</t>
  </si>
  <si>
    <t>Total Administration - Other</t>
  </si>
  <si>
    <t xml:space="preserve">     Total Administration</t>
  </si>
  <si>
    <t>Cost of Operations &amp; Maintenance - Personnel</t>
  </si>
  <si>
    <t>Salary &amp; Wages</t>
  </si>
  <si>
    <t>Total Operations &amp; Maintenance - Personnel</t>
  </si>
  <si>
    <t>Cost of Operations &amp; Maintenance - Other (List)</t>
  </si>
  <si>
    <t>Total Operations &amp; Maintenance - Other</t>
  </si>
  <si>
    <t xml:space="preserve">     Total Operations &amp; Maintenance</t>
  </si>
  <si>
    <t>Appropriations Offset with Revenue - Personnel</t>
  </si>
  <si>
    <t>Total Appropriations Offset with Revenue - Personnel</t>
  </si>
  <si>
    <t>Appropriations Offset with Revenue - Other (List)</t>
  </si>
  <si>
    <t>Total Appropriations Offset with Revenue - Other</t>
  </si>
  <si>
    <t xml:space="preserve">     Total Appropriations Offset with Revenue</t>
  </si>
  <si>
    <t>Duly Incorporated First Aid/Rescue Squad Associations</t>
  </si>
  <si>
    <t>Vehicles</t>
  </si>
  <si>
    <t>Equipment</t>
  </si>
  <si>
    <t>Materials &amp; Supplies</t>
  </si>
  <si>
    <t>Total Duly Incorporated First Aid/Rescue Squad Associations</t>
  </si>
  <si>
    <t>Emergency Appropriations &amp; Deferred Charges (List)</t>
  </si>
  <si>
    <t>Emergency Appropriation #1</t>
  </si>
  <si>
    <t>Emergency Appropriation #2</t>
  </si>
  <si>
    <t>Emergency Appropriation #3</t>
  </si>
  <si>
    <t>Deferred Charge #1 (cite statute)</t>
  </si>
  <si>
    <t>Deferred Charge #2 (cite statute)</t>
  </si>
  <si>
    <t>Declared State of Emergency (N.J.S.A. 40A:4-45.45 10b)</t>
  </si>
  <si>
    <t>Cash Deficit, Preceding Year (N.J.S.A. 40A:14-78.6)</t>
  </si>
  <si>
    <t>Length of Service Award Program (LOSAP) Contribution (N.J.S.A. 40A:14-78.6)</t>
  </si>
  <si>
    <t>Total Principal Payments on Debt Service</t>
  </si>
  <si>
    <t>TOTAL APPROPRIATIONS</t>
  </si>
  <si>
    <t>Administrative Positions Excluding Commissioners (List Individually)</t>
  </si>
  <si>
    <t>Number of Staff</t>
  </si>
  <si>
    <t>Annual Wages</t>
  </si>
  <si>
    <t>PERS Contribution</t>
  </si>
  <si>
    <t>PFRS Contribution</t>
  </si>
  <si>
    <t>Employee Group Health Insurance</t>
  </si>
  <si>
    <t>Other Fringe Benefits</t>
  </si>
  <si>
    <t>Position #1</t>
  </si>
  <si>
    <t>Position #2</t>
  </si>
  <si>
    <t>Position #3</t>
  </si>
  <si>
    <t>Position #4</t>
  </si>
  <si>
    <t>Position #5</t>
  </si>
  <si>
    <t>Position #6</t>
  </si>
  <si>
    <t>Position #7</t>
  </si>
  <si>
    <t>Position #8</t>
  </si>
  <si>
    <t>Position #9</t>
  </si>
  <si>
    <t>Position #10</t>
  </si>
  <si>
    <t>Position #11</t>
  </si>
  <si>
    <t>Position #12</t>
  </si>
  <si>
    <t>Position #13</t>
  </si>
  <si>
    <t>Position #14</t>
  </si>
  <si>
    <t xml:space="preserve">     Total Operation &amp; Maintenance</t>
  </si>
  <si>
    <t xml:space="preserve">     Total Offset by Revenue</t>
  </si>
  <si>
    <t>Total Administration, Operations &amp; Offset by Revenue</t>
  </si>
  <si>
    <t>Date of Voter Approval</t>
  </si>
  <si>
    <t>% of Voter Approval</t>
  </si>
  <si>
    <t>Date of Local Finance Board Approval</t>
  </si>
  <si>
    <t>Thereafter</t>
  </si>
  <si>
    <t>Total Principal Outstanding</t>
  </si>
  <si>
    <t>General Obligation Bonds</t>
  </si>
  <si>
    <t>General Obligation Bond #1</t>
  </si>
  <si>
    <t>General Obligation Bond #2</t>
  </si>
  <si>
    <t>General Obligation Bond #3</t>
  </si>
  <si>
    <t>General Obligation Bond #4</t>
  </si>
  <si>
    <t xml:space="preserve">     Total Principal - General Obligation Bonds</t>
  </si>
  <si>
    <t>Bond Anticipation Notes</t>
  </si>
  <si>
    <t>BAN #1</t>
  </si>
  <si>
    <t>BAN #2</t>
  </si>
  <si>
    <t>BAN #3</t>
  </si>
  <si>
    <t>BAN #4</t>
  </si>
  <si>
    <t xml:space="preserve">     Total Principal - BANs</t>
  </si>
  <si>
    <t>Capital Leases</t>
  </si>
  <si>
    <t>Capital Lease #2</t>
  </si>
  <si>
    <t>Capital Lease #3</t>
  </si>
  <si>
    <t>Capital Lease #4</t>
  </si>
  <si>
    <t xml:space="preserve">     Total Principal - Capital Leases</t>
  </si>
  <si>
    <t>Intergovernmental Loans</t>
  </si>
  <si>
    <t>Intergovernmental #1</t>
  </si>
  <si>
    <t>Intergovernmental #2</t>
  </si>
  <si>
    <t>Intergovernmental #3</t>
  </si>
  <si>
    <t>Intergovernmental #4</t>
  </si>
  <si>
    <t xml:space="preserve">     Total Principal - Intergovernmental Loans</t>
  </si>
  <si>
    <t>Other Bonds or Notes Payable</t>
  </si>
  <si>
    <t>Other Bonds or Notes #1</t>
  </si>
  <si>
    <t>Other Bonds or Notes #2</t>
  </si>
  <si>
    <t>Other Bonds or Notes #3</t>
  </si>
  <si>
    <t>Other Bonds or Notes #4</t>
  </si>
  <si>
    <t xml:space="preserve">     Total Principal - Other Bonds or Notes</t>
  </si>
  <si>
    <t>TOTAL PRINCIPAL ALL OBLIGATIONS</t>
  </si>
  <si>
    <t xml:space="preserve">Enter each debt issuance separately according to type of debt obligation above. Enter the principal due for each year indicated and thereafter until maturity. </t>
  </si>
  <si>
    <t>Capital Appropriations Offset with Restricted Fund</t>
  </si>
  <si>
    <t>Capital Appropriations Offset with Grants</t>
  </si>
  <si>
    <t>Capital Appropriations Offset with Unrestricted Fund</t>
  </si>
  <si>
    <t>CAPITAL IMPROVEMENTS (N.J.S.A. 40A:14-84)</t>
  </si>
  <si>
    <t>List Project Separately</t>
  </si>
  <si>
    <t>Asset Type</t>
  </si>
  <si>
    <t>Time of General Election February or November</t>
  </si>
  <si>
    <t>Date of  Approval</t>
  </si>
  <si>
    <t>Affirmative Vote Percentage</t>
  </si>
  <si>
    <t>Capital Improvement #1</t>
  </si>
  <si>
    <t>Capital Improvement #2</t>
  </si>
  <si>
    <t>Capital Improvement #3</t>
  </si>
  <si>
    <t>Capital Improvement #4</t>
  </si>
  <si>
    <t>Capital Improvement #5</t>
  </si>
  <si>
    <t>Capital Improvement #6</t>
  </si>
  <si>
    <t>Capital Improvement #7</t>
  </si>
  <si>
    <t xml:space="preserve">     Total Capital Improvements</t>
  </si>
  <si>
    <t>DOWN PAYMENTS/CAPITAL FINANCED IMPROVEMENTS (N.J.S.A. 40A:14-85)</t>
  </si>
  <si>
    <t xml:space="preserve">     Total Down Payments</t>
  </si>
  <si>
    <t xml:space="preserve">            Total Capital Improvements &amp; Down Payments</t>
  </si>
  <si>
    <t>RESERVE FOR FUTURE CAPITAL OUTLAYS</t>
  </si>
  <si>
    <t>TOTAL CAPITAL APPROPRIATIONS</t>
  </si>
  <si>
    <t>Total Interest Payments Outstanding</t>
  </si>
  <si>
    <t xml:space="preserve">     Total Interest - General Obligation Bonds</t>
  </si>
  <si>
    <t xml:space="preserve">     Total Interest Payments - BANs</t>
  </si>
  <si>
    <t xml:space="preserve">     Total Interest Payments - Capital Leases</t>
  </si>
  <si>
    <t xml:space="preserve">     Total Interest Payments - Intergovernmental </t>
  </si>
  <si>
    <t xml:space="preserve">     Total Interest Payments - Other Bonds or Notes</t>
  </si>
  <si>
    <t>TOTAL INTEREST ALL OBLIGATIONS</t>
  </si>
  <si>
    <t xml:space="preserve"> </t>
  </si>
  <si>
    <t>UNRESTRICTED FUND BALANCE</t>
  </si>
  <si>
    <t>Proposed balance available</t>
  </si>
  <si>
    <t>Plus: Accrued Unfunded Pension Liability (1)</t>
  </si>
  <si>
    <t>Plus: Accrued Unfunded Other Post-Employment Benefit Liability (1)</t>
  </si>
  <si>
    <t>RESTRICTED FUND BALANCE</t>
  </si>
  <si>
    <t>Less: Restricted Fund Balance released via Referendum Resolution</t>
  </si>
  <si>
    <t xml:space="preserve">(1) This line item must agree to audited financial statements. </t>
  </si>
  <si>
    <t>Summary of Referendum Line Items</t>
  </si>
  <si>
    <t>Total Referendum Line Items</t>
  </si>
  <si>
    <t>Tax Levy Requested minus Maximum Allowable Levy</t>
  </si>
  <si>
    <t xml:space="preserve">(For Reference Purposes Only - from Levy Cap Summary based on </t>
  </si>
  <si>
    <t>Information provided by the district- see instructions.)</t>
  </si>
  <si>
    <t>Summary of Release of Restricted Fund Balance Referendum Line Items</t>
  </si>
  <si>
    <t>Total Release of Restricted Fund Balance</t>
  </si>
  <si>
    <t>LEVY CAP CALCULATION</t>
  </si>
  <si>
    <t xml:space="preserve">Prior Year Amount to be Raised by Taxation for Fire District Purposes </t>
  </si>
  <si>
    <t>Net Prior Year Tax Levy for Municipal Purposes for Cap Calculation</t>
  </si>
  <si>
    <t>Plus: 2% Cap Increase</t>
  </si>
  <si>
    <t>ADJUSTED TAX LEVY PRIOR TO EXCLUSIONS</t>
  </si>
  <si>
    <t>Exclusions</t>
  </si>
  <si>
    <t>Shared Service Exclusion</t>
  </si>
  <si>
    <t>Change in Total Debt Service Appropriation</t>
  </si>
  <si>
    <t>Allowable Pension Increases</t>
  </si>
  <si>
    <t>Allowable Increase in Health Care Costs</t>
  </si>
  <si>
    <t>Changes in LOSAP Contributions (+/-)</t>
  </si>
  <si>
    <t>Extraordinary Costs due to a "Declared" Emergency</t>
  </si>
  <si>
    <t>Net Capital Improvement Fund and/or Down Payment on Improvements and Reserve for Future Capital Outlays</t>
  </si>
  <si>
    <t>Total Exclusions</t>
  </si>
  <si>
    <t>Less: Cancelled or Unexpended Referendum Amounts</t>
  </si>
  <si>
    <t>Increase in Ratable Valuation (New Construction/Additions)</t>
  </si>
  <si>
    <t>Prior Year Local Fire District Tax Rate (3 decimals/$100)</t>
  </si>
  <si>
    <t>ADJUSTED TAX LEVY</t>
  </si>
  <si>
    <t>Maximum Tax Levy Before Referendum</t>
  </si>
  <si>
    <t>Amount Proposed for Levy Cap Referendum</t>
  </si>
  <si>
    <t>MAXIMUM ALLOWABLE AMOUNT TO BE RAISED BY TAXATION</t>
  </si>
  <si>
    <t>CAP BANK CALCULATION</t>
  </si>
  <si>
    <t>Amount to be Raised by Taxation</t>
  </si>
  <si>
    <t>Health Care Costs</t>
  </si>
  <si>
    <t>Pension Costs</t>
  </si>
  <si>
    <t>Debt Service Costs</t>
  </si>
  <si>
    <t>Capital Improvement Costs</t>
  </si>
  <si>
    <t>Declared Emergency Costs</t>
  </si>
  <si>
    <t>Total Shared Services Cost Exclusions</t>
  </si>
  <si>
    <t>Salary Costs</t>
  </si>
  <si>
    <t>Other Costs</t>
  </si>
  <si>
    <t>Total</t>
  </si>
  <si>
    <t>Name of Entity Providing Service</t>
  </si>
  <si>
    <t>Type of Shared Service Provided (List Each Separately)</t>
  </si>
  <si>
    <t>Proposed</t>
  </si>
  <si>
    <t>Adopted</t>
  </si>
  <si>
    <t xml:space="preserve">     Total</t>
  </si>
  <si>
    <t>PENSION CONTRIBUTION CALCULATION</t>
  </si>
  <si>
    <t>Anticipated Revenues for Fringe Benefits Directly Offsetting Pension Costs</t>
  </si>
  <si>
    <t>Realized Revenues for Fringe Benefits Directly Offsetting Pension Costs</t>
  </si>
  <si>
    <t>Pension Contribution Exclusion</t>
  </si>
  <si>
    <t>LOSAP CALCULATION</t>
  </si>
  <si>
    <t>LOSAP Exclusion (+/-)</t>
  </si>
  <si>
    <t>DEBT SERVICE CALCULATION</t>
  </si>
  <si>
    <t>Debt Service Exclusion</t>
  </si>
  <si>
    <t>CAPITAL APPROPRIATION CALCULATION</t>
  </si>
  <si>
    <t>Capital Expenditure Exclusion</t>
  </si>
  <si>
    <t>HEALTH INSURANCE EXCLUSION CALCULATION</t>
  </si>
  <si>
    <t>Net Increase (Decrease)</t>
  </si>
  <si>
    <t>% Increase less % Increase Exclusion = % Increase Inside Cap</t>
  </si>
  <si>
    <t>Amount Above the Levy Exclusion (Actual Increase - State Health Benefit Average)</t>
  </si>
  <si>
    <t>Position</t>
  </si>
  <si>
    <t>Name</t>
  </si>
  <si>
    <t>Title</t>
  </si>
  <si>
    <t>Average Hours per Week Dedicated to Position</t>
  </si>
  <si>
    <t>Commissioner</t>
  </si>
  <si>
    <t>Officer</t>
  </si>
  <si>
    <t>Former</t>
  </si>
  <si>
    <t>Base Salary/ Stipend</t>
  </si>
  <si>
    <t>Bonus</t>
  </si>
  <si>
    <t>Other (auto allowance, expense account, payment in lieu of health benefits, etc.)</t>
  </si>
  <si>
    <t>Estimated amount of other compensation from the Fire District (health benefits, pension, etc.)</t>
  </si>
  <si>
    <t>Total Compensation from Fire District</t>
  </si>
  <si>
    <t>Total:</t>
  </si>
  <si>
    <t>Enter the total number of employees/ independent contractors who received more than $100,000 in total reportable compensation for the most recent fiscal year completed:</t>
  </si>
  <si>
    <t xml:space="preserve"> # of Covered Members (Medical &amp; Rx) Proposed Budget</t>
  </si>
  <si>
    <t xml:space="preserve">Annual Cost Estimate per Employee Proposed Budget </t>
  </si>
  <si>
    <t xml:space="preserve">Total Cost Estimate Proposed Budget </t>
  </si>
  <si>
    <t># of Covered Members (Medical &amp; Rx) Current Year</t>
  </si>
  <si>
    <t>Annual Cost per Employee Current Year</t>
  </si>
  <si>
    <t>Total Current Year Cost</t>
  </si>
  <si>
    <t>$ Increase (Decrease)</t>
  </si>
  <si>
    <t>% Increase (Decrease)</t>
  </si>
  <si>
    <t>Active Employees - Health Benefits - Annual Cost</t>
  </si>
  <si>
    <t>Single Coverage</t>
  </si>
  <si>
    <t>Parent &amp; Child</t>
  </si>
  <si>
    <t>Employee &amp; Spouse (or Partner)</t>
  </si>
  <si>
    <t>Family</t>
  </si>
  <si>
    <t>Employee Cost Sharing Contribution (enter as negative - )</t>
  </si>
  <si>
    <t>Subtotal</t>
  </si>
  <si>
    <t xml:space="preserve">Commissioners - Health Benefits - Annual Cost </t>
  </si>
  <si>
    <t xml:space="preserve">Retirees - Health Benefits - Annual Cost </t>
  </si>
  <si>
    <t>GRAND TOTAL</t>
  </si>
  <si>
    <t>Is medical coverage provided by the SHBP (Yes or No)?</t>
  </si>
  <si>
    <t>Is prescription drug coverage provided by the SHBP (Yes or No)?</t>
  </si>
  <si>
    <t xml:space="preserve">Complete the below table for the Fire District's accrued liability for compensated absences. </t>
  </si>
  <si>
    <t>Legal Basis for Benefit (check applicable items)</t>
  </si>
  <si>
    <t>Individuals Eligible for Benefit</t>
  </si>
  <si>
    <t>Dollar Value of Accrued Compensated Absence Liability</t>
  </si>
  <si>
    <t>Approved Labor Agreement</t>
  </si>
  <si>
    <t>Resolution</t>
  </si>
  <si>
    <t>Individual Employment Agreement</t>
  </si>
  <si>
    <t>Year:</t>
  </si>
  <si>
    <r>
      <rPr>
        <sz val="23"/>
        <rFont val="Times New Roman"/>
        <family val="1"/>
      </rPr>
      <t>Division of Local Government Services</t>
    </r>
  </si>
  <si>
    <r>
      <rPr>
        <sz val="48"/>
        <rFont val="Times New Roman"/>
        <family val="1"/>
      </rPr>
      <t>Fire District Budget</t>
    </r>
  </si>
  <si>
    <r>
      <rPr>
        <b/>
        <sz val="18"/>
        <rFont val="Times New Roman"/>
        <family val="1"/>
      </rPr>
      <t>Certification Section</t>
    </r>
  </si>
  <si>
    <t>Page C-1</t>
  </si>
  <si>
    <r>
      <rPr>
        <sz val="12"/>
        <rFont val="Times New Roman"/>
        <family val="1"/>
      </rPr>
      <t xml:space="preserve">By: </t>
    </r>
    <r>
      <rPr>
        <u/>
        <sz val="12"/>
        <rFont val="Times New Roman"/>
        <family val="1"/>
      </rPr>
      <t>                                                                                   </t>
    </r>
    <r>
      <rPr>
        <sz val="12"/>
        <rFont val="Times New Roman"/>
        <family val="1"/>
      </rPr>
      <t xml:space="preserve"> Date: </t>
    </r>
    <r>
      <rPr>
        <u/>
        <sz val="12"/>
        <rFont val="Times New Roman"/>
        <family val="1"/>
      </rPr>
      <t>                             </t>
    </r>
  </si>
  <si>
    <t>Director of the Division of Local Government Services</t>
  </si>
  <si>
    <t>Department of Community Affairs</t>
  </si>
  <si>
    <t>State of New Jersey</t>
  </si>
  <si>
    <t xml:space="preserve">certified with respect to such amendments and comparisons only. </t>
  </si>
  <si>
    <t>Budget previously certified by the Division, and any amendments made thereto.  This adopted Budget is</t>
  </si>
  <si>
    <t>It is hereby certified that the adopted Budget made a part hereof has been compared with the approved</t>
  </si>
  <si>
    <t>CERTIFICATION OF ADOPTED BUDGET</t>
  </si>
  <si>
    <t>N.J.S.A. 40A:5A-11.</t>
  </si>
  <si>
    <t>law and the rules and regulations of the Local Finance Board, and approval is given pursuant to</t>
  </si>
  <si>
    <t>It is hereby certified that the approved Budget made a part hereof complies with the requirements of</t>
  </si>
  <si>
    <r>
      <rPr>
        <b/>
        <sz val="14"/>
        <rFont val="Times New Roman"/>
        <family val="1"/>
      </rPr>
      <t>CERTIFICATION OF APPROVED BUDGET</t>
    </r>
  </si>
  <si>
    <r>
      <rPr>
        <b/>
        <i/>
        <u/>
        <sz val="14"/>
        <rFont val="Times New Roman"/>
        <family val="1"/>
      </rPr>
      <t>For Division Use Only</t>
    </r>
  </si>
  <si>
    <r>
      <rPr>
        <b/>
        <sz val="18"/>
        <rFont val="Times New Roman"/>
        <family val="1"/>
      </rPr>
      <t>FIRE DISTRICT BUDGET</t>
    </r>
  </si>
  <si>
    <t>Page C-2</t>
  </si>
  <si>
    <t>E-mail Address:</t>
  </si>
  <si>
    <t>Fax Number:</t>
  </si>
  <si>
    <t>Phone Number:</t>
  </si>
  <si>
    <t>Address:</t>
  </si>
  <si>
    <t>Title:</t>
  </si>
  <si>
    <t xml:space="preserve">Name: </t>
  </si>
  <si>
    <t>Preparer's Signature:</t>
  </si>
  <si>
    <t xml:space="preserve">completed and attached. </t>
  </si>
  <si>
    <t>reasonable assurance that all assertations contained herein are accurate and all required schedules are</t>
  </si>
  <si>
    <t xml:space="preserve">content, the budget will permit the exercise of the comptroller function within the Fire District. </t>
  </si>
  <si>
    <t xml:space="preserve">accurate and correctly stated; all items of appropriation are properly set forth; and in itemization, form and </t>
  </si>
  <si>
    <t>revenues, including the amount to be raised by taxation to support the district budget, are reasonable</t>
  </si>
  <si>
    <t>thereto, represents the Board of Commissioners' resolve with respect to stature in that; all estimates of</t>
  </si>
  <si>
    <r>
      <rPr>
        <u/>
        <sz val="12"/>
        <rFont val="Times New Roman"/>
        <family val="1"/>
      </rPr>
      <t>40A:14-78.6</t>
    </r>
    <r>
      <rPr>
        <sz val="12"/>
        <rFont val="Times New Roman"/>
        <family val="1"/>
      </rPr>
      <t>.</t>
    </r>
  </si>
  <si>
    <t xml:space="preserve">to treat such Other Assets as Operating Appropriations: Current Operating Expenses, pursuant to N.J.S.A. </t>
  </si>
  <si>
    <r>
      <t xml:space="preserve">it pertains to the expected useful life of the asset, pursuant to </t>
    </r>
    <r>
      <rPr>
        <u/>
        <sz val="12"/>
        <rFont val="Times New Roman"/>
        <family val="1"/>
      </rPr>
      <t>N.J.S.A. 40A:2-21</t>
    </r>
    <r>
      <rPr>
        <sz val="12"/>
        <rFont val="Times New Roman"/>
        <family val="1"/>
      </rPr>
      <t>.</t>
    </r>
  </si>
  <si>
    <r>
      <t>criteria for bonding pursuant to the Local Bond Law (</t>
    </r>
    <r>
      <rPr>
        <u/>
        <sz val="12"/>
        <rFont val="Times New Roman"/>
        <family val="1"/>
      </rPr>
      <t>N.J.S.A. 40A:2-1 et seq.</t>
    </r>
    <r>
      <rPr>
        <sz val="12"/>
        <rFont val="Times New Roman"/>
        <family val="1"/>
      </rPr>
      <t xml:space="preserve">) and more specifically, as </t>
    </r>
  </si>
  <si>
    <t xml:space="preserve">Commissioners has determined that the aformentioned Other Asset appropriation(s) do not meet the </t>
  </si>
  <si>
    <t>OTHER ASSETS</t>
  </si>
  <si>
    <t>Officer's Signature:</t>
  </si>
  <si>
    <t xml:space="preserve">of the full membership of the Board of Commissioners thereof. </t>
  </si>
  <si>
    <t>of the Annual Budget approved by resolution of the Board of Commissioners of the Fire District, at an</t>
  </si>
  <si>
    <t>Page C-5</t>
  </si>
  <si>
    <t>Signature:</t>
  </si>
  <si>
    <t xml:space="preserve">Title of Officer Certifying Compliance: </t>
  </si>
  <si>
    <t>Name of Officer Certifying Compliance:</t>
  </si>
  <si>
    <t xml:space="preserve">above.  A check in each of the above boxes signifies compliance. </t>
  </si>
  <si>
    <t>webpage as identified above complies with the minimum statutory requirements of N.J.S.A. 40A:14-70.2 as listed</t>
  </si>
  <si>
    <t xml:space="preserve">40A:14-70.2. </t>
  </si>
  <si>
    <r>
      <t xml:space="preserve">minimum for public disclosure.  Check the boxes below to certify the Fire District's compliance with </t>
    </r>
    <r>
      <rPr>
        <u/>
        <sz val="11"/>
        <color rgb="FF000000"/>
        <rFont val="Times New Roman"/>
        <family val="1"/>
      </rPr>
      <t xml:space="preserve">N.J.S.A. </t>
    </r>
  </si>
  <si>
    <r>
      <t xml:space="preserve">activities.  </t>
    </r>
    <r>
      <rPr>
        <u/>
        <sz val="11"/>
        <color rgb="FF000000"/>
        <rFont val="Times New Roman"/>
        <family val="1"/>
      </rPr>
      <t>N.J.S.A. 40A:14-70.2</t>
    </r>
    <r>
      <rPr>
        <sz val="11"/>
        <color rgb="FF000000"/>
        <rFont val="Times New Roman"/>
        <family val="1"/>
      </rPr>
      <t xml:space="preserve"> requires the following items to be included on the Fire District's website at a </t>
    </r>
  </si>
  <si>
    <t>purpose of the website or webpage shall be to provide increased public access to the Fire District's operations and</t>
  </si>
  <si>
    <t xml:space="preserve">  Fire District’s Web Address:</t>
  </si>
  <si>
    <r>
      <rPr>
        <b/>
        <sz val="18"/>
        <rFont val="Times New Roman"/>
        <family val="1"/>
      </rPr>
      <t>FIRE DISTRICT INTERNET WEBSITE CERTIFICATION</t>
    </r>
  </si>
  <si>
    <t>Page C-6</t>
  </si>
  <si>
    <t>(Date)</t>
  </si>
  <si>
    <t xml:space="preserve">(Secretary’s Signature)                                                                                          </t>
  </si>
  <si>
    <t xml:space="preserve">BE IT FURTHER RESOLVED, that the Board of Commissioners of the Fire District will consider the Annual Budget for </t>
  </si>
  <si>
    <t>outstanding debt obligations, capital lease arrangements, service contracts, and other pledged agreements; and</t>
  </si>
  <si>
    <t xml:space="preserve">meet all proposed expenditures/expenses and all covenants, terms and provisions as stipulated in the Fire District's </t>
  </si>
  <si>
    <t xml:space="preserve">BE IT FURTHER RESOLVED, that the anticipated revenues as reflected in the Annual Budget are of sufficient amount to </t>
  </si>
  <si>
    <t>NOW, THEREFORE BE IT RESOLVED, by the Board of Commissioners of the Fire District, at an open public meeting held</t>
  </si>
  <si>
    <t>of taxable property in the Fire District;</t>
  </si>
  <si>
    <t>WHEREAS, in calculating the amount to be raised by taxation, the Fire District has taken into account the assessed valuation</t>
  </si>
  <si>
    <t xml:space="preserve">amount shall be equal to the amount of the total appropriations set forth in the budget minus the total amount surplus and </t>
  </si>
  <si>
    <t>assessor of the municipality to be assessed against the taxable property in the district, pursuant to N.J.S.A. 40A:14-79. Such</t>
  </si>
  <si>
    <t xml:space="preserve">WHEREAS, the amount to be raised by taxation to support the district budget shall be the amount to be certified to the </t>
  </si>
  <si>
    <t>WHEREAS, the budget as introduced is in compliance with the Property Tax Levy Cap Law (N.J.S.A. 40A:4-45.44 et seq.); and</t>
  </si>
  <si>
    <t>Page C-7</t>
  </si>
  <si>
    <t>Page C-8</t>
  </si>
  <si>
    <r>
      <rPr>
        <b/>
        <sz val="10"/>
        <rFont val="Times New Roman"/>
        <family val="1"/>
      </rPr>
      <t>Absent</t>
    </r>
  </si>
  <si>
    <r>
      <rPr>
        <b/>
        <sz val="10"/>
        <rFont val="Times New Roman"/>
        <family val="1"/>
      </rPr>
      <t>Abstain</t>
    </r>
  </si>
  <si>
    <r>
      <rPr>
        <b/>
        <sz val="10"/>
        <rFont val="Times New Roman"/>
        <family val="1"/>
      </rPr>
      <t>Nay</t>
    </r>
  </si>
  <si>
    <r>
      <rPr>
        <b/>
        <sz val="10"/>
        <rFont val="Times New Roman"/>
        <family val="1"/>
      </rPr>
      <t>Aye</t>
    </r>
  </si>
  <si>
    <r>
      <rPr>
        <b/>
        <sz val="10"/>
        <rFont val="Times New Roman"/>
        <family val="1"/>
      </rPr>
      <t>Member</t>
    </r>
  </si>
  <si>
    <r>
      <rPr>
        <b/>
        <sz val="10"/>
        <rFont val="Times New Roman"/>
        <family val="1"/>
      </rPr>
      <t>Board of Commissioners Recorded Vote</t>
    </r>
  </si>
  <si>
    <t xml:space="preserve">(Date) </t>
  </si>
  <si>
    <t xml:space="preserve">(Secretary’s Signature)                                                                                         </t>
  </si>
  <si>
    <t>thereto, if any, which have been approved by the Director of the Division of Local Government Services; and</t>
  </si>
  <si>
    <t xml:space="preserve">appropriation in the same amount and title as set forth in the introduced and approved budget, including all amendments </t>
  </si>
  <si>
    <t xml:space="preserve">BE IT FURTHER RESOLVED, that the Annual Budget as presented for adoption reflects each item of revenue and </t>
  </si>
  <si>
    <t>NOW, THEREFORE BE IT RESOLVED, by the Board of Commissioners of the Fire District at an open public meeting held on</t>
  </si>
  <si>
    <t>approved by the Director of the Division of Local Government Services; and</t>
  </si>
  <si>
    <t>and title as set forth in the introduced and approved budget, including all amendments thereto, if any, which have been</t>
  </si>
  <si>
    <t>Narrative and Information Section</t>
  </si>
  <si>
    <t>Page N-1</t>
  </si>
  <si>
    <r>
      <rPr>
        <sz val="10"/>
        <rFont val="Times New Roman"/>
        <family val="1"/>
      </rPr>
      <t>Yes</t>
    </r>
  </si>
  <si>
    <r>
      <rPr>
        <sz val="10"/>
        <rFont val="Times New Roman"/>
        <family val="1"/>
      </rPr>
      <t>No</t>
    </r>
  </si>
  <si>
    <t>appropriation amount and that the Amount to be Raised by Taxation to Support the Budget must be reduced by a like amount?</t>
  </si>
  <si>
    <t xml:space="preserve">If the public question is defeated, is the Board of Commissioners aware that the budget must be amended to delete the LOSAP </t>
  </si>
  <si>
    <r>
      <rPr>
        <sz val="10"/>
        <rFont val="Times New Roman"/>
        <family val="1"/>
      </rPr>
      <t>If yes, how much is appropriated?</t>
    </r>
  </si>
  <si>
    <t>(LOSAP) in this year’s budget subject to public referendum thereof?</t>
  </si>
  <si>
    <r>
      <rPr>
        <b/>
        <sz val="10"/>
        <rFont val="Times New Roman"/>
        <family val="1"/>
      </rPr>
      <t xml:space="preserve">11. </t>
    </r>
    <r>
      <rPr>
        <sz val="10"/>
        <rFont val="Times New Roman"/>
        <family val="1"/>
      </rPr>
      <t xml:space="preserve">Is  the  Fire  District  providing  for  a  first-year  funding  appropriation  to  establish  a  length  of  service  award  program </t>
    </r>
  </si>
  <si>
    <r>
      <rPr>
        <sz val="10"/>
        <rFont val="Times New Roman"/>
        <family val="1"/>
      </rPr>
      <t>Proposed Tax Rate per $100 of Assessed Valuation</t>
    </r>
  </si>
  <si>
    <r>
      <rPr>
        <sz val="10"/>
        <rFont val="Times New Roman"/>
        <family val="1"/>
      </rPr>
      <t>Total Assessed Valuation of District</t>
    </r>
  </si>
  <si>
    <r>
      <rPr>
        <b/>
        <sz val="10"/>
        <rFont val="Times New Roman"/>
        <family val="1"/>
      </rPr>
      <t xml:space="preserve">10. </t>
    </r>
    <r>
      <rPr>
        <sz val="10"/>
        <rFont val="Times New Roman"/>
        <family val="1"/>
      </rPr>
      <t>Complete the following based on the municipal assessor’s latest information pursuant to N.J.S.A. 54:4-35:</t>
    </r>
  </si>
  <si>
    <t xml:space="preserve"> N.J.S.A. 40A:14-85.1? If so, provide the organization’s incorporated name and amounts.</t>
  </si>
  <si>
    <t xml:space="preserve">or  other  emergency  vehicles,  equipment,  supplies  and  materials  for  use  by  a  duly  incorporated  association,  pursuant  </t>
  </si>
  <si>
    <r>
      <rPr>
        <b/>
        <sz val="10"/>
        <rFont val="Times New Roman"/>
        <family val="1"/>
      </rPr>
      <t xml:space="preserve">9.  </t>
    </r>
    <r>
      <rPr>
        <sz val="10"/>
        <rFont val="Times New Roman"/>
        <family val="1"/>
      </rPr>
      <t xml:space="preserve">Does the Annual Budget appropriate such sums as it may deem necessary for the purchase of first aid, ambulance, rescue, </t>
    </r>
  </si>
  <si>
    <t>N.J.S.A. 40A:14- 78.6, then explain the reasons for the occurrence of the deficit.</t>
  </si>
  <si>
    <r>
      <rPr>
        <b/>
        <sz val="10"/>
        <rFont val="Times New Roman"/>
        <family val="1"/>
      </rPr>
      <t xml:space="preserve">8.  </t>
    </r>
    <r>
      <rPr>
        <sz val="10"/>
        <rFont val="Times New Roman"/>
        <family val="1"/>
      </rPr>
      <t xml:space="preserve">If the proposed Annual Budget contains an amount for a Cash Deficit of the Preceding Year pursuant to </t>
    </r>
  </si>
  <si>
    <t xml:space="preserve"> proposed budget year and for future years.</t>
  </si>
  <si>
    <r>
      <rPr>
        <b/>
        <sz val="10"/>
        <rFont val="Times New Roman"/>
        <family val="1"/>
      </rPr>
      <t xml:space="preserve">7.  </t>
    </r>
    <r>
      <rPr>
        <sz val="10"/>
        <rFont val="Times New Roman"/>
        <family val="1"/>
      </rPr>
      <t>Complete  a  brief  statement  on  the  Annual  Budget’s  proposed  capital  appropriations  including  debt  service  for  the</t>
    </r>
  </si>
  <si>
    <t>operating budget, explain the reason and purposes of the appropriation.</t>
  </si>
  <si>
    <t>addressed by a referendum.</t>
  </si>
  <si>
    <t xml:space="preserve">the Levy Cap and identify the appropriations that caused the Fire District to exceed the Levy Cap, and how they are being </t>
  </si>
  <si>
    <r>
      <rPr>
        <b/>
        <sz val="10"/>
        <rFont val="Times New Roman"/>
        <family val="1"/>
      </rPr>
      <t xml:space="preserve">5.  </t>
    </r>
    <r>
      <rPr>
        <sz val="10"/>
        <rFont val="Times New Roman"/>
        <family val="1"/>
      </rPr>
      <t>Does the Fire District plan on exceeding the Levy Cap?  If so, please provide a statement with the reasons for exceeding</t>
    </r>
  </si>
  <si>
    <t>If Unrestricted Fund Balance is reduced by more than 10%, explain the projected impact on the following year’s budget.</t>
  </si>
  <si>
    <t xml:space="preserve">the use of the Restricted and Unrestricted Fund Balance(s) and how they are complying with the Property Tax Levy Cap. </t>
  </si>
  <si>
    <r>
      <rPr>
        <b/>
        <sz val="10"/>
        <rFont val="Times New Roman"/>
        <family val="1"/>
      </rPr>
      <t xml:space="preserve">4.  </t>
    </r>
    <r>
      <rPr>
        <sz val="10"/>
        <rFont val="Times New Roman"/>
        <family val="1"/>
      </rPr>
      <t xml:space="preserve">Complete a brief statement on the impact the proposed Annual Budget will have on the Amount to be Raised by Taxation, </t>
    </r>
  </si>
  <si>
    <t>reason for the increase/decrease in the budgeted line item.</t>
  </si>
  <si>
    <t>If November, was the resolution submitted to the Division?</t>
  </si>
  <si>
    <r>
      <rPr>
        <b/>
        <sz val="10"/>
        <rFont val="Times New Roman"/>
        <family val="1"/>
      </rPr>
      <t xml:space="preserve">1.  </t>
    </r>
    <r>
      <rPr>
        <sz val="10"/>
        <rFont val="Times New Roman"/>
        <family val="1"/>
      </rPr>
      <t xml:space="preserve">When is the Fire District’s annual election? (February and/or November) </t>
    </r>
  </si>
  <si>
    <t>Page N-2</t>
  </si>
  <si>
    <r>
      <rPr>
        <b/>
        <sz val="12"/>
        <rFont val="Times New Roman"/>
        <family val="1"/>
      </rPr>
      <t>Name of Auditor:</t>
    </r>
  </si>
  <si>
    <r>
      <rPr>
        <b/>
        <sz val="12"/>
        <rFont val="Times New Roman"/>
        <family val="1"/>
      </rPr>
      <t>Preparer’s Name:</t>
    </r>
  </si>
  <si>
    <r>
      <rPr>
        <b/>
        <sz val="12"/>
        <rFont val="Times New Roman"/>
        <family val="1"/>
      </rPr>
      <t>Name of Fire District:</t>
    </r>
  </si>
  <si>
    <r>
      <rPr>
        <sz val="10.1"/>
        <rFont val="Times New Roman"/>
        <family val="1"/>
      </rPr>
      <t xml:space="preserve">Please complete the following information regarding this Fire District. </t>
    </r>
    <r>
      <rPr>
        <b/>
        <u/>
        <sz val="10.1"/>
        <rFont val="Times New Roman"/>
        <family val="1"/>
      </rPr>
      <t>All</t>
    </r>
    <r>
      <rPr>
        <b/>
        <sz val="10.1"/>
        <rFont val="Times New Roman"/>
        <family val="1"/>
      </rPr>
      <t xml:space="preserve"> </t>
    </r>
    <r>
      <rPr>
        <sz val="10.1"/>
        <rFont val="Times New Roman"/>
        <family val="1"/>
      </rPr>
      <t>information requested below must be completed.</t>
    </r>
  </si>
  <si>
    <r>
      <rPr>
        <b/>
        <sz val="18"/>
        <rFont val="Times New Roman"/>
        <family val="1"/>
      </rPr>
      <t>FIRE DISTRICT CONTACT INFORMATION</t>
    </r>
  </si>
  <si>
    <t>Page N-3</t>
  </si>
  <si>
    <t xml:space="preserve">        direct or indirect owner?</t>
  </si>
  <si>
    <r>
      <t xml:space="preserve">     </t>
    </r>
    <r>
      <rPr>
        <sz val="10"/>
        <color rgb="FF000000"/>
        <rFont val="Times New Roman"/>
        <family val="1"/>
      </rPr>
      <t>c. An entity of which a current or former commissioner, officer, or employee (or family member thereof) was an officer or</t>
    </r>
  </si>
  <si>
    <r>
      <t xml:space="preserve">     </t>
    </r>
    <r>
      <rPr>
        <sz val="10"/>
        <color rgb="FF000000"/>
        <rFont val="Times New Roman"/>
        <family val="1"/>
      </rPr>
      <t xml:space="preserve">b. A family member of a current or former commissioner, officer, or employee? </t>
    </r>
  </si>
  <si>
    <r>
      <t xml:space="preserve">     </t>
    </r>
    <r>
      <rPr>
        <sz val="10"/>
        <color rgb="FF000000"/>
        <rFont val="Times New Roman"/>
        <family val="1"/>
      </rPr>
      <t>a. A current or former commissioner, officer, or employee?</t>
    </r>
  </si>
  <si>
    <t>2)    Provide the number of alternate voting members of the governing body:</t>
  </si>
  <si>
    <t>1)    Provide the number of regular voting members of the governing body:</t>
  </si>
  <si>
    <r>
      <rPr>
        <b/>
        <sz val="18"/>
        <rFont val="Times New Roman"/>
        <family val="1"/>
      </rPr>
      <t>FIRE DISTRICT INFORMATIONAL QUESTIONNAIRE</t>
    </r>
  </si>
  <si>
    <t>e) the total LOSAP budgeted for the current year</t>
  </si>
  <si>
    <t>d) whether the annual contribution for each vested member is fixed or based on an automatic increase</t>
  </si>
  <si>
    <t>c) the total number of volunteer members presently vested</t>
  </si>
  <si>
    <t>b) the total number of volunteer members presently eligible to participate</t>
  </si>
  <si>
    <t>a) the year it was implemented</t>
  </si>
  <si>
    <t>If "yes," indicate:</t>
  </si>
  <si>
    <t xml:space="preserve">      services that the entity will provide and the amount to be paid by the Fire District to the entity for the services provided? </t>
  </si>
  <si>
    <t xml:space="preserve">      provide fire protection or EMS services within the Fire District?</t>
  </si>
  <si>
    <r>
      <rPr>
        <b/>
        <sz val="18"/>
        <rFont val="Times New Roman"/>
        <family val="1"/>
      </rPr>
      <t>(CONTINUED)</t>
    </r>
  </si>
  <si>
    <t xml:space="preserve">                                                 whichever amount is greater, and/or Form 1099-MISC, box 7, for the calendar year. </t>
  </si>
  <si>
    <r>
      <rPr>
        <b/>
        <sz val="10"/>
        <color rgb="FF000000"/>
        <rFont val="Times New Roman"/>
        <family val="1"/>
      </rPr>
      <t>Reportable Compensation:</t>
    </r>
    <r>
      <rPr>
        <sz val="10"/>
        <color rgb="FF000000"/>
        <rFont val="Times New Roman"/>
        <family val="1"/>
      </rPr>
      <t xml:space="preserve"> The aggregate compensation that is reported (or is required to be reported) on Form W-2, box 1 or 5,</t>
    </r>
  </si>
  <si>
    <t xml:space="preserve">                            employees and indpenedent contractors in exchange for services. </t>
  </si>
  <si>
    <t xml:space="preserve">                            use of the Fire District's propert. Compensation includes payments and other benefits provided to both</t>
  </si>
  <si>
    <t xml:space="preserve">                            education benefits, below-market loans, payment of personal or family travel, entertainment, and personal</t>
  </si>
  <si>
    <t xml:space="preserve">                            financial arrangements or transaction such as personal vehicles, meals, housing, personal and family</t>
  </si>
  <si>
    <t xml:space="preserve">                            and wages, bonuses, severance payments, deferred payments, retirement benefits, fringe benefits, and other </t>
  </si>
  <si>
    <r>
      <rPr>
        <b/>
        <sz val="10"/>
        <color rgb="FF000000"/>
        <rFont val="Times New Roman"/>
        <family val="1"/>
      </rPr>
      <t>Compensation</t>
    </r>
    <r>
      <rPr>
        <sz val="10"/>
        <color rgb="FF000000"/>
        <rFont val="Times New Roman"/>
        <family val="1"/>
      </rPr>
      <t>: All forms of cash and non-cash payments or benefits provided in exchange for services, including salaries</t>
    </r>
  </si>
  <si>
    <t xml:space="preserve">               both a commissioner and an officer for the purposes of this schedule. </t>
  </si>
  <si>
    <t xml:space="preserve">               management official and top financial officer as officers, if applicable. A member of the governing body may be </t>
  </si>
  <si>
    <t xml:space="preserve">               chairperson, vice-chairperson, secretary, or treasurer. For the purposes of this schedule, treat the Fire District's top </t>
  </si>
  <si>
    <r>
      <rPr>
        <b/>
        <sz val="10"/>
        <color rgb="FF000000"/>
        <rFont val="Times New Roman"/>
        <family val="1"/>
      </rPr>
      <t>Officer</t>
    </r>
    <r>
      <rPr>
        <sz val="10"/>
        <color rgb="FF000000"/>
        <rFont val="Times New Roman"/>
        <family val="1"/>
      </rPr>
      <t xml:space="preserve">: A person elected or appointed to manage the Fire District's daily operations at any time during the year, such as the </t>
    </r>
  </si>
  <si>
    <t xml:space="preserve">                            of this schedule. </t>
  </si>
  <si>
    <r>
      <rPr>
        <b/>
        <sz val="10"/>
        <color rgb="FF000000"/>
        <rFont val="Times New Roman"/>
        <family val="1"/>
      </rPr>
      <t>Commissioner</t>
    </r>
    <r>
      <rPr>
        <sz val="10"/>
        <color rgb="FF000000"/>
        <rFont val="Times New Roman"/>
        <family val="1"/>
      </rPr>
      <t>: A member of the governing body of the Fire District with voting rights. Include alternates for the purposes</t>
    </r>
  </si>
  <si>
    <t xml:space="preserve">2)     List all of the Fire District's former commissioners and officers who received more than $10,000 in reportable </t>
  </si>
  <si>
    <r>
      <rPr>
        <i/>
        <sz val="10"/>
        <rFont val="Times New Roman"/>
        <family val="1"/>
      </rPr>
      <t>Complete the attached table for all persons required to be listed per #1-2 below.</t>
    </r>
  </si>
  <si>
    <r>
      <rPr>
        <b/>
        <sz val="12"/>
        <rFont val="Times New Roman"/>
        <family val="1"/>
      </rPr>
      <t>FIRE DISTRICT SCHEDULE OF COMMISSIONERS AND OFFICERS</t>
    </r>
  </si>
  <si>
    <t>FINANCIAL SCHEDULES SECTION</t>
  </si>
  <si>
    <t>Year</t>
  </si>
  <si>
    <t>County</t>
  </si>
  <si>
    <t>Web Address</t>
  </si>
  <si>
    <t>Burlington</t>
  </si>
  <si>
    <t>Preparer Name</t>
  </si>
  <si>
    <t>Address</t>
  </si>
  <si>
    <t xml:space="preserve">Phone </t>
  </si>
  <si>
    <t>Fax</t>
  </si>
  <si>
    <t>Email</t>
  </si>
  <si>
    <t>Preparer and Preparer - Other Assets Certification</t>
  </si>
  <si>
    <t>Approval Certification</t>
  </si>
  <si>
    <t>Officer's Name</t>
  </si>
  <si>
    <t>Phone</t>
  </si>
  <si>
    <t xml:space="preserve">Fax </t>
  </si>
  <si>
    <t>Internet Certification</t>
  </si>
  <si>
    <t>Adoption Certification</t>
  </si>
  <si>
    <t>Fax:</t>
  </si>
  <si>
    <t>Woodbridge Township FD No. 9</t>
  </si>
  <si>
    <t>Woodbridge Township FD No. 8</t>
  </si>
  <si>
    <t>Woodbridge Township FD No. 7</t>
  </si>
  <si>
    <t>Woodbridge Township FD No. 5</t>
  </si>
  <si>
    <t>Woodbridge Township FD No. 4</t>
  </si>
  <si>
    <t>Woodbridge Township FD No. 2</t>
  </si>
  <si>
    <t>Woodbridge Township FD No. 12</t>
  </si>
  <si>
    <t>Woodbridge Township FD No. 11</t>
  </si>
  <si>
    <t>Woodbridge Township FD No. 1</t>
  </si>
  <si>
    <t>Winslow Township FD No. 1</t>
  </si>
  <si>
    <t>Weymouth Township FD No. 1</t>
  </si>
  <si>
    <t>Westville Borough FD No. 1</t>
  </si>
  <si>
    <t>Washington Township FD No. 1 (Warren)</t>
  </si>
  <si>
    <t>Washington Township FD No. 1 (Gloucester)</t>
  </si>
  <si>
    <t>Wall Township FD No. 3</t>
  </si>
  <si>
    <t>Wall Township FD No. 2</t>
  </si>
  <si>
    <t>Wall Township FD No. 1</t>
  </si>
  <si>
    <t>Upper Township FD No. 4</t>
  </si>
  <si>
    <t>Upper Township FD No. 3</t>
  </si>
  <si>
    <t>Upper Township FD No. 2</t>
  </si>
  <si>
    <t>Upper Township FD No. 1</t>
  </si>
  <si>
    <t>Toms River FD No. 2</t>
  </si>
  <si>
    <t>Toms River FD No. 1</t>
  </si>
  <si>
    <t>Tinton Falls FD No. 2</t>
  </si>
  <si>
    <t>Tinton Falls FD No. 1</t>
  </si>
  <si>
    <t>South Brunswick Township FD No. 3</t>
  </si>
  <si>
    <t>South Brunswick Township FD No. 2</t>
  </si>
  <si>
    <t>South Brunswick Township FD No. 1</t>
  </si>
  <si>
    <t>Riverside Township FD No. 1</t>
  </si>
  <si>
    <t>Plumsted Township FD No. 1</t>
  </si>
  <si>
    <t>Plainsboro Township FD No. 1</t>
  </si>
  <si>
    <t>Pittsgrove Township FD No. 3</t>
  </si>
  <si>
    <t>Pittsgrove Township FD No. 2</t>
  </si>
  <si>
    <t>Pittsgrove Township FD No. 1</t>
  </si>
  <si>
    <t>Piscataway Township FD No. 4</t>
  </si>
  <si>
    <t>Piscataway Township FD No. 3</t>
  </si>
  <si>
    <t>Piscataway Township FD No. 2</t>
  </si>
  <si>
    <t>Piscataway Township FD No. 1</t>
  </si>
  <si>
    <t>Pine Hill Borough FD No. 1</t>
  </si>
  <si>
    <t>Pennington Borough FD No. 1</t>
  </si>
  <si>
    <t>Parsippany-Troy Hills Township FD No. 6</t>
  </si>
  <si>
    <t>Parsippany-Troy Hills Township FD No. 5</t>
  </si>
  <si>
    <t>Parsippany-Troy Hills Township FD No. 4</t>
  </si>
  <si>
    <t>Parsippany-Troy Hills Township FD No. 3</t>
  </si>
  <si>
    <t>Parsippany-Troy Hills Township FD No. 2</t>
  </si>
  <si>
    <t>Parsippany-Troy Hills Township FD No. 1</t>
  </si>
  <si>
    <t>Old Bridge Township FD No. 4</t>
  </si>
  <si>
    <t>Old Bridge Township FD No. 3</t>
  </si>
  <si>
    <t>Old Bridge Township FD No. 2</t>
  </si>
  <si>
    <t>Old Bridge Township FD No. 1</t>
  </si>
  <si>
    <t>Ocean Township FD No. 2</t>
  </si>
  <si>
    <t>Ocean Township FD No. 1</t>
  </si>
  <si>
    <t>Neptune Township FD No. 2</t>
  </si>
  <si>
    <t>Neptune Township FD No. 1</t>
  </si>
  <si>
    <t>Mount Laurel Township FD No. 1</t>
  </si>
  <si>
    <t>Mount Holly Township FD No. 1</t>
  </si>
  <si>
    <t>Moorestown Township FD No. 2</t>
  </si>
  <si>
    <t>Moorestown Township FD No. 1</t>
  </si>
  <si>
    <t>Montville Township FD No. 3</t>
  </si>
  <si>
    <t>Montville Township FD No. 2</t>
  </si>
  <si>
    <t>Montville Township FD No. 1</t>
  </si>
  <si>
    <t>Montgomery Township FD No. 2</t>
  </si>
  <si>
    <t>Montgomery Township FD No. 1</t>
  </si>
  <si>
    <t>Monroe Township FD No. 3</t>
  </si>
  <si>
    <t>Monroe Township FD No. 2</t>
  </si>
  <si>
    <t>Monroe Township FD No. 1</t>
  </si>
  <si>
    <t>Millstone Township FD No. 1</t>
  </si>
  <si>
    <t>Middle Township FD No. 4</t>
  </si>
  <si>
    <t>Middle Township FD No. 3</t>
  </si>
  <si>
    <t>Middle Township FD No. 2</t>
  </si>
  <si>
    <t>Middle Township FD No. 1</t>
  </si>
  <si>
    <t>Maurice River Township FD No. 4</t>
  </si>
  <si>
    <t>Maurice River Township FD No. 3</t>
  </si>
  <si>
    <t>Maurice River Township FD No. 2</t>
  </si>
  <si>
    <t>Maurice River Township FD No. 1</t>
  </si>
  <si>
    <t>Marlboro Township FD No. 3</t>
  </si>
  <si>
    <t>Marlboro Township FD No. 2</t>
  </si>
  <si>
    <t>Marlboro Township FD No. 1</t>
  </si>
  <si>
    <t>Mantua Township FD No. 1</t>
  </si>
  <si>
    <t>Manasquan Borough FD No. 1</t>
  </si>
  <si>
    <t>Manalapan Township FD No. 2</t>
  </si>
  <si>
    <t>Manalapan Township FD No. 1</t>
  </si>
  <si>
    <t>Lower Township FD No. 3</t>
  </si>
  <si>
    <t>Lower Township FD No. 2</t>
  </si>
  <si>
    <t>Lower Township FD No. 1</t>
  </si>
  <si>
    <t>Little Egg Harbor Township FD No. 3</t>
  </si>
  <si>
    <t>Little Egg Harbor Township FD No. 2</t>
  </si>
  <si>
    <t>Little Egg Harbor Township FD No. 1</t>
  </si>
  <si>
    <t>Lindenwold Borough FD No. 1</t>
  </si>
  <si>
    <t>Lambertville City FD No. 1</t>
  </si>
  <si>
    <t>Lakewood Township FD No. 1</t>
  </si>
  <si>
    <t>Jamesburg Borough FD No. 1</t>
  </si>
  <si>
    <t>Jackson Township FD No. 4</t>
  </si>
  <si>
    <t>Jackson Township FD No. 3</t>
  </si>
  <si>
    <t>Jackson Township FD No. 2</t>
  </si>
  <si>
    <t>Howell Township FD No. 5</t>
  </si>
  <si>
    <t>Howell Township FD No. 4</t>
  </si>
  <si>
    <t>Howell Township FD No. 3</t>
  </si>
  <si>
    <t>Howell Township FD No. 2</t>
  </si>
  <si>
    <t>Howell Township FD No. 1</t>
  </si>
  <si>
    <t>Hopewell Township FD No. 1</t>
  </si>
  <si>
    <t>Hopewell Borough FD No. 1</t>
  </si>
  <si>
    <t>Hillsborough Township FD No. 1</t>
  </si>
  <si>
    <t>Hazlet Township FD No. 1</t>
  </si>
  <si>
    <t>Harrison Township FD No. 1</t>
  </si>
  <si>
    <t>Hanover Township FD No. 3</t>
  </si>
  <si>
    <t>Hanover Township FD No. 2</t>
  </si>
  <si>
    <t>Haddon Township FD No. 4</t>
  </si>
  <si>
    <t>Haddon Township FD No. 3</t>
  </si>
  <si>
    <t>Haddon Township FD No. 1</t>
  </si>
  <si>
    <t>Gloucester Township FD No. 6</t>
  </si>
  <si>
    <t>Gloucester Township FD No. 5</t>
  </si>
  <si>
    <t>Gloucester Township FD No. 4</t>
  </si>
  <si>
    <t>Gloucester Township FD No. 3</t>
  </si>
  <si>
    <t>Gloucester Township FD No. 2</t>
  </si>
  <si>
    <t>Gloucester Township FD No. 1</t>
  </si>
  <si>
    <t>Freehold Township FD No. 2</t>
  </si>
  <si>
    <t>Freehold Township FD No. 1</t>
  </si>
  <si>
    <t>Franklin Township FD No. 5 (Gloucester)</t>
  </si>
  <si>
    <t>Franklin Township FD No. 4 (Somerset)</t>
  </si>
  <si>
    <t>Franklin Township FD No. 4 (Gloucester)</t>
  </si>
  <si>
    <t>Franklin Township FD No. 3 (Somerset)</t>
  </si>
  <si>
    <t>Franklin Township FD No. 3 (Gloucester)</t>
  </si>
  <si>
    <t>Franklin Township FD No. 2 (Somerset)</t>
  </si>
  <si>
    <t>Franklin Township FD No. 2 (Gloucester)</t>
  </si>
  <si>
    <t>Franklin Township FD No. 1 (Somerset)</t>
  </si>
  <si>
    <t>Franklin Township FD No. 1 (Hunterdon)</t>
  </si>
  <si>
    <t>Franklin Township FD No. 1 (Gloucester)</t>
  </si>
  <si>
    <t>Florence Township FD No. 1</t>
  </si>
  <si>
    <t>Evesham Township FD No. 1</t>
  </si>
  <si>
    <t>Englishtown Borough FD No. 1</t>
  </si>
  <si>
    <t>Edgewater Park Township FD No. 1</t>
  </si>
  <si>
    <t>Eastampton Township FD No. 1</t>
  </si>
  <si>
    <t>East Brunswick Township FD No. 3</t>
  </si>
  <si>
    <t>East Brunswick Township FD No. 2</t>
  </si>
  <si>
    <t>East Brunswick Township FD No. 1</t>
  </si>
  <si>
    <t>East Amwell Township FD No. 1</t>
  </si>
  <si>
    <t>Downe Township FD No. 2</t>
  </si>
  <si>
    <t>Downe Township FD No. 1</t>
  </si>
  <si>
    <t>Deptford Township FD No. 1</t>
  </si>
  <si>
    <t>Dennis Township FD No. 3</t>
  </si>
  <si>
    <t>Dennis Township FD No. 2</t>
  </si>
  <si>
    <t>Dennis Township FD No. 1</t>
  </si>
  <si>
    <t>Delran Township FD No. 1</t>
  </si>
  <si>
    <t>Delanco Township FD No. 1</t>
  </si>
  <si>
    <t>Commercial Township FD No. 3</t>
  </si>
  <si>
    <t>Commercial Township FD No. 2</t>
  </si>
  <si>
    <t>Commercial Township FD No. 1</t>
  </si>
  <si>
    <t>Cinnaminson Township FD No. 1</t>
  </si>
  <si>
    <t>Cherry Hill FD No. 13</t>
  </si>
  <si>
    <t>Burlington Township FD No. 1</t>
  </si>
  <si>
    <t>Buena Vista Township FD No. 5</t>
  </si>
  <si>
    <t>Buena Vista Township FD No. 4</t>
  </si>
  <si>
    <t>Buena Vista Township FD No. 3</t>
  </si>
  <si>
    <t>Buena Vista Township FD No. 2</t>
  </si>
  <si>
    <t>Buena Vista Township FD No. 1</t>
  </si>
  <si>
    <t>Buena Borough FD No. 2</t>
  </si>
  <si>
    <t>Bridgewater Township FD No. 4</t>
  </si>
  <si>
    <t>Bridgewater Township FD No. 3</t>
  </si>
  <si>
    <t>Bridgewater Township FD No. 2</t>
  </si>
  <si>
    <t>Bridgewater Township FD No. 1</t>
  </si>
  <si>
    <t>Brick Township FD No. 3</t>
  </si>
  <si>
    <t>Brick Township FD No. 2</t>
  </si>
  <si>
    <t>Brick Township FD No. 1</t>
  </si>
  <si>
    <t>Bordentown Township FD No. 2</t>
  </si>
  <si>
    <t>Bordentown Township FD No. 1</t>
  </si>
  <si>
    <t>Beverly City FD No. 1</t>
  </si>
  <si>
    <t>Berlin Township FD No. 1</t>
  </si>
  <si>
    <t>Aberdeen Township FD No. 2</t>
  </si>
  <si>
    <t>Aberdeen Township FD No. 1</t>
  </si>
  <si>
    <t>Middlesex</t>
  </si>
  <si>
    <t>Camden</t>
  </si>
  <si>
    <t>Atlantic</t>
  </si>
  <si>
    <t>Gloucester</t>
  </si>
  <si>
    <t>Warren</t>
  </si>
  <si>
    <t>Monmouth</t>
  </si>
  <si>
    <t>Cape May</t>
  </si>
  <si>
    <t>Ocean</t>
  </si>
  <si>
    <t>Salem</t>
  </si>
  <si>
    <t>Mercer</t>
  </si>
  <si>
    <t>Morris</t>
  </si>
  <si>
    <t>Somerset</t>
  </si>
  <si>
    <t>Cumberland</t>
  </si>
  <si>
    <t>Hunterdon</t>
  </si>
  <si>
    <t>Fire District</t>
  </si>
  <si>
    <t>Treasurer</t>
  </si>
  <si>
    <t>Secretary</t>
  </si>
  <si>
    <t>Board of Fire Commissioners:</t>
  </si>
  <si>
    <t>Treasurer:</t>
  </si>
  <si>
    <t>Chairperson:</t>
  </si>
  <si>
    <t>City, State, Zip:</t>
  </si>
  <si>
    <t>Phone: (ext.)</t>
  </si>
  <si>
    <t>Fire District E-mail:</t>
  </si>
  <si>
    <t>E-mail:</t>
  </si>
  <si>
    <t>Name of Firm:</t>
  </si>
  <si>
    <t>a.    First class or charter travel</t>
  </si>
  <si>
    <t>b.    Travel for companions</t>
  </si>
  <si>
    <t xml:space="preserve">c.    Tax indemnification and gross-up payments </t>
  </si>
  <si>
    <t>d.    Discretionary spending account</t>
  </si>
  <si>
    <t>e.    Housing allowance or residence for personal use</t>
  </si>
  <si>
    <t>f.     Payments for business use of personal residence</t>
  </si>
  <si>
    <t>g.    Vehicle/auto allowance or vehicle for personal use</t>
  </si>
  <si>
    <t>h.    Health or social club dues or initiation fees</t>
  </si>
  <si>
    <t>i.     Personal services (i.e.: maid, chauffeur, chef)</t>
  </si>
  <si>
    <t>Certification Sections</t>
  </si>
  <si>
    <t>Chairperson</t>
  </si>
  <si>
    <t xml:space="preserve">Preparer's Address: </t>
  </si>
  <si>
    <t>Secretary:</t>
  </si>
  <si>
    <t>Investment Account #1</t>
  </si>
  <si>
    <t>Other Grant #1</t>
  </si>
  <si>
    <t>Other Grant #2</t>
  </si>
  <si>
    <t>Other Expense #1</t>
  </si>
  <si>
    <t>Other Expense #2</t>
  </si>
  <si>
    <t>Other Expense #3</t>
  </si>
  <si>
    <t xml:space="preserve">       It is hereby certified that the Fire District Budget, including the annual budget and all schedules attached </t>
  </si>
  <si>
    <t xml:space="preserve">       It is further certified that all proposed budgeted amounts and totals are correct.  Also, I hereby provide</t>
  </si>
  <si>
    <t xml:space="preserve">       It is hereby certified that operating appropriations, as reported in this annual budget on Page F-3, for the </t>
  </si>
  <si>
    <t xml:space="preserve">       It is further certified that the Other Asset appropriation(s) as reported herein have been determined not to</t>
  </si>
  <si>
    <t xml:space="preserve">       It is hereby certified that the Fire District Budget, including all schedules appended hereto, are a true copy </t>
  </si>
  <si>
    <t xml:space="preserve">       It is further certified that the recorded vote appearing in the resolution represents not less than a majority </t>
  </si>
  <si>
    <t xml:space="preserve">       All fire districts shall maintain either an Internet website or a webpage on the municipality's Internet website.  The</t>
  </si>
  <si>
    <t xml:space="preserve">       It is hereby certified by the below authorized representative of the Fire District that the Fire District's website or </t>
  </si>
  <si>
    <t xml:space="preserve">       It is hereby certified that the Fire District Budget annexed hereto is a true copy of the Budget adopted by</t>
  </si>
  <si>
    <t xml:space="preserve">Answer all questions below using the space provided. Do not attach answers as a separate document. </t>
  </si>
  <si>
    <t>Model</t>
  </si>
  <si>
    <t>Assigned Staff</t>
  </si>
  <si>
    <t>Staff Position</t>
  </si>
  <si>
    <t xml:space="preserve">Use the space below to list the fire district's motor vehicles. Do not attach list as a separate document. </t>
  </si>
  <si>
    <t xml:space="preserve">indicate "motor pool." Do not attach the list as a separate document. </t>
  </si>
  <si>
    <t>APPROPRIATION DETAIL PAGE</t>
  </si>
  <si>
    <t>FIRE DISTRICT VEHICLES</t>
  </si>
  <si>
    <t>FIRE DISTRICT VEHICLES (CONT.)</t>
  </si>
  <si>
    <t>Use the space below to provide further detail of any Appropriations listed on "F-3 Appropriations (Proposed)"</t>
  </si>
  <si>
    <t>A description of the Fire District's mission and responsibilities</t>
  </si>
  <si>
    <t>Commencing with 2013, the budgets for the current fiscal year and immediately two prior years</t>
  </si>
  <si>
    <t>The most recent Comprehensive Annual Financial Report (Unaudited) or similar financial information</t>
  </si>
  <si>
    <t>The Fire District’s rules, regulations and official policy statements deemed relevant by the commissioners to the interests</t>
  </si>
  <si>
    <t>Commencing with 2012, the annual audits of the most recent fiscal year and immediately two prior years</t>
  </si>
  <si>
    <t>of the residents within the district</t>
  </si>
  <si>
    <t>Notice posted pursuant to the "Open Public Meetings Act" for each meeting of the commissioners, setting forth the time</t>
  </si>
  <si>
    <t>date, location and agenda of each meeting</t>
  </si>
  <si>
    <t>Beginning January 1, 2013, the approved minutes of each meeting of the commissioners including all resolutions of the</t>
  </si>
  <si>
    <t>commissioners and their committees; for at least three consecutive fiscal years</t>
  </si>
  <si>
    <t>The name, mailing address, electronic mail address and phone number of every person who exercises day-to-day</t>
  </si>
  <si>
    <t>supervision or management over some or all of the operations of the Fire District</t>
  </si>
  <si>
    <t>A list of attorneys, advisors, consultants and any other person, firm, business, partnership, corporation or</t>
  </si>
  <si>
    <t>other organizations which received any renumeration of $17,500 or more during the preceding fiscal year</t>
  </si>
  <si>
    <t>for any service whatsoever rendered to the Fire District, but shall not include volunteers receiving benefits</t>
  </si>
  <si>
    <t xml:space="preserve">under a Length of Service Award Program (LOSAP). </t>
  </si>
  <si>
    <t>SALARY &amp; BENEFIT DETAIL</t>
  </si>
  <si>
    <t>Proposed Budget Salary &amp; Wages</t>
  </si>
  <si>
    <t>Proposed Budget Total Fringe Benefits</t>
  </si>
  <si>
    <t>Totals</t>
  </si>
  <si>
    <t>Board of Commissioners Recorded Vote</t>
  </si>
  <si>
    <t>Member</t>
  </si>
  <si>
    <t>Aye</t>
  </si>
  <si>
    <t>Nay</t>
  </si>
  <si>
    <t>Abstain</t>
  </si>
  <si>
    <t>Absent</t>
  </si>
  <si>
    <t>Open Public Meeting Date (month day, year):</t>
  </si>
  <si>
    <t>Considered for Adoption Date (month day, year):</t>
  </si>
  <si>
    <t>If yes, type "X" in box:</t>
  </si>
  <si>
    <t>Referendum to Use Restricted Fund Balance?</t>
  </si>
  <si>
    <t>If yes, type "X" in box</t>
  </si>
  <si>
    <t>Compliant with Property Tax Levy Cap Law?</t>
  </si>
  <si>
    <t>X</t>
  </si>
  <si>
    <t>CHOOSE ONE BELOW:</t>
  </si>
  <si>
    <t>Amount:</t>
  </si>
  <si>
    <t>Line Item:</t>
  </si>
  <si>
    <t>$ Change Proposed vs. Adopted</t>
  </si>
  <si>
    <t>% Change Proposed vs. Adopted</t>
  </si>
  <si>
    <t>Maximum Allowable:</t>
  </si>
  <si>
    <t>Proposed:</t>
  </si>
  <si>
    <t>Difference:</t>
  </si>
  <si>
    <t>Result:</t>
  </si>
  <si>
    <t>Fund Balance Currently Available:</t>
  </si>
  <si>
    <t>Revenue Information</t>
  </si>
  <si>
    <t>Appropriation Information</t>
  </si>
  <si>
    <t>Fund Balance Information</t>
  </si>
  <si>
    <t>Fire District:</t>
  </si>
  <si>
    <t>Use the space below to provide further detail of personnel listed on sheet F-4 "Salary &amp; Benefits Schedule".</t>
  </si>
  <si>
    <t>Was there a change in any Appropriation of +/-10%?:</t>
  </si>
  <si>
    <t>Is there a referendum to exceed to Levy Cap? If yes, amount?</t>
  </si>
  <si>
    <t>Is there a referendum to utilize Restricted Fund Balance? If yes, amount?</t>
  </si>
  <si>
    <t>Division of Local Government Services Fire Budget Examiner Dashboard</t>
  </si>
  <si>
    <t>Referendum Information:</t>
  </si>
  <si>
    <t>Salary Offset by Revenue Positions                                              (List Individually)</t>
  </si>
  <si>
    <t>has enough to use in its proposed 2021 Budget:</t>
  </si>
  <si>
    <t>Minimum amount of Fund Balance that needs to be regenerated so the Fire District</t>
  </si>
  <si>
    <t xml:space="preserve">If yes, how much more is the Fire District using this year? </t>
  </si>
  <si>
    <t>Make</t>
  </si>
  <si>
    <t>FIRE DISTRICT PROPOSED APPROPRIATIONS</t>
  </si>
  <si>
    <r>
      <rPr>
        <b/>
        <sz val="10"/>
        <rFont val="Times New Roman"/>
        <family val="1"/>
      </rPr>
      <t>3.  Explain any variances over +/-10% for each line item</t>
    </r>
    <r>
      <rPr>
        <sz val="10"/>
        <rFont val="Times New Roman"/>
        <family val="1"/>
      </rPr>
      <t xml:space="preserve">. Attach in FAST any supporting documentation that will help to explain the </t>
    </r>
  </si>
  <si>
    <t>Sale of Assets - Anticipated Revenue</t>
  </si>
  <si>
    <t>Is the Fire District anticipating revenue from Sale of Assets?</t>
  </si>
  <si>
    <t>If yes, how much is the Fire District anticipating?</t>
  </si>
  <si>
    <t>New Revenue?</t>
  </si>
  <si>
    <t>New Revenues</t>
  </si>
  <si>
    <t>How many new Revenue items are in the Fire Budget?</t>
  </si>
  <si>
    <t>Page C-3</t>
  </si>
  <si>
    <t>Page C-4</t>
  </si>
  <si>
    <r>
      <t xml:space="preserve">be Capital Assets pursuant to </t>
    </r>
    <r>
      <rPr>
        <u/>
        <sz val="12"/>
        <rFont val="Times New Roman"/>
        <family val="1"/>
      </rPr>
      <t>N.J.S.A. 40A:14-84</t>
    </r>
    <r>
      <rPr>
        <sz val="12"/>
        <rFont val="Times New Roman"/>
        <family val="1"/>
      </rPr>
      <t xml:space="preserve"> and </t>
    </r>
    <r>
      <rPr>
        <u/>
        <sz val="12"/>
        <rFont val="Times New Roman"/>
        <family val="1"/>
      </rPr>
      <t>40A:14-85</t>
    </r>
    <r>
      <rPr>
        <sz val="12"/>
        <rFont val="Times New Roman"/>
        <family val="1"/>
      </rPr>
      <t>.  Therefore, the election has been made</t>
    </r>
  </si>
  <si>
    <t>FIRE DISTRICT BUDGET - KEY METRICS</t>
  </si>
  <si>
    <t xml:space="preserve">Total Cost of Operations &amp; Maintenance </t>
  </si>
  <si>
    <t>Reserve for Future Capital Outlay</t>
  </si>
  <si>
    <t>Fund Balance</t>
  </si>
  <si>
    <t>Unrestricted Remaining</t>
  </si>
  <si>
    <t>Restricted Used</t>
  </si>
  <si>
    <t>Restricted Remaining</t>
  </si>
  <si>
    <t>Unrestricted Used</t>
  </si>
  <si>
    <t>Total Shared Service Revenues</t>
  </si>
  <si>
    <t>Total Salaries &amp; Wages (excluding Commissioners)</t>
  </si>
  <si>
    <t>Revenues</t>
  </si>
  <si>
    <t>Appropriations</t>
  </si>
  <si>
    <t>Capital Fund</t>
  </si>
  <si>
    <t>Debt Service</t>
  </si>
  <si>
    <t>Total Health Benefit Cost Estimate</t>
  </si>
  <si>
    <t>Total Accumulated Absence Liability</t>
  </si>
  <si>
    <t>Other</t>
  </si>
  <si>
    <t>Total Amount to be Raised by Taxation</t>
  </si>
  <si>
    <t>Capital Improvements and Down Payments</t>
  </si>
  <si>
    <t>Total Principal Appropriation</t>
  </si>
  <si>
    <t>Total Interest Appropriation</t>
  </si>
  <si>
    <t>Total Interest Outstanding</t>
  </si>
  <si>
    <t>Commissioners &amp; Officers: Total Compensation from Fire District</t>
  </si>
  <si>
    <t>Current Year</t>
  </si>
  <si>
    <t>Prior Year</t>
  </si>
  <si>
    <t xml:space="preserve">Enter each debt issuance separately according to type of debt obligation on the "Debt Service - Principal" tab. The debt issuance description will carry to this schedule from data entered on that worksheet. </t>
  </si>
  <si>
    <t>Enter the interest payment due for each year indicated and thereafter until maturity.</t>
  </si>
  <si>
    <t>Was there a change in any Revenue of +/- 10%?:</t>
  </si>
  <si>
    <t>Total Appropriated  Duly Incorporated First Aid/Rescue Squad</t>
  </si>
  <si>
    <t>Number of Paid Staff</t>
  </si>
  <si>
    <t># Covered Employees</t>
  </si>
  <si>
    <t>a)</t>
  </si>
  <si>
    <t>b)</t>
  </si>
  <si>
    <t xml:space="preserve">It is designed to automatically calculate amounts linked from various data entry points. </t>
  </si>
  <si>
    <t>c)</t>
  </si>
  <si>
    <t xml:space="preserve">The individual tabs containing formulas are locked to protect the formulas. </t>
  </si>
  <si>
    <t>d)</t>
  </si>
  <si>
    <t>e)</t>
  </si>
  <si>
    <t>f)</t>
  </si>
  <si>
    <t>g)</t>
  </si>
  <si>
    <t xml:space="preserve">In all applicable signature lines, insert the email address of the applicable official. </t>
  </si>
  <si>
    <t>h)</t>
  </si>
  <si>
    <t>i)</t>
  </si>
  <si>
    <t>j)</t>
  </si>
  <si>
    <t>This workbook shall be used for completing the Fire District Introduced and Adopted Budgets.</t>
  </si>
  <si>
    <t xml:space="preserve">Fill in only the gray and yellow highlighted sections of the worksheet. </t>
  </si>
  <si>
    <t>Begin by navigating to the "KEY INPUTS" tab.</t>
  </si>
  <si>
    <t>Select the Fire District by clicking  on cell B2 and selecting from the dropdown menu. This will populate the entity name and county.  Continue to complete each of the fields in order to populate standard information throughout the workbook.</t>
  </si>
  <si>
    <t>Capital Improvement #8</t>
  </si>
  <si>
    <t>Capital Improvement #9</t>
  </si>
  <si>
    <t>Capital Improvement #10</t>
  </si>
  <si>
    <t>Capital Improvement #11</t>
  </si>
  <si>
    <t>Capital Improvement #12</t>
  </si>
  <si>
    <t>Capital Improvement #13</t>
  </si>
  <si>
    <t>Capital Improvement #14</t>
  </si>
  <si>
    <t>Capital Improvement #15</t>
  </si>
  <si>
    <t>Capital Improvement #16</t>
  </si>
  <si>
    <t>Capital Improvement #17</t>
  </si>
  <si>
    <t>Capital Improvement #18</t>
  </si>
  <si>
    <t>Capital Improvement #19</t>
  </si>
  <si>
    <t>Capital Improvement #20</t>
  </si>
  <si>
    <t>Use the space below to provide further detail of capital items listed on sheet "F-5 Capital Budget Proposed".</t>
  </si>
  <si>
    <t>Capital Improvement #21</t>
  </si>
  <si>
    <t>Capital Improvement #22</t>
  </si>
  <si>
    <t>Capital Improvement #23</t>
  </si>
  <si>
    <t>Capital Improvement #24</t>
  </si>
  <si>
    <t>Capital Improvement #25</t>
  </si>
  <si>
    <t>8) Did the Fire District make any payments to current or former commissioners or employees that were contingent</t>
  </si>
  <si>
    <t>9) Does the Fire District contract with another entity (i.e.: volunteer fire company, neighboring municipality, etc.) to</t>
  </si>
  <si>
    <t>11) Does the fire District have a Length of Services Award Program (LOSAP) plan?</t>
  </si>
  <si>
    <t xml:space="preserve">        Enter zero if no compensation was paid. </t>
  </si>
  <si>
    <t>1)     List all of the Fire District's current commissioners and officers and amount of compensation from the Fire District.</t>
  </si>
  <si>
    <t xml:space="preserve">        compensation from the Fire District during the most recent fiscal year completed. </t>
  </si>
  <si>
    <t>Other Positions Excluding Commissioners</t>
  </si>
  <si>
    <t>Page N-4</t>
  </si>
  <si>
    <t>Page N-4 (2)</t>
  </si>
  <si>
    <t>Page N-5</t>
  </si>
  <si>
    <t>Page N-6</t>
  </si>
  <si>
    <t>Page N-6 (Totals)</t>
  </si>
  <si>
    <t>Page N-6 (2)</t>
  </si>
  <si>
    <t>Page N-6 (3)</t>
  </si>
  <si>
    <t>Page N-6 (4)</t>
  </si>
  <si>
    <t>Page N-6 (5)</t>
  </si>
  <si>
    <t>Page N-6 (6)</t>
  </si>
  <si>
    <t>Page N-6 (7)</t>
  </si>
  <si>
    <t>Page F-12</t>
  </si>
  <si>
    <t>Page F-11</t>
  </si>
  <si>
    <t>Page F-10</t>
  </si>
  <si>
    <t>Page F-9</t>
  </si>
  <si>
    <t>Page F-8</t>
  </si>
  <si>
    <t>Page F-7</t>
  </si>
  <si>
    <t>Page F-6</t>
  </si>
  <si>
    <t>Page F-5 (Detail)</t>
  </si>
  <si>
    <t>Page F-5</t>
  </si>
  <si>
    <t>Page F-4 (Detail)</t>
  </si>
  <si>
    <t>Page F-4</t>
  </si>
  <si>
    <t>Page F-3</t>
  </si>
  <si>
    <t>Page F-3 (Detail)</t>
  </si>
  <si>
    <t>Page F-3 (Detail 2)</t>
  </si>
  <si>
    <t>Page F-3 (Detail 3)</t>
  </si>
  <si>
    <t>Page F-2</t>
  </si>
  <si>
    <t>Page F-1</t>
  </si>
  <si>
    <t>Financial Schedule - Information Sheet</t>
  </si>
  <si>
    <t>Operation &amp; Maintenance Positions                                   (List Individually)</t>
  </si>
  <si>
    <t xml:space="preserve">10) If the answer to #9 above is "yes," did the Fire District execute a written agreement with the entity that details the </t>
  </si>
  <si>
    <t xml:space="preserve">Please review the additional instructions "FAST System for Fire Districts: Introduction and User Guide" link below: </t>
  </si>
  <si>
    <t>Page N-1 (2)</t>
  </si>
  <si>
    <t>Page N-1 (3)</t>
  </si>
  <si>
    <t>Page N-3 (2)</t>
  </si>
  <si>
    <t>Page N-3 (Vehicle List 2)</t>
  </si>
  <si>
    <t>Page N-3 (Vehicle List)</t>
  </si>
  <si>
    <t>General Instructions to Complete the Fire District Budget Workbook</t>
  </si>
  <si>
    <t>FAST</t>
  </si>
  <si>
    <t xml:space="preserve">https://www.nj.gov/dca/divisions/dlgs/pdf/FAST%20Fire%20Budget%20User%20Guide.pdf </t>
  </si>
  <si>
    <r>
      <t xml:space="preserve">Once approved by the Board of Fire Commissioners, the completed Introduced Budget must be submitted to the Division via the FAST "Introduced Budget" record portal and it must be precisely named as: </t>
    </r>
    <r>
      <rPr>
        <b/>
        <sz val="11"/>
        <color theme="1"/>
        <rFont val="Calibri"/>
        <family val="2"/>
        <scheme val="minor"/>
      </rPr>
      <t>&lt;municode&gt;_introbudget_20xx</t>
    </r>
    <r>
      <rPr>
        <sz val="11"/>
        <color theme="1"/>
        <rFont val="Calibri"/>
        <family val="2"/>
        <scheme val="minor"/>
      </rPr>
      <t>.  The list of municodes for Fire Districts can be found at:</t>
    </r>
  </si>
  <si>
    <r>
      <t xml:space="preserve">Once approved by the Board of Fire Commissioners, the completed Adopted Budget must be submitted to the Division via the FAST "Adopted Budget" record portal and it must be precisely named as: </t>
    </r>
    <r>
      <rPr>
        <b/>
        <sz val="11"/>
        <color theme="1"/>
        <rFont val="Calibri"/>
        <family val="2"/>
        <scheme val="minor"/>
      </rPr>
      <t>&lt;municode&gt;_adoptbudget_20xx</t>
    </r>
    <r>
      <rPr>
        <sz val="11"/>
        <color theme="1"/>
        <rFont val="Calibri"/>
        <family val="2"/>
        <scheme val="minor"/>
      </rPr>
      <t xml:space="preserve">.  The list of municodes for Fire Districts can be found at: </t>
    </r>
  </si>
  <si>
    <t xml:space="preserve">https://www.nj.gov/dca/divisions/dlgs/pdf/Fire%20District%20MuniCodes.pdf </t>
  </si>
  <si>
    <t>Chesterfield Township FD No. 1</t>
  </si>
  <si>
    <t>k)</t>
  </si>
  <si>
    <t>l)</t>
  </si>
  <si>
    <t xml:space="preserve">When copying information from another document, users must select "Paste Values" when pasting the information into this workbook. </t>
  </si>
  <si>
    <t>Only the Designated Officials for the Fire District have access to the "Submit for Review" tab within the FAST portal.</t>
  </si>
  <si>
    <t>miscellaneous revenues set forth in the budget; and</t>
  </si>
  <si>
    <t>Version 1.3</t>
  </si>
  <si>
    <t>Total Budget Revenues:</t>
  </si>
  <si>
    <t>Amount to be Raised by Taxes:</t>
  </si>
  <si>
    <t>Total Appropriations:</t>
  </si>
  <si>
    <t>Referendum to Exceed Allowable Amount to be Raised?</t>
  </si>
  <si>
    <t>(Select Fire District Name)</t>
  </si>
  <si>
    <t>Election Month</t>
  </si>
  <si>
    <t>Officer’s Signature:</t>
  </si>
  <si>
    <t>Name:</t>
  </si>
  <si>
    <t>E-mail address:</t>
  </si>
  <si>
    <r>
      <t xml:space="preserve">Answer </t>
    </r>
    <r>
      <rPr>
        <b/>
        <u/>
        <sz val="10"/>
        <rFont val="Times New Roman"/>
        <family val="1"/>
      </rPr>
      <t>all</t>
    </r>
    <r>
      <rPr>
        <b/>
        <sz val="10"/>
        <rFont val="Times New Roman"/>
        <family val="1"/>
      </rPr>
      <t xml:space="preserve"> questions below completely. </t>
    </r>
  </si>
  <si>
    <t xml:space="preserve">     If the answer to any of the above is "yes," provide a description of the transaction, including the name of the commissioner, officer,</t>
  </si>
  <si>
    <t xml:space="preserve">    the amount paid, and whether the transaction was subject to a competitive bid process. </t>
  </si>
  <si>
    <t>If the answer to any of the above is "yes," provide a description of the transaction including the name and position of the</t>
  </si>
  <si>
    <t>As this page is adjusted this amount changes, should = $0</t>
  </si>
  <si>
    <t>Expand Section Length</t>
  </si>
  <si>
    <t>Vehicle List</t>
  </si>
  <si>
    <t>Accumulated Absences</t>
  </si>
  <si>
    <t>Page N-3 (Vehicle List 3)</t>
  </si>
  <si>
    <t>Capital Budget Detail</t>
  </si>
  <si>
    <t>Salary &amp; Benefit Detail</t>
  </si>
  <si>
    <t xml:space="preserve">All options are defaulted to "Standard".  Use the dropdown menu to switch to "Expanded" for any section. </t>
  </si>
  <si>
    <t>"Standard" = 1 Vehicle List page,  "Expanded" = 3 Vehicle List pages.</t>
  </si>
  <si>
    <t xml:space="preserve">"Standard" = 2 Accumulated Absence pages, "Expanded" = 8 Accumulated Absence pages. </t>
  </si>
  <si>
    <t xml:space="preserve">"Standard" = single page F-5: Capital Budget Proposed,  "Expanded" = additional page for greater detail. </t>
  </si>
  <si>
    <t>"Standard" = single page F-4: Salary &amp; Wage Schedule,  "Expanded" = additional page for greater detail.</t>
  </si>
  <si>
    <t>Reportable Compensation from Fire District              (W-2/ 1099)</t>
  </si>
  <si>
    <t>12) If the district's Board of Fire Commissioners authorizes its elected commissioners to receive any type of compensation for serving on the</t>
  </si>
  <si>
    <t>Board, did the district submit a copy of the compensation resolution to the municipal governing body for review and approval as required</t>
  </si>
  <si>
    <t xml:space="preserve">under N.J.S.A. 40A:14-88? </t>
  </si>
  <si>
    <t xml:space="preserve">If "yes", provide a certified copy of the resolution, whenever adopted, fixing the level of compensation each commissioner is authorized </t>
  </si>
  <si>
    <t xml:space="preserve">to receive, and proof that the district submitted the resolution to the municipal clerk for governing body consideration.  Only answer </t>
  </si>
  <si>
    <t xml:space="preserve">"N/A" if elected commissioners are not authorized to receive any compensation for their service on the Board. </t>
  </si>
  <si>
    <t>13) Did the district make one or more supplemental emergency appropriations after adopting its current budget?</t>
  </si>
  <si>
    <t>If "yes", for each supplemental emergency appropriation:</t>
  </si>
  <si>
    <t>a) Was a resolution adopted by at least two-thirds (2/3) of the Board of Commissioners' full membership declaring that an emergency exists</t>
  </si>
  <si>
    <t>7) Did the fire district make any payments to current of former commissioners or employees for severance or termination?</t>
  </si>
  <si>
    <t xml:space="preserve">If "yes", provide an explanation including amount paid. </t>
  </si>
  <si>
    <t>b) Did the district submit the above-referenced resolution to the municipal clerk for municipal governing body consideration?</t>
  </si>
  <si>
    <t xml:space="preserve">c) Did at least two-thirds (2/3) of the municipal governing body's full membership approve the district's </t>
  </si>
  <si>
    <t>emergency appropriation?</t>
  </si>
  <si>
    <t>Provide (with the introduced budget) a certified copy of the Board's resolution authorizing the supplemental emergency appropriation</t>
  </si>
  <si>
    <t xml:space="preserve">with a certified copy of the municipal governing body's resolution approving the district's emergency appropriation. </t>
  </si>
  <si>
    <t xml:space="preserve">     requiring a supplemental emergency appropriation and setting out the nature of the emergency in full? </t>
  </si>
  <si>
    <t>If "yes," provide a list of those individuals, their position, the amount receivable, and a description of the amount due to the fire district.</t>
  </si>
  <si>
    <t xml:space="preserve">3) Does the fire district have any amounts recievable from current or former commissioners, officers, or employees? </t>
  </si>
  <si>
    <t>4) Was the fire district a party to a business transaction with one of the following parties:</t>
  </si>
  <si>
    <t xml:space="preserve">    or employee (or family member thereof) of the fire district; the name of the entitiy and relationship to the individual or family member;</t>
  </si>
  <si>
    <t>5)    Did the fire district provide any of the following to or for a commissioner, officer, or any other employee of the Fire District:</t>
  </si>
  <si>
    <r>
      <t>6) Use the "</t>
    </r>
    <r>
      <rPr>
        <b/>
        <u/>
        <sz val="10"/>
        <color rgb="FF000000"/>
        <rFont val="Times New Roman"/>
        <family val="1"/>
      </rPr>
      <t>Vehicle List</t>
    </r>
    <r>
      <rPr>
        <sz val="10"/>
        <color rgb="FF000000"/>
        <rFont val="Times New Roman"/>
        <family val="1"/>
      </rPr>
      <t>" tabs to list of the fire district's vehicles including make, model, and year, and indicate to whom the vehicles are</t>
    </r>
  </si>
  <si>
    <t>assigned and their positions.  If a vehicle is not assigned to a specific individual and is available to all authorized district personnel,</t>
  </si>
  <si>
    <t xml:space="preserve">If "yes," provide an explanation including amount paid. </t>
  </si>
  <si>
    <t>upon the performance of the Fire District or that were considered discretionary bonuses?</t>
  </si>
  <si>
    <t>Standard</t>
  </si>
  <si>
    <t>FIRE DISTRICT PROPOSED REVENUES</t>
  </si>
  <si>
    <t>REVENUE DETAIL PAGE</t>
  </si>
  <si>
    <t>Use the space below to provide further detail of any Revenues listed on "F-2 Revenues (Proposed)"</t>
  </si>
  <si>
    <t>Page F-2 (Detail)</t>
  </si>
  <si>
    <t>Page F-2 (Detail 2)</t>
  </si>
  <si>
    <t xml:space="preserve">individual and the amount expended. </t>
  </si>
  <si>
    <t>f) the Fire District's LOSAP Plan Contractor</t>
  </si>
  <si>
    <t xml:space="preserve">Government Services pursuant to N.J.A.C. 5:30-14.49. </t>
  </si>
  <si>
    <t>g) whether the Plan Contractor has submitted its annual financial statement to the Director of the Division of Local</t>
  </si>
  <si>
    <t>Page N-3 (3)</t>
  </si>
  <si>
    <t xml:space="preserve"> If "yes," attach in FAST a copy of the agreement. </t>
  </si>
  <si>
    <t>acquisition of Other Assets not included as Capital Outlays are Non-Bondable Assets.  The Board of</t>
  </si>
  <si>
    <t xml:space="preserve">WHEREAS, the Annual Budget as presented for adoption reflects each item of revenue and appropriation in the same amount </t>
  </si>
  <si>
    <t>Annual List of Change Orders Approved</t>
  </si>
  <si>
    <r>
      <t xml:space="preserve">Pursuant to </t>
    </r>
    <r>
      <rPr>
        <b/>
        <u/>
        <sz val="11"/>
        <rFont val="Arial"/>
        <family val="2"/>
      </rPr>
      <t>N.J.A.C.</t>
    </r>
    <r>
      <rPr>
        <b/>
        <sz val="11"/>
        <rFont val="Arial"/>
        <family val="2"/>
      </rPr>
      <t xml:space="preserve"> 5:30-11</t>
    </r>
  </si>
  <si>
    <t>Contracting Unit:</t>
  </si>
  <si>
    <t>Year Ending:</t>
  </si>
  <si>
    <t>The following is a complete list of all change orders which caused the originally awarded contract price to be exceeded by more than 20 percent.  For regulatory details</t>
  </si>
  <si>
    <r>
      <t xml:space="preserve">please consult </t>
    </r>
    <r>
      <rPr>
        <u/>
        <sz val="10"/>
        <rFont val="Arial"/>
        <family val="2"/>
      </rPr>
      <t>N.J.A.C.</t>
    </r>
    <r>
      <rPr>
        <sz val="10"/>
        <rFont val="Arial"/>
        <family val="2"/>
      </rPr>
      <t xml:space="preserve"> 5:30-11.1 et seq.  Please identify each change order by name of the project.</t>
    </r>
  </si>
  <si>
    <t>For each change order listed above, submit with introduced budget a copy of the governing body resolution authorizing the change order and an Affidavit of Publication for</t>
  </si>
  <si>
    <r>
      <t xml:space="preserve">the newspaper notice required by </t>
    </r>
    <r>
      <rPr>
        <u/>
        <sz val="10"/>
        <rFont val="Arial"/>
        <family val="2"/>
      </rPr>
      <t>N.J.A.C.</t>
    </r>
    <r>
      <rPr>
        <sz val="10"/>
        <rFont val="Arial"/>
        <family val="2"/>
      </rPr>
      <t xml:space="preserve"> 5:30-11.9(d).  (Affidavit must include a copy of the newspaper notice.)</t>
    </r>
  </si>
  <si>
    <t xml:space="preserve">If you have not had a change order exceeding the 20 percent threshold for the year indicated above, please check here </t>
  </si>
  <si>
    <t xml:space="preserve">    and certify below.</t>
  </si>
  <si>
    <t>Date</t>
  </si>
  <si>
    <t>Clerk/Secretary to the Governing Body</t>
  </si>
  <si>
    <t>Appendix to Budget Document</t>
  </si>
  <si>
    <t>*Explain any variances in the Grand Total over +/- 10% on Message &amp; Analysis (Page N-1).</t>
  </si>
  <si>
    <t>14) Does the Fire District have a Volunteer Incentive Program (or other similarly named program) in addition to LOSAP?</t>
  </si>
  <si>
    <t xml:space="preserve">If "yes", provide a detailed plan approved by Board of Commissioners. Plan should include at minimum the processes for earning </t>
  </si>
  <si>
    <t>incentive under the plan, the amount individuals are entitled to receive, and the process for reporting earnings. Also, ensure the</t>
  </si>
  <si>
    <t>estimated annual cost of the program on Sheet F-3 under "Cost of Operations and Maintenance". Record employer share of federal</t>
  </si>
  <si>
    <t>and state withholdings under fringe benefits. For additional information, see Local Finance Notice 2024-11.</t>
  </si>
  <si>
    <t>Volunteer Incentive Program</t>
  </si>
  <si>
    <t>Total Volunteer Incentive Program</t>
  </si>
  <si>
    <t>Version 2025.0</t>
  </si>
  <si>
    <t>www.weymouthfirecommission.org</t>
  </si>
  <si>
    <t>November</t>
  </si>
  <si>
    <t>Cheryl Sayers</t>
  </si>
  <si>
    <t>Douglas Frick</t>
  </si>
  <si>
    <t>Elizabeth Hand</t>
  </si>
  <si>
    <t>Donnel Ruga</t>
  </si>
  <si>
    <t>Hansel Torriero</t>
  </si>
  <si>
    <t>Tatiana Pietrosante</t>
  </si>
  <si>
    <t>Accountant</t>
  </si>
  <si>
    <t>PO Box 1193, Marmora, NJ 08223</t>
  </si>
  <si>
    <t>609-390-0600</t>
  </si>
  <si>
    <t>609-390-7931</t>
  </si>
  <si>
    <t>cheryl@csayerscpa.com</t>
  </si>
  <si>
    <t>PO Box 175, Dorothy, NJ 08317</t>
  </si>
  <si>
    <t>609-662-7878</t>
  </si>
  <si>
    <t>n/a</t>
  </si>
  <si>
    <t>elizabethann727@aol.com</t>
  </si>
  <si>
    <t>Yes</t>
  </si>
  <si>
    <t>PO Box 175</t>
  </si>
  <si>
    <t>Dorothy</t>
  </si>
  <si>
    <t>NJ</t>
  </si>
  <si>
    <t>weymouthtownshipfiredistrict@gmail.com</t>
  </si>
  <si>
    <t>PO Box 1193</t>
  </si>
  <si>
    <t>Marmora</t>
  </si>
  <si>
    <t>wtfiredistrictsecretary@gmail.com</t>
  </si>
  <si>
    <t>Leon Costello</t>
  </si>
  <si>
    <t>Ford Scott &amp; Associates LLC</t>
  </si>
  <si>
    <t>1535 Haven Ave</t>
  </si>
  <si>
    <t>Ocean City</t>
  </si>
  <si>
    <t>609-399-6333</t>
  </si>
  <si>
    <t>609-399-3710</t>
  </si>
  <si>
    <t>lcostello@ford-scott.com</t>
  </si>
  <si>
    <t>No</t>
  </si>
  <si>
    <t>N/A</t>
  </si>
  <si>
    <t>Freighliner</t>
  </si>
  <si>
    <t>Tender</t>
  </si>
  <si>
    <t>Motor Pool</t>
  </si>
  <si>
    <t>Ferrara</t>
  </si>
  <si>
    <t>Engine</t>
  </si>
  <si>
    <t>Rescue/Engine</t>
  </si>
  <si>
    <t>Chevy</t>
  </si>
  <si>
    <t>Ambulance</t>
  </si>
  <si>
    <t>Ford</t>
  </si>
  <si>
    <t>Pick-Up</t>
  </si>
  <si>
    <t xml:space="preserve">Ford </t>
  </si>
  <si>
    <t>Chairman</t>
  </si>
  <si>
    <t>Municipal Service Fee-Mobile Home Park</t>
  </si>
  <si>
    <t>Transport Fuel Reimbursement</t>
  </si>
  <si>
    <t>Office including Advertising</t>
  </si>
  <si>
    <t>Professional Services</t>
  </si>
  <si>
    <t>Telephone</t>
  </si>
  <si>
    <t>Fire Prevention</t>
  </si>
  <si>
    <t>Insurance</t>
  </si>
  <si>
    <t>Utilities</t>
  </si>
  <si>
    <t>Fuel</t>
  </si>
  <si>
    <t>Maintenance &amp; Repairs</t>
  </si>
  <si>
    <t>Supplies</t>
  </si>
  <si>
    <t>Non-Bondable Purchases</t>
  </si>
  <si>
    <t>2024 KME Rescue Pumper (see Resolution 2023-5)</t>
  </si>
  <si>
    <t>Truck</t>
  </si>
  <si>
    <t>Community First National Bank</t>
  </si>
  <si>
    <t xml:space="preserve">The Board financed the KME Rescue Pumper in 2024; therefore, 2025 Budget includes new principal and interest payments.  The Board will pay $34,185.48 per year for 10 years, beginning March 15, 2025.  </t>
  </si>
  <si>
    <t>Transit</t>
  </si>
  <si>
    <t>KME</t>
  </si>
  <si>
    <t>Rescue/Pumper</t>
  </si>
  <si>
    <t>Duly Incorporated First Aid/Rescue Squad Township EMS $25,000.</t>
  </si>
  <si>
    <t>Vacant</t>
  </si>
  <si>
    <t xml:space="preserve">In 2025 the Board will not be utilizing any funds from prior years as they did in 2024 for the downpayment of capital (truck purchase) therefore, those line items have decreased 100% and 99.2% respectively.  Principal and Interest on the other hand increased 100% each with the purchase of the new vehicle.  Professional Fees have decreased $4,000 or 32% as the Board will not need the lawyers assistance since the truck purchase is complete.  Transport Fuel Reimbursement income has declined $4,000 or 20% because the fire company won't be using as much fuel due to a state contract.  This infact reduces Fuel Expense by the same $4,000 or 9.3%.  Other expenses have incresed due to rising costs - Telephone up 12.5% or $500, Maintenance &amp; Repairs up 11.4% or $4,000 and Non-Bondable Purchases (personel equipment) up $13.5% or $1,350.23 for the laudering of gear.  </t>
  </si>
  <si>
    <t xml:space="preserve">The 2025 Budget requires and increase of 1% of the amount be raised from taxation.  Other sources of income remain consistant with that of 2024.  </t>
  </si>
  <si>
    <t xml:space="preserve">The Board has increased the 2025 budget approximately 1% encompassing new ratables over the last few years that the Board chose at the time not to include in its budget.  This small increase should have minimal impact to the taxpayers of Weymouth Township Fire District No. 1.  No fund balance is being used.  </t>
  </si>
  <si>
    <t>Michael Brandenberger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</si>
</sst>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000_);\(&quot;$&quot;#,##0.000\)"/>
    <numFmt numFmtId="166" formatCode="[$-409]mmmm\ d\,\ yyyy;@"/>
    <numFmt numFmtId="167" formatCode="0.0%"/>
    <numFmt numFmtId="168" formatCode="0_)"/>
    <numFmt numFmtId="169" formatCode="mm/dd/yy;@"/>
    <numFmt numFmtId="170" formatCode="_(&quot;$&quot;* #,##0.0000_);_(&quot;$&quot;* \(#,##0.0000\);_(&quot;$&quot;* &quot;-&quot;??_);_(@_)"/>
    <numFmt numFmtId="171" formatCode="00000"/>
    <numFmt numFmtId="172" formatCode="_(&quot;$&quot;* #,##0.00_);_(&quot;$&quot;* \(#,##0.00\);_(&quot;$&quot;* &quot;-&quot;_);_(@_)"/>
    <numFmt numFmtId="173" formatCode="_(* #,##0.00_);_(* \(#,##0.00\);_(* &quot;-&quot;_);_(@_)"/>
    <numFmt numFmtId="174" formatCode="mmmm\ d\,\ yyyy"/>
  </numFmts>
  <fonts count="9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i/>
      <sz val="11"/>
      <color theme="1"/>
      <name val="Calibri"/>
      <family val="2"/>
      <scheme val="minor"/>
    </font>
    <font>
      <u/>
      <sz val="11"/>
      <color theme="1"/>
      <name val="Calibri"/>
      <family val="2"/>
      <scheme val="minor"/>
    </font>
    <font>
      <b/>
      <i/>
      <sz val="11"/>
      <color theme="1"/>
      <name val="Calibri"/>
      <family val="2"/>
      <scheme val="minor"/>
    </font>
    <font>
      <sz val="12"/>
      <name val="Arial"/>
      <family val="2"/>
    </font>
    <font>
      <sz val="11"/>
      <color indexed="8"/>
      <name val="Calibri"/>
      <family val="2"/>
      <scheme val="minor"/>
    </font>
    <font>
      <b/>
      <sz val="11"/>
      <color indexed="8"/>
      <name val="Calibri"/>
      <family val="2"/>
      <scheme val="minor"/>
    </font>
    <font>
      <i/>
      <sz val="11"/>
      <color indexed="8"/>
      <name val="Calibri"/>
      <family val="2"/>
      <scheme val="minor"/>
    </font>
    <font>
      <i/>
      <sz val="11"/>
      <name val="Calibri"/>
      <family val="2"/>
      <scheme val="minor"/>
    </font>
    <font>
      <b/>
      <u/>
      <sz val="11"/>
      <color indexed="8"/>
      <name val="Calibri"/>
      <family val="2"/>
      <scheme val="minor"/>
    </font>
    <font>
      <sz val="11"/>
      <color theme="1"/>
      <name val="Times New Roman"/>
      <family val="1"/>
    </font>
    <font>
      <b/>
      <i/>
      <sz val="11"/>
      <name val="Calibri"/>
      <family val="2"/>
      <scheme val="minor"/>
    </font>
    <font>
      <sz val="10"/>
      <color rgb="FF000000"/>
      <name val="Times New Roman"/>
      <family val="1"/>
    </font>
    <font>
      <sz val="23"/>
      <name val="Times New Roman"/>
      <family val="1"/>
    </font>
    <font>
      <sz val="48"/>
      <name val="Times New Roman"/>
      <family val="1"/>
    </font>
    <font>
      <sz val="48"/>
      <color rgb="FF000000"/>
      <name val="Times New Roman"/>
      <family val="2"/>
    </font>
    <font>
      <b/>
      <sz val="18"/>
      <name val="Times New Roman"/>
      <family val="1"/>
    </font>
    <font>
      <sz val="10"/>
      <color rgb="FF000000"/>
      <name val="Times New Roman"/>
      <family val="1"/>
    </font>
    <font>
      <sz val="10"/>
      <name val="Times New Roman"/>
      <family val="1"/>
    </font>
    <font>
      <sz val="12"/>
      <name val="Times New Roman"/>
      <family val="1"/>
    </font>
    <font>
      <u/>
      <sz val="12"/>
      <name val="Times New Roman"/>
      <family val="1"/>
    </font>
    <font>
      <i/>
      <sz val="12"/>
      <name val="Times New Roman"/>
      <family val="1"/>
    </font>
    <font>
      <i/>
      <sz val="12"/>
      <color rgb="FF000000"/>
      <name val="Times New Roman"/>
      <family val="1"/>
    </font>
    <font>
      <b/>
      <sz val="14"/>
      <name val="Times New Roman"/>
      <family val="1"/>
    </font>
    <font>
      <i/>
      <u/>
      <sz val="12"/>
      <name val="Times New Roman"/>
      <family val="1"/>
    </font>
    <font>
      <b/>
      <i/>
      <u/>
      <sz val="14"/>
      <name val="Times New Roman"/>
      <family val="1"/>
    </font>
    <font>
      <b/>
      <sz val="12"/>
      <name val="Times New Roman"/>
      <family val="1"/>
    </font>
    <font>
      <sz val="14"/>
      <name val="Times New Roman"/>
      <family val="1"/>
    </font>
    <font>
      <b/>
      <sz val="18"/>
      <color rgb="FF000000"/>
      <name val="Times New Roman"/>
      <family val="2"/>
    </font>
    <font>
      <u/>
      <sz val="10"/>
      <color theme="10"/>
      <name val="Times New Roman"/>
      <family val="1"/>
    </font>
    <font>
      <sz val="12"/>
      <color rgb="FF000000"/>
      <name val="Times New Roman"/>
      <family val="1"/>
    </font>
    <font>
      <b/>
      <sz val="18"/>
      <color rgb="FF000000"/>
      <name val="Times New Roman"/>
      <family val="1"/>
    </font>
    <font>
      <sz val="11"/>
      <name val="Times New Roman"/>
      <family val="1"/>
    </font>
    <font>
      <sz val="11"/>
      <color rgb="FF000000"/>
      <name val="Times New Roman"/>
      <family val="1"/>
    </font>
    <font>
      <u/>
      <sz val="11"/>
      <color rgb="FF000000"/>
      <name val="Times New Roman"/>
      <family val="1"/>
    </font>
    <font>
      <b/>
      <sz val="11"/>
      <name val="Times New Roman"/>
      <family val="1"/>
    </font>
    <font>
      <b/>
      <sz val="10"/>
      <color rgb="FF000000"/>
      <name val="Times New Roman"/>
      <family val="1"/>
    </font>
    <font>
      <b/>
      <sz val="10"/>
      <name val="Times New Roman"/>
      <family val="1"/>
    </font>
    <font>
      <b/>
      <i/>
      <sz val="11"/>
      <name val="Times New Roman"/>
      <family val="1"/>
    </font>
    <font>
      <sz val="10.1"/>
      <color rgb="FF000000"/>
      <name val="Times New Roman"/>
      <family val="1"/>
    </font>
    <font>
      <sz val="10.1"/>
      <name val="Times New Roman"/>
      <family val="1"/>
    </font>
    <font>
      <b/>
      <u/>
      <sz val="10.1"/>
      <name val="Times New Roman"/>
      <family val="1"/>
    </font>
    <font>
      <b/>
      <sz val="10.1"/>
      <name val="Times New Roman"/>
      <family val="1"/>
    </font>
    <font>
      <i/>
      <sz val="10"/>
      <name val="Times New Roman"/>
      <family val="1"/>
    </font>
    <font>
      <i/>
      <sz val="10"/>
      <color rgb="FF000000"/>
      <name val="Times New Roman"/>
      <family val="1"/>
    </font>
    <font>
      <sz val="18"/>
      <color rgb="FF000000"/>
      <name val="Times New Roman"/>
      <family val="2"/>
    </font>
    <font>
      <sz val="14"/>
      <color rgb="FF000000"/>
      <name val="Times New Roman"/>
      <family val="1"/>
    </font>
    <font>
      <sz val="11"/>
      <name val="Calibri"/>
      <family val="2"/>
    </font>
    <font>
      <b/>
      <sz val="11"/>
      <color rgb="FFFFFFFF"/>
      <name val="Calibri"/>
      <family val="2"/>
    </font>
    <font>
      <sz val="11"/>
      <color theme="0"/>
      <name val="Calibri"/>
      <family val="2"/>
      <scheme val="minor"/>
    </font>
    <font>
      <b/>
      <sz val="11"/>
      <color rgb="FF000000"/>
      <name val="Times New Roman"/>
      <family val="1"/>
    </font>
    <font>
      <b/>
      <sz val="10"/>
      <name val="Calibri"/>
      <family val="2"/>
      <scheme val="minor"/>
    </font>
    <font>
      <b/>
      <sz val="12"/>
      <color theme="1"/>
      <name val="Calibri"/>
      <family val="2"/>
      <scheme val="minor"/>
    </font>
    <font>
      <sz val="8"/>
      <name val="Calibri"/>
      <family val="2"/>
      <scheme val="minor"/>
    </font>
    <font>
      <b/>
      <u/>
      <sz val="10"/>
      <name val="Times New Roman"/>
      <family val="1"/>
    </font>
    <font>
      <b/>
      <u/>
      <sz val="10"/>
      <color rgb="FF000000"/>
      <name val="Times New Roman"/>
      <family val="1"/>
    </font>
    <font>
      <sz val="10"/>
      <color theme="1"/>
      <name val="Calibri"/>
      <family val="2"/>
      <scheme val="minor"/>
    </font>
    <font>
      <sz val="8"/>
      <color theme="0"/>
      <name val="Times New Roman"/>
      <family val="1"/>
    </font>
    <font>
      <sz val="11"/>
      <color rgb="FFFF0000"/>
      <name val="Calibri"/>
      <family val="2"/>
      <scheme val="minor"/>
    </font>
    <font>
      <b/>
      <sz val="18"/>
      <name val="Calibri"/>
      <family val="2"/>
      <scheme val="minor"/>
    </font>
    <font>
      <sz val="10"/>
      <color rgb="FF000000"/>
      <name val="Calibri"/>
      <family val="2"/>
      <scheme val="minor"/>
    </font>
    <font>
      <sz val="14"/>
      <name val="Calibri"/>
      <family val="2"/>
      <scheme val="minor"/>
    </font>
    <font>
      <b/>
      <sz val="12"/>
      <name val="Calibri"/>
      <family val="2"/>
      <scheme val="minor"/>
    </font>
    <font>
      <sz val="10"/>
      <name val="Calibri"/>
      <family val="2"/>
      <scheme val="minor"/>
    </font>
    <font>
      <b/>
      <sz val="10"/>
      <color rgb="FF000000"/>
      <name val="Calibri"/>
      <family val="2"/>
      <scheme val="minor"/>
    </font>
    <font>
      <b/>
      <i/>
      <sz val="10"/>
      <name val="Calibri"/>
      <family val="2"/>
      <scheme val="minor"/>
    </font>
    <font>
      <b/>
      <i/>
      <sz val="10"/>
      <color rgb="FF000000"/>
      <name val="Calibri"/>
      <family val="2"/>
      <scheme val="minor"/>
    </font>
    <font>
      <b/>
      <sz val="10"/>
      <color theme="1"/>
      <name val="Calibri"/>
      <family val="2"/>
      <scheme val="minor"/>
    </font>
    <font>
      <b/>
      <i/>
      <sz val="12"/>
      <color theme="1"/>
      <name val="Calibri"/>
      <family val="2"/>
      <scheme val="minor"/>
    </font>
    <font>
      <u/>
      <sz val="11"/>
      <color theme="10"/>
      <name val="Times New Roman"/>
      <family val="1"/>
    </font>
    <font>
      <b/>
      <sz val="9.25"/>
      <color theme="1"/>
      <name val="Calibri"/>
      <family val="2"/>
      <scheme val="minor"/>
    </font>
    <font>
      <b/>
      <sz val="18"/>
      <color theme="1"/>
      <name val="Calibri"/>
      <family val="2"/>
      <scheme val="minor"/>
    </font>
    <font>
      <b/>
      <sz val="16"/>
      <color theme="1"/>
      <name val="Calibri"/>
      <family val="2"/>
      <scheme val="minor"/>
    </font>
    <font>
      <sz val="11"/>
      <color rgb="FF000000"/>
      <name val="Calibri"/>
      <family val="2"/>
      <scheme val="minor"/>
    </font>
    <font>
      <b/>
      <sz val="11"/>
      <name val="Calibri"/>
      <family val="2"/>
    </font>
    <font>
      <b/>
      <sz val="12"/>
      <color rgb="FF000000"/>
      <name val="Times New Roman"/>
      <family val="1"/>
    </font>
    <font>
      <b/>
      <u/>
      <sz val="10.5"/>
      <color indexed="8"/>
      <name val="Calibri"/>
      <family val="2"/>
      <scheme val="minor"/>
    </font>
    <font>
      <sz val="10.5"/>
      <color indexed="8"/>
      <name val="Calibri"/>
      <family val="2"/>
      <scheme val="minor"/>
    </font>
    <font>
      <b/>
      <i/>
      <sz val="12"/>
      <name val="Calibri"/>
      <family val="2"/>
      <scheme val="minor"/>
    </font>
    <font>
      <b/>
      <sz val="11"/>
      <name val="Arial"/>
      <family val="2"/>
    </font>
    <font>
      <b/>
      <u/>
      <sz val="11"/>
      <name val="Arial"/>
      <family val="2"/>
    </font>
    <font>
      <sz val="11"/>
      <name val="Arial"/>
      <family val="2"/>
    </font>
    <font>
      <b/>
      <sz val="10"/>
      <name val="Arial"/>
      <family val="2"/>
    </font>
    <font>
      <u/>
      <sz val="10"/>
      <name val="Arial"/>
      <family val="2"/>
    </font>
    <font>
      <b/>
      <sz val="12"/>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rgb="FF5B9BD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s>
  <borders count="10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bottom/>
      <diagonal/>
    </border>
    <border>
      <left/>
      <right style="thin">
        <color rgb="FF000000"/>
      </right>
      <top/>
      <bottom/>
      <diagonal/>
    </border>
    <border>
      <left style="medium">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auto="1"/>
      </top>
      <bottom/>
      <diagonal/>
    </border>
    <border>
      <left/>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auto="1"/>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8">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5" fontId="9" fillId="0" borderId="0"/>
    <xf numFmtId="5" fontId="9" fillId="0" borderId="0"/>
    <xf numFmtId="0" fontId="3" fillId="0" borderId="0"/>
    <xf numFmtId="44" fontId="1" fillId="0" borderId="0" applyFont="0" applyFill="0" applyBorder="0" applyAlignment="0" applyProtection="0"/>
    <xf numFmtId="44" fontId="3" fillId="0" borderId="0" applyFont="0" applyFill="0" applyBorder="0" applyAlignment="0" applyProtection="0"/>
    <xf numFmtId="0" fontId="3" fillId="0" borderId="0"/>
    <xf numFmtId="0" fontId="17" fillId="0" borderId="0"/>
    <xf numFmtId="0" fontId="34" fillId="0" borderId="0" applyNumberFormat="0" applyFill="0" applyBorder="0" applyAlignment="0" applyProtection="0"/>
    <xf numFmtId="0" fontId="5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804">
    <xf numFmtId="0" fontId="0" fillId="0" borderId="0" xfId="0"/>
    <xf numFmtId="0" fontId="6" fillId="0" borderId="1" xfId="0" applyFont="1" applyBorder="1" applyAlignment="1">
      <alignment horizontal="center" wrapText="1"/>
    </xf>
    <xf numFmtId="0" fontId="6" fillId="0" borderId="0" xfId="0" applyFont="1" applyAlignment="1">
      <alignment horizontal="center" wrapText="1"/>
    </xf>
    <xf numFmtId="0" fontId="2" fillId="0" borderId="0" xfId="0" applyFont="1"/>
    <xf numFmtId="167" fontId="0" fillId="0" borderId="0" xfId="0" applyNumberFormat="1"/>
    <xf numFmtId="42" fontId="0" fillId="0" borderId="0" xfId="0" applyNumberFormat="1"/>
    <xf numFmtId="41" fontId="0" fillId="0" borderId="0" xfId="0" applyNumberFormat="1"/>
    <xf numFmtId="0" fontId="0" fillId="0" borderId="0" xfId="0" applyAlignment="1">
      <alignment wrapText="1"/>
    </xf>
    <xf numFmtId="0" fontId="2" fillId="0" borderId="0" xfId="0" applyFont="1" applyAlignment="1">
      <alignment horizontal="center"/>
    </xf>
    <xf numFmtId="0" fontId="6" fillId="0" borderId="0" xfId="0" applyFont="1"/>
    <xf numFmtId="41" fontId="0" fillId="3" borderId="1" xfId="0" applyNumberFormat="1" applyFill="1" applyBorder="1" applyProtection="1">
      <protection locked="0"/>
    </xf>
    <xf numFmtId="41" fontId="0" fillId="3" borderId="0" xfId="0" applyNumberFormat="1" applyFill="1" applyProtection="1">
      <protection locked="0"/>
    </xf>
    <xf numFmtId="0" fontId="7" fillId="0" borderId="0" xfId="0" applyFont="1"/>
    <xf numFmtId="0" fontId="0" fillId="3" borderId="0" xfId="0" applyFill="1" applyProtection="1">
      <protection locked="0"/>
    </xf>
    <xf numFmtId="0" fontId="8" fillId="0" borderId="7" xfId="0" applyFont="1" applyBorder="1" applyAlignment="1">
      <alignment horizontal="center" wrapText="1"/>
    </xf>
    <xf numFmtId="5" fontId="10" fillId="0" borderId="0" xfId="4" applyFont="1"/>
    <xf numFmtId="5" fontId="11" fillId="0" borderId="7" xfId="4" applyFont="1" applyBorder="1" applyAlignment="1">
      <alignment horizontal="center" wrapText="1"/>
    </xf>
    <xf numFmtId="5" fontId="11" fillId="0" borderId="7" xfId="4" quotePrefix="1" applyFont="1" applyBorder="1" applyAlignment="1">
      <alignment horizontal="center" wrapText="1"/>
    </xf>
    <xf numFmtId="168" fontId="11" fillId="0" borderId="7" xfId="4" applyNumberFormat="1" applyFont="1" applyBorder="1" applyAlignment="1">
      <alignment horizontal="center" wrapText="1"/>
    </xf>
    <xf numFmtId="5" fontId="11" fillId="0" borderId="0" xfId="4" applyFont="1" applyAlignment="1">
      <alignment horizontal="center"/>
    </xf>
    <xf numFmtId="168" fontId="11" fillId="0" borderId="7" xfId="4" applyNumberFormat="1"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center" wrapText="1"/>
    </xf>
    <xf numFmtId="5" fontId="11" fillId="0" borderId="0" xfId="4" quotePrefix="1" applyFont="1" applyAlignment="1">
      <alignment horizontal="center" wrapText="1"/>
    </xf>
    <xf numFmtId="168" fontId="11" fillId="0" borderId="0" xfId="4" applyNumberFormat="1" applyFont="1" applyAlignment="1">
      <alignment horizontal="center" wrapText="1"/>
    </xf>
    <xf numFmtId="168" fontId="11" fillId="0" borderId="0" xfId="4" applyNumberFormat="1" applyFont="1" applyAlignment="1">
      <alignment horizontal="center"/>
    </xf>
    <xf numFmtId="0" fontId="2" fillId="0" borderId="0" xfId="0" applyFont="1" applyAlignment="1">
      <alignment horizontal="center" wrapText="1"/>
    </xf>
    <xf numFmtId="5" fontId="10" fillId="3" borderId="0" xfId="4" applyFont="1" applyFill="1" applyProtection="1">
      <protection locked="0"/>
    </xf>
    <xf numFmtId="169" fontId="10" fillId="3" borderId="0" xfId="4" applyNumberFormat="1" applyFont="1" applyFill="1" applyProtection="1">
      <protection locked="0"/>
    </xf>
    <xf numFmtId="9" fontId="10" fillId="3" borderId="0" xfId="4" applyNumberFormat="1" applyFont="1" applyFill="1" applyProtection="1">
      <protection locked="0"/>
    </xf>
    <xf numFmtId="42" fontId="10" fillId="0" borderId="0" xfId="4" applyNumberFormat="1" applyFont="1"/>
    <xf numFmtId="41" fontId="10" fillId="0" borderId="0" xfId="4" applyNumberFormat="1" applyFont="1"/>
    <xf numFmtId="169" fontId="0" fillId="0" borderId="0" xfId="0" applyNumberFormat="1"/>
    <xf numFmtId="9" fontId="0" fillId="0" borderId="0" xfId="0" applyNumberFormat="1"/>
    <xf numFmtId="169" fontId="10" fillId="0" borderId="0" xfId="4" applyNumberFormat="1" applyFont="1"/>
    <xf numFmtId="9" fontId="10" fillId="0" borderId="0" xfId="4" applyNumberFormat="1" applyFont="1"/>
    <xf numFmtId="0" fontId="0" fillId="0" borderId="0" xfId="0" applyAlignment="1">
      <alignment horizontal="right"/>
    </xf>
    <xf numFmtId="166" fontId="0" fillId="0" borderId="0" xfId="0" applyNumberFormat="1" applyAlignment="1">
      <alignment horizontal="center"/>
    </xf>
    <xf numFmtId="0" fontId="0" fillId="0" borderId="0" xfId="0" applyAlignment="1">
      <alignment horizontal="center"/>
    </xf>
    <xf numFmtId="5" fontId="12" fillId="0" borderId="7" xfId="4" applyFont="1" applyBorder="1" applyAlignment="1">
      <alignment horizontal="center"/>
    </xf>
    <xf numFmtId="168" fontId="12" fillId="0" borderId="7" xfId="4" applyNumberFormat="1" applyFont="1" applyBorder="1" applyAlignment="1">
      <alignment horizontal="center" wrapText="1"/>
    </xf>
    <xf numFmtId="5" fontId="11" fillId="0" borderId="0" xfId="4" quotePrefix="1" applyFont="1" applyAlignment="1">
      <alignment horizontal="center"/>
    </xf>
    <xf numFmtId="5" fontId="12" fillId="0" borderId="0" xfId="4" applyFont="1" applyAlignment="1">
      <alignment horizontal="left"/>
    </xf>
    <xf numFmtId="5" fontId="4" fillId="3" borderId="3" xfId="5" applyFont="1" applyFill="1" applyBorder="1" applyAlignment="1" applyProtection="1">
      <alignment wrapText="1"/>
      <protection locked="0"/>
    </xf>
    <xf numFmtId="5" fontId="4" fillId="3" borderId="8" xfId="5" applyFont="1" applyFill="1" applyBorder="1" applyAlignment="1" applyProtection="1">
      <alignment wrapText="1"/>
      <protection locked="0"/>
    </xf>
    <xf numFmtId="0" fontId="0" fillId="3" borderId="2" xfId="4" applyNumberFormat="1" applyFont="1" applyFill="1" applyBorder="1" applyAlignment="1" applyProtection="1">
      <alignment horizontal="left" wrapText="1"/>
      <protection locked="0"/>
    </xf>
    <xf numFmtId="0" fontId="0" fillId="3" borderId="14" xfId="4" applyNumberFormat="1" applyFont="1" applyFill="1" applyBorder="1" applyAlignment="1" applyProtection="1">
      <alignment horizontal="left" wrapText="1"/>
      <protection locked="0"/>
    </xf>
    <xf numFmtId="0" fontId="0" fillId="3" borderId="3" xfId="4" applyNumberFormat="1" applyFont="1" applyFill="1" applyBorder="1" applyAlignment="1" applyProtection="1">
      <alignment horizontal="left" wrapText="1"/>
      <protection locked="0"/>
    </xf>
    <xf numFmtId="0" fontId="0" fillId="3" borderId="18" xfId="4" applyNumberFormat="1" applyFont="1" applyFill="1" applyBorder="1" applyAlignment="1" applyProtection="1">
      <alignment horizontal="left" wrapText="1"/>
      <protection locked="0"/>
    </xf>
    <xf numFmtId="0" fontId="0" fillId="3" borderId="0" xfId="0" applyFill="1" applyAlignment="1" applyProtection="1">
      <alignment wrapText="1"/>
      <protection locked="0"/>
    </xf>
    <xf numFmtId="3" fontId="0" fillId="3" borderId="27" xfId="0" applyNumberFormat="1" applyFill="1" applyBorder="1" applyProtection="1">
      <protection locked="0"/>
    </xf>
    <xf numFmtId="0" fontId="0" fillId="3" borderId="27" xfId="0" applyFill="1" applyBorder="1" applyProtection="1">
      <protection locked="0"/>
    </xf>
    <xf numFmtId="3" fontId="0" fillId="3" borderId="29" xfId="0" applyNumberFormat="1" applyFill="1" applyBorder="1" applyProtection="1">
      <protection locked="0"/>
    </xf>
    <xf numFmtId="0" fontId="0" fillId="3" borderId="29" xfId="0" applyFill="1" applyBorder="1" applyProtection="1">
      <protection locked="0"/>
    </xf>
    <xf numFmtId="3" fontId="10" fillId="3" borderId="0" xfId="8" applyNumberFormat="1" applyFont="1" applyFill="1" applyAlignment="1" applyProtection="1">
      <alignment horizontal="right"/>
      <protection locked="0"/>
    </xf>
    <xf numFmtId="3" fontId="10" fillId="3" borderId="1" xfId="8" applyNumberFormat="1" applyFont="1" applyFill="1" applyBorder="1" applyAlignment="1" applyProtection="1">
      <alignment horizontal="right"/>
      <protection locked="0"/>
    </xf>
    <xf numFmtId="41" fontId="10" fillId="3" borderId="1" xfId="8" applyNumberFormat="1" applyFont="1" applyFill="1" applyBorder="1" applyProtection="1">
      <protection locked="0"/>
    </xf>
    <xf numFmtId="0" fontId="16" fillId="0" borderId="0" xfId="9" applyFont="1"/>
    <xf numFmtId="0" fontId="4" fillId="0" borderId="0" xfId="9" applyFont="1" applyAlignment="1">
      <alignment horizontal="centerContinuous"/>
    </xf>
    <xf numFmtId="0" fontId="5" fillId="0" borderId="0" xfId="9" applyFont="1"/>
    <xf numFmtId="0" fontId="5" fillId="0" borderId="7" xfId="9" applyFont="1" applyBorder="1" applyAlignment="1">
      <alignment horizontal="center"/>
    </xf>
    <xf numFmtId="0" fontId="5" fillId="0" borderId="7" xfId="9" applyFont="1" applyBorder="1" applyAlignment="1">
      <alignment horizontal="center" wrapText="1"/>
    </xf>
    <xf numFmtId="0" fontId="5" fillId="0" borderId="8" xfId="9" applyFont="1" applyBorder="1" applyAlignment="1">
      <alignment horizontal="center" textRotation="90" wrapText="1"/>
    </xf>
    <xf numFmtId="0" fontId="4" fillId="3" borderId="32" xfId="9" applyFont="1" applyFill="1" applyBorder="1" applyProtection="1">
      <protection locked="0"/>
    </xf>
    <xf numFmtId="0" fontId="4" fillId="3" borderId="33" xfId="9" applyFont="1" applyFill="1" applyBorder="1" applyProtection="1">
      <protection locked="0"/>
    </xf>
    <xf numFmtId="0" fontId="4" fillId="3" borderId="34" xfId="9" applyFont="1" applyFill="1" applyBorder="1" applyProtection="1">
      <protection locked="0"/>
    </xf>
    <xf numFmtId="0" fontId="4" fillId="3" borderId="35" xfId="9" applyFont="1" applyFill="1" applyBorder="1" applyProtection="1">
      <protection locked="0"/>
    </xf>
    <xf numFmtId="0" fontId="4" fillId="3" borderId="36" xfId="9" applyFont="1" applyFill="1" applyBorder="1" applyProtection="1">
      <protection locked="0"/>
    </xf>
    <xf numFmtId="0" fontId="4" fillId="0" borderId="0" xfId="9" applyFont="1"/>
    <xf numFmtId="0" fontId="4" fillId="0" borderId="0" xfId="9" applyFont="1" applyAlignment="1">
      <alignment horizontal="center"/>
    </xf>
    <xf numFmtId="165" fontId="4" fillId="3" borderId="20" xfId="3" applyNumberFormat="1" applyFont="1" applyFill="1" applyBorder="1" applyProtection="1">
      <protection locked="0"/>
    </xf>
    <xf numFmtId="0" fontId="17" fillId="0" borderId="0" xfId="10" applyAlignment="1">
      <alignment horizontal="left" vertical="top"/>
    </xf>
    <xf numFmtId="0" fontId="17" fillId="0" borderId="48" xfId="10" applyBorder="1" applyAlignment="1">
      <alignment horizontal="left" vertical="center" wrapText="1"/>
    </xf>
    <xf numFmtId="0" fontId="52" fillId="0" borderId="0" xfId="12"/>
    <xf numFmtId="49" fontId="52" fillId="0" borderId="0" xfId="12" applyNumberFormat="1"/>
    <xf numFmtId="0" fontId="53" fillId="5" borderId="0" xfId="12" applyFont="1" applyFill="1"/>
    <xf numFmtId="1" fontId="53" fillId="5" borderId="0" xfId="12" applyNumberFormat="1" applyFont="1" applyFill="1" applyAlignment="1">
      <alignment horizontal="center"/>
    </xf>
    <xf numFmtId="1" fontId="52" fillId="0" borderId="0" xfId="12" applyNumberFormat="1" applyAlignment="1">
      <alignment horizontal="center"/>
    </xf>
    <xf numFmtId="0" fontId="4" fillId="3" borderId="32" xfId="9" applyFont="1" applyFill="1" applyBorder="1" applyAlignment="1" applyProtection="1">
      <alignment horizontal="center"/>
      <protection locked="0"/>
    </xf>
    <xf numFmtId="0" fontId="4" fillId="3" borderId="34" xfId="9" applyFont="1" applyFill="1" applyBorder="1" applyAlignment="1" applyProtection="1">
      <alignment horizontal="center"/>
      <protection locked="0"/>
    </xf>
    <xf numFmtId="0" fontId="4" fillId="3" borderId="36" xfId="9" applyFont="1" applyFill="1" applyBorder="1" applyAlignment="1" applyProtection="1">
      <alignment horizontal="center"/>
      <protection locked="0"/>
    </xf>
    <xf numFmtId="0" fontId="0" fillId="3" borderId="43" xfId="0" applyFill="1" applyBorder="1" applyAlignment="1" applyProtection="1">
      <alignment horizontal="center"/>
      <protection locked="0"/>
    </xf>
    <xf numFmtId="39" fontId="1" fillId="3" borderId="43" xfId="4" applyNumberFormat="1" applyFont="1" applyFill="1" applyBorder="1" applyAlignment="1" applyProtection="1">
      <alignment horizontal="center"/>
      <protection locked="0"/>
    </xf>
    <xf numFmtId="0" fontId="32" fillId="0" borderId="0" xfId="10" applyFont="1" applyAlignment="1">
      <alignment horizontal="center" vertical="top"/>
    </xf>
    <xf numFmtId="0" fontId="21" fillId="0" borderId="0" xfId="10" applyFont="1" applyAlignment="1">
      <alignment horizontal="center" vertical="top"/>
    </xf>
    <xf numFmtId="0" fontId="31" fillId="0" borderId="0" xfId="10" applyFont="1" applyAlignment="1">
      <alignment horizontal="center" vertical="top"/>
    </xf>
    <xf numFmtId="0" fontId="30" fillId="0" borderId="0" xfId="10" applyFont="1" applyAlignment="1">
      <alignment horizontal="center" vertical="top"/>
    </xf>
    <xf numFmtId="0" fontId="17" fillId="0" borderId="0" xfId="10" applyAlignment="1">
      <alignment horizontal="center" vertical="top"/>
    </xf>
    <xf numFmtId="0" fontId="23" fillId="0" borderId="0" xfId="10" applyFont="1" applyAlignment="1">
      <alignment horizontal="left" vertical="top"/>
    </xf>
    <xf numFmtId="0" fontId="31" fillId="0" borderId="0" xfId="10" applyFont="1" applyAlignment="1">
      <alignment horizontal="center" vertical="top" wrapText="1"/>
    </xf>
    <xf numFmtId="0" fontId="24" fillId="0" borderId="0" xfId="10" applyFont="1" applyAlignment="1">
      <alignment horizontal="left" vertical="center"/>
    </xf>
    <xf numFmtId="0" fontId="54" fillId="0" borderId="0" xfId="0" applyFont="1"/>
    <xf numFmtId="0" fontId="0" fillId="0" borderId="0" xfId="0" applyAlignment="1">
      <alignment horizontal="left"/>
    </xf>
    <xf numFmtId="10" fontId="0" fillId="0" borderId="0" xfId="0" applyNumberFormat="1"/>
    <xf numFmtId="166" fontId="0" fillId="0" borderId="0" xfId="0" applyNumberFormat="1"/>
    <xf numFmtId="0" fontId="8" fillId="0" borderId="0" xfId="0" applyFont="1"/>
    <xf numFmtId="5" fontId="6" fillId="0" borderId="7" xfId="4" applyFont="1" applyBorder="1" applyAlignment="1">
      <alignment horizontal="center" wrapText="1"/>
    </xf>
    <xf numFmtId="5" fontId="6" fillId="0" borderId="10" xfId="4" applyFont="1" applyBorder="1" applyAlignment="1">
      <alignment horizontal="center" wrapText="1"/>
    </xf>
    <xf numFmtId="5" fontId="6" fillId="0" borderId="11" xfId="4" applyFont="1" applyBorder="1" applyAlignment="1">
      <alignment horizontal="center" wrapText="1"/>
    </xf>
    <xf numFmtId="5" fontId="6" fillId="0" borderId="12" xfId="4" applyFont="1" applyBorder="1" applyAlignment="1">
      <alignment horizontal="center" wrapText="1"/>
    </xf>
    <xf numFmtId="5" fontId="6" fillId="0" borderId="13" xfId="4" applyFont="1" applyBorder="1" applyAlignment="1">
      <alignment horizontal="center" wrapText="1"/>
    </xf>
    <xf numFmtId="0" fontId="0" fillId="0" borderId="0" xfId="0" applyAlignment="1">
      <alignment horizontal="left" wrapText="1"/>
    </xf>
    <xf numFmtId="165" fontId="0" fillId="0" borderId="0" xfId="0" applyNumberFormat="1"/>
    <xf numFmtId="5" fontId="5" fillId="0" borderId="0" xfId="5" quotePrefix="1" applyFont="1" applyAlignment="1">
      <alignment horizontal="center"/>
    </xf>
    <xf numFmtId="5" fontId="13" fillId="0" borderId="0" xfId="5" quotePrefix="1" applyFont="1" applyAlignment="1">
      <alignment horizontal="center" wrapText="1"/>
    </xf>
    <xf numFmtId="5" fontId="5" fillId="0" borderId="0" xfId="5" quotePrefix="1" applyFont="1" applyAlignment="1">
      <alignment horizontal="center" wrapText="1"/>
    </xf>
    <xf numFmtId="0" fontId="13" fillId="0" borderId="1" xfId="6" applyFont="1" applyBorder="1" applyAlignment="1">
      <alignment horizontal="center" wrapText="1"/>
    </xf>
    <xf numFmtId="42" fontId="4" fillId="0" borderId="0" xfId="5" applyNumberFormat="1" applyFont="1"/>
    <xf numFmtId="41" fontId="4" fillId="0" borderId="0" xfId="5" applyNumberFormat="1" applyFont="1"/>
    <xf numFmtId="5" fontId="5" fillId="0" borderId="0" xfId="5" applyFont="1" applyAlignment="1">
      <alignment horizontal="right"/>
    </xf>
    <xf numFmtId="0" fontId="4" fillId="0" borderId="0" xfId="6" applyFont="1"/>
    <xf numFmtId="41" fontId="4" fillId="0" borderId="0" xfId="5" applyNumberFormat="1" applyFont="1" applyAlignment="1">
      <alignment horizontal="fill"/>
    </xf>
    <xf numFmtId="5" fontId="4" fillId="0" borderId="0" xfId="5" applyFont="1"/>
    <xf numFmtId="5" fontId="5" fillId="0" borderId="0" xfId="5" applyFont="1"/>
    <xf numFmtId="5" fontId="5" fillId="0" borderId="0" xfId="5" quotePrefix="1" applyFont="1" applyAlignment="1">
      <alignment horizontal="right"/>
    </xf>
    <xf numFmtId="0" fontId="2" fillId="2" borderId="0" xfId="0" applyFont="1" applyFill="1"/>
    <xf numFmtId="0" fontId="0" fillId="2" borderId="0" xfId="0" applyFill="1"/>
    <xf numFmtId="0" fontId="0" fillId="2" borderId="0" xfId="0" applyFill="1" applyAlignment="1">
      <alignment horizontal="left" wrapText="1"/>
    </xf>
    <xf numFmtId="0" fontId="5" fillId="0" borderId="39" xfId="1" applyFont="1" applyBorder="1" applyAlignment="1">
      <alignment wrapText="1"/>
    </xf>
    <xf numFmtId="0" fontId="4" fillId="0" borderId="0" xfId="1" applyFont="1"/>
    <xf numFmtId="0" fontId="5" fillId="0" borderId="52" xfId="1" applyFont="1" applyBorder="1" applyAlignment="1">
      <alignment wrapText="1"/>
    </xf>
    <xf numFmtId="0" fontId="5" fillId="0" borderId="11" xfId="1" applyFont="1" applyBorder="1" applyAlignment="1">
      <alignment horizontal="left" wrapText="1"/>
    </xf>
    <xf numFmtId="0" fontId="5" fillId="0" borderId="0" xfId="1" applyFont="1" applyAlignment="1">
      <alignment wrapText="1"/>
    </xf>
    <xf numFmtId="164" fontId="4" fillId="0" borderId="12" xfId="2" quotePrefix="1" applyNumberFormat="1" applyFont="1" applyBorder="1" applyAlignment="1" applyProtection="1">
      <alignment horizontal="left" wrapText="1"/>
    </xf>
    <xf numFmtId="164" fontId="4" fillId="0" borderId="12" xfId="2" applyNumberFormat="1" applyFont="1" applyBorder="1" applyAlignment="1" applyProtection="1">
      <alignment horizontal="left" wrapText="1"/>
    </xf>
    <xf numFmtId="0" fontId="4" fillId="0" borderId="10" xfId="1" applyFont="1" applyBorder="1" applyAlignment="1">
      <alignment horizontal="left" wrapText="1"/>
    </xf>
    <xf numFmtId="1" fontId="33" fillId="0" borderId="0" xfId="10" applyNumberFormat="1" applyFont="1" applyAlignment="1">
      <alignment horizontal="center" vertical="top"/>
    </xf>
    <xf numFmtId="0" fontId="22" fillId="0" borderId="0" xfId="10" applyFont="1" applyAlignment="1">
      <alignment horizontal="left" vertical="top"/>
    </xf>
    <xf numFmtId="0" fontId="5" fillId="0" borderId="53" xfId="1" quotePrefix="1" applyFont="1" applyBorder="1" applyAlignment="1">
      <alignment horizontal="left" wrapText="1"/>
    </xf>
    <xf numFmtId="0" fontId="5" fillId="0" borderId="54" xfId="1" applyFont="1" applyBorder="1"/>
    <xf numFmtId="0" fontId="5" fillId="0" borderId="55" xfId="1" applyFont="1" applyBorder="1"/>
    <xf numFmtId="172" fontId="4" fillId="3" borderId="42" xfId="3" applyNumberFormat="1" applyFont="1" applyFill="1" applyBorder="1" applyProtection="1">
      <protection locked="0"/>
    </xf>
    <xf numFmtId="172" fontId="4" fillId="3" borderId="20" xfId="3" applyNumberFormat="1" applyFont="1" applyFill="1" applyBorder="1" applyProtection="1">
      <protection locked="0"/>
    </xf>
    <xf numFmtId="172" fontId="4" fillId="3" borderId="20" xfId="2" applyNumberFormat="1" applyFont="1" applyFill="1" applyBorder="1" applyProtection="1">
      <protection locked="0"/>
    </xf>
    <xf numFmtId="173" fontId="0" fillId="0" borderId="0" xfId="0" applyNumberFormat="1"/>
    <xf numFmtId="173" fontId="0" fillId="0" borderId="1" xfId="0" applyNumberFormat="1" applyBorder="1"/>
    <xf numFmtId="173" fontId="0" fillId="0" borderId="4" xfId="0" applyNumberFormat="1" applyBorder="1"/>
    <xf numFmtId="173" fontId="0" fillId="0" borderId="5" xfId="0" applyNumberFormat="1" applyBorder="1"/>
    <xf numFmtId="173" fontId="0" fillId="3" borderId="0" xfId="0" applyNumberFormat="1" applyFill="1" applyProtection="1">
      <protection locked="0"/>
    </xf>
    <xf numFmtId="173" fontId="0" fillId="3" borderId="1" xfId="0" applyNumberFormat="1" applyFill="1" applyBorder="1" applyProtection="1">
      <protection locked="0"/>
    </xf>
    <xf numFmtId="173" fontId="0" fillId="0" borderId="6" xfId="0" applyNumberFormat="1" applyBorder="1"/>
    <xf numFmtId="172" fontId="0" fillId="3" borderId="0" xfId="0" applyNumberFormat="1" applyFill="1" applyProtection="1">
      <protection locked="0"/>
    </xf>
    <xf numFmtId="172" fontId="0" fillId="0" borderId="0" xfId="0" applyNumberFormat="1"/>
    <xf numFmtId="172" fontId="0" fillId="0" borderId="6" xfId="0" applyNumberFormat="1" applyBorder="1"/>
    <xf numFmtId="172" fontId="0" fillId="3" borderId="1" xfId="0" applyNumberFormat="1" applyFill="1" applyBorder="1" applyProtection="1">
      <protection locked="0"/>
    </xf>
    <xf numFmtId="172" fontId="0" fillId="0" borderId="4" xfId="0" applyNumberFormat="1" applyBorder="1"/>
    <xf numFmtId="172" fontId="10" fillId="3" borderId="0" xfId="4" applyNumberFormat="1" applyFont="1" applyFill="1" applyProtection="1">
      <protection locked="0"/>
    </xf>
    <xf numFmtId="172" fontId="10" fillId="0" borderId="5" xfId="4" applyNumberFormat="1" applyFont="1" applyBorder="1"/>
    <xf numFmtId="172" fontId="0" fillId="3" borderId="3" xfId="0" applyNumberFormat="1" applyFill="1" applyBorder="1" applyProtection="1">
      <protection locked="0"/>
    </xf>
    <xf numFmtId="172" fontId="10" fillId="3" borderId="1" xfId="4" applyNumberFormat="1" applyFont="1" applyFill="1" applyBorder="1" applyProtection="1">
      <protection locked="0"/>
    </xf>
    <xf numFmtId="172" fontId="0" fillId="0" borderId="5" xfId="0" applyNumberFormat="1" applyBorder="1"/>
    <xf numFmtId="173" fontId="10" fillId="3" borderId="0" xfId="4" applyNumberFormat="1" applyFont="1" applyFill="1" applyProtection="1">
      <protection locked="0"/>
    </xf>
    <xf numFmtId="173" fontId="10" fillId="3" borderId="1" xfId="4" applyNumberFormat="1" applyFont="1" applyFill="1" applyBorder="1" applyProtection="1">
      <protection locked="0"/>
    </xf>
    <xf numFmtId="173" fontId="10" fillId="0" borderId="1" xfId="4" applyNumberFormat="1" applyFont="1" applyBorder="1"/>
    <xf numFmtId="4" fontId="10" fillId="3" borderId="0" xfId="4" applyNumberFormat="1" applyFont="1" applyFill="1" applyProtection="1">
      <protection locked="0"/>
    </xf>
    <xf numFmtId="4" fontId="10" fillId="3" borderId="1" xfId="4" applyNumberFormat="1" applyFont="1" applyFill="1" applyBorder="1" applyProtection="1">
      <protection locked="0"/>
    </xf>
    <xf numFmtId="4" fontId="10" fillId="0" borderId="1" xfId="4" applyNumberFormat="1" applyFont="1" applyBorder="1"/>
    <xf numFmtId="4" fontId="0" fillId="3" borderId="0" xfId="0" applyNumberFormat="1" applyFill="1" applyProtection="1">
      <protection locked="0"/>
    </xf>
    <xf numFmtId="4" fontId="0" fillId="0" borderId="5" xfId="0" applyNumberFormat="1" applyBorder="1"/>
    <xf numFmtId="4" fontId="0" fillId="0" borderId="0" xfId="0" applyNumberFormat="1"/>
    <xf numFmtId="4" fontId="0" fillId="0" borderId="4" xfId="0" applyNumberFormat="1" applyBorder="1"/>
    <xf numFmtId="4" fontId="10" fillId="0" borderId="5" xfId="4" applyNumberFormat="1" applyFont="1" applyBorder="1"/>
    <xf numFmtId="172" fontId="0" fillId="0" borderId="1" xfId="0" applyNumberFormat="1" applyBorder="1"/>
    <xf numFmtId="172" fontId="4" fillId="3" borderId="3" xfId="5" applyNumberFormat="1" applyFont="1" applyFill="1" applyBorder="1" applyProtection="1">
      <protection locked="0"/>
    </xf>
    <xf numFmtId="172" fontId="4" fillId="3" borderId="8" xfId="5" applyNumberFormat="1" applyFont="1" applyFill="1" applyBorder="1" applyProtection="1">
      <protection locked="0"/>
    </xf>
    <xf numFmtId="172" fontId="4" fillId="0" borderId="4" xfId="5" applyNumberFormat="1" applyFont="1" applyBorder="1"/>
    <xf numFmtId="172" fontId="0" fillId="3" borderId="8" xfId="0" applyNumberFormat="1" applyFill="1" applyBorder="1" applyProtection="1">
      <protection locked="0"/>
    </xf>
    <xf numFmtId="172" fontId="4" fillId="0" borderId="9" xfId="5" applyNumberFormat="1" applyFont="1" applyBorder="1"/>
    <xf numFmtId="172" fontId="4" fillId="3" borderId="32" xfId="9" applyNumberFormat="1" applyFont="1" applyFill="1" applyBorder="1" applyProtection="1">
      <protection locked="0"/>
    </xf>
    <xf numFmtId="172" fontId="4" fillId="3" borderId="34" xfId="9" applyNumberFormat="1" applyFont="1" applyFill="1" applyBorder="1" applyProtection="1">
      <protection locked="0"/>
    </xf>
    <xf numFmtId="172" fontId="4" fillId="0" borderId="37" xfId="9" applyNumberFormat="1" applyFont="1" applyBorder="1"/>
    <xf numFmtId="172" fontId="0" fillId="3" borderId="27" xfId="0" applyNumberFormat="1" applyFill="1" applyBorder="1" applyProtection="1">
      <protection locked="0"/>
    </xf>
    <xf numFmtId="172" fontId="0" fillId="3" borderId="29" xfId="0" applyNumberFormat="1" applyFill="1" applyBorder="1" applyProtection="1">
      <protection locked="0"/>
    </xf>
    <xf numFmtId="172" fontId="0" fillId="3" borderId="30" xfId="0" applyNumberFormat="1" applyFill="1" applyBorder="1" applyProtection="1">
      <protection locked="0"/>
    </xf>
    <xf numFmtId="173" fontId="10" fillId="3" borderId="0" xfId="8" applyNumberFormat="1" applyFont="1" applyFill="1" applyProtection="1">
      <protection locked="0"/>
    </xf>
    <xf numFmtId="173" fontId="10" fillId="3" borderId="1" xfId="8" applyNumberFormat="1" applyFont="1" applyFill="1" applyBorder="1" applyProtection="1">
      <protection locked="0"/>
    </xf>
    <xf numFmtId="0" fontId="0" fillId="0" borderId="11" xfId="0" applyBorder="1"/>
    <xf numFmtId="0" fontId="8" fillId="0" borderId="0" xfId="0" applyFont="1" applyAlignment="1">
      <alignment horizontal="center"/>
    </xf>
    <xf numFmtId="0" fontId="40" fillId="0" borderId="48" xfId="10" applyFont="1" applyBorder="1" applyAlignment="1">
      <alignment horizontal="left" vertical="top" wrapText="1"/>
    </xf>
    <xf numFmtId="0" fontId="17" fillId="0" borderId="48" xfId="10" applyBorder="1" applyAlignment="1">
      <alignment horizontal="center" vertical="center" wrapText="1"/>
    </xf>
    <xf numFmtId="0" fontId="40" fillId="0" borderId="0" xfId="10" applyFont="1" applyAlignment="1">
      <alignment horizontal="left" vertical="top" wrapText="1"/>
    </xf>
    <xf numFmtId="0" fontId="17" fillId="0" borderId="0" xfId="10" applyAlignment="1">
      <alignment horizontal="left" vertical="top" wrapText="1"/>
    </xf>
    <xf numFmtId="0" fontId="17" fillId="0" borderId="0" xfId="10" applyAlignment="1">
      <alignment vertical="justify"/>
    </xf>
    <xf numFmtId="0" fontId="37" fillId="0" borderId="0" xfId="10" applyFont="1" applyAlignment="1">
      <alignment vertical="justify"/>
    </xf>
    <xf numFmtId="0" fontId="17" fillId="0" borderId="0" xfId="10" applyAlignment="1">
      <alignment horizontal="left" vertical="justify"/>
    </xf>
    <xf numFmtId="0" fontId="37" fillId="0" borderId="0" xfId="10" applyFont="1" applyAlignment="1">
      <alignment horizontal="left" vertical="top" indent="8"/>
    </xf>
    <xf numFmtId="0" fontId="37" fillId="0" borderId="0" xfId="10" applyFont="1" applyAlignment="1">
      <alignment horizontal="left" vertical="top"/>
    </xf>
    <xf numFmtId="0" fontId="17" fillId="0" borderId="47" xfId="10" applyBorder="1" applyAlignment="1">
      <alignment horizontal="center"/>
    </xf>
    <xf numFmtId="0" fontId="38" fillId="0" borderId="0" xfId="10" applyFont="1" applyAlignment="1">
      <alignment horizontal="left" vertical="top"/>
    </xf>
    <xf numFmtId="0" fontId="17" fillId="0" borderId="45" xfId="10" applyBorder="1" applyAlignment="1">
      <alignment horizontal="center"/>
    </xf>
    <xf numFmtId="0" fontId="43" fillId="0" borderId="0" xfId="10" applyFont="1" applyAlignment="1">
      <alignment horizontal="left" vertical="top"/>
    </xf>
    <xf numFmtId="0" fontId="17" fillId="0" borderId="0" xfId="10" applyAlignment="1">
      <alignment vertical="top"/>
    </xf>
    <xf numFmtId="0" fontId="23" fillId="0" borderId="0" xfId="10" applyFont="1" applyAlignment="1">
      <alignment horizontal="left" vertical="top" wrapText="1" indent="2"/>
    </xf>
    <xf numFmtId="0" fontId="17" fillId="0" borderId="0" xfId="10" applyAlignment="1">
      <alignment horizontal="center" vertical="top" wrapText="1"/>
    </xf>
    <xf numFmtId="0" fontId="17" fillId="0" borderId="74" xfId="10" applyBorder="1" applyAlignment="1">
      <alignment horizontal="left" vertical="top"/>
    </xf>
    <xf numFmtId="0" fontId="23" fillId="0" borderId="48" xfId="10" applyFont="1" applyBorder="1" applyAlignment="1">
      <alignment horizontal="left" vertical="top" wrapText="1" indent="2"/>
    </xf>
    <xf numFmtId="0" fontId="17" fillId="6" borderId="53" xfId="10" applyFill="1" applyBorder="1" applyAlignment="1" applyProtection="1">
      <alignment horizontal="center" vertical="top"/>
      <protection locked="0"/>
    </xf>
    <xf numFmtId="0" fontId="17" fillId="6" borderId="48" xfId="10" applyFill="1" applyBorder="1" applyAlignment="1" applyProtection="1">
      <alignment horizontal="center" vertical="top" wrapText="1"/>
      <protection locked="0"/>
    </xf>
    <xf numFmtId="0" fontId="26" fillId="0" borderId="63" xfId="10" applyFont="1" applyBorder="1" applyAlignment="1">
      <alignment horizontal="left" vertical="center" wrapText="1"/>
    </xf>
    <xf numFmtId="0" fontId="31" fillId="0" borderId="0" xfId="10" applyFont="1" applyAlignment="1">
      <alignment horizontal="left" vertical="top" wrapText="1" indent="1"/>
    </xf>
    <xf numFmtId="0" fontId="42" fillId="0" borderId="0" xfId="10" applyFont="1" applyAlignment="1">
      <alignment horizontal="center" vertical="top"/>
    </xf>
    <xf numFmtId="0" fontId="49" fillId="0" borderId="0" xfId="10" applyFont="1" applyAlignment="1">
      <alignment horizontal="left" vertical="top"/>
    </xf>
    <xf numFmtId="0" fontId="48" fillId="0" borderId="0" xfId="10" applyFont="1" applyAlignment="1">
      <alignment horizontal="left" vertical="top"/>
    </xf>
    <xf numFmtId="0" fontId="17" fillId="0" borderId="28" xfId="10" applyBorder="1" applyAlignment="1">
      <alignment horizontal="left" vertical="top"/>
    </xf>
    <xf numFmtId="0" fontId="23" fillId="0" borderId="0" xfId="10" applyFont="1" applyAlignment="1">
      <alignment horizontal="left" vertical="top" indent="2"/>
    </xf>
    <xf numFmtId="0" fontId="17" fillId="6" borderId="43" xfId="10" applyFill="1" applyBorder="1" applyAlignment="1" applyProtection="1">
      <alignment horizontal="center" vertical="top"/>
      <protection locked="0"/>
    </xf>
    <xf numFmtId="44" fontId="17" fillId="6" borderId="43" xfId="10" applyNumberFormat="1" applyFill="1" applyBorder="1" applyAlignment="1" applyProtection="1">
      <alignment horizontal="center" vertical="top"/>
      <protection locked="0"/>
    </xf>
    <xf numFmtId="0" fontId="42" fillId="0" borderId="78" xfId="10" applyFont="1" applyBorder="1" applyAlignment="1">
      <alignment horizontal="center" vertical="top"/>
    </xf>
    <xf numFmtId="0" fontId="41" fillId="0" borderId="79" xfId="10" applyFont="1" applyBorder="1" applyAlignment="1">
      <alignment horizontal="center" vertical="top"/>
    </xf>
    <xf numFmtId="0" fontId="41" fillId="0" borderId="80" xfId="10" applyFont="1" applyBorder="1" applyAlignment="1">
      <alignment horizontal="center" vertical="top"/>
    </xf>
    <xf numFmtId="0" fontId="17" fillId="6" borderId="15" xfId="10" applyFill="1" applyBorder="1" applyAlignment="1" applyProtection="1">
      <alignment horizontal="left" vertical="top"/>
      <protection locked="0"/>
    </xf>
    <xf numFmtId="0" fontId="17" fillId="6" borderId="75" xfId="10" applyFill="1" applyBorder="1" applyAlignment="1" applyProtection="1">
      <alignment horizontal="left" vertical="top"/>
      <protection locked="0"/>
    </xf>
    <xf numFmtId="0" fontId="17" fillId="6" borderId="17" xfId="10" applyFill="1" applyBorder="1" applyAlignment="1" applyProtection="1">
      <alignment horizontal="left" vertical="top"/>
      <protection locked="0"/>
    </xf>
    <xf numFmtId="0" fontId="17" fillId="6" borderId="19" xfId="10" applyFill="1" applyBorder="1" applyAlignment="1" applyProtection="1">
      <alignment horizontal="left" vertical="top"/>
      <protection locked="0"/>
    </xf>
    <xf numFmtId="0" fontId="17" fillId="6" borderId="43" xfId="10" applyFill="1" applyBorder="1" applyAlignment="1" applyProtection="1">
      <alignment horizontal="left" vertical="top"/>
      <protection locked="0"/>
    </xf>
    <xf numFmtId="0" fontId="17" fillId="6" borderId="20" xfId="10" applyFill="1" applyBorder="1" applyAlignment="1" applyProtection="1">
      <alignment horizontal="left" vertical="top"/>
      <protection locked="0"/>
    </xf>
    <xf numFmtId="0" fontId="23" fillId="6" borderId="19" xfId="10" applyFont="1" applyFill="1" applyBorder="1" applyAlignment="1" applyProtection="1">
      <alignment horizontal="left" vertical="top"/>
      <protection locked="0"/>
    </xf>
    <xf numFmtId="0" fontId="17" fillId="6" borderId="76" xfId="10" applyFill="1" applyBorder="1" applyAlignment="1" applyProtection="1">
      <alignment horizontal="left" vertical="top"/>
      <protection locked="0"/>
    </xf>
    <xf numFmtId="0" fontId="17" fillId="6" borderId="8" xfId="10" applyFill="1" applyBorder="1" applyAlignment="1" applyProtection="1">
      <alignment horizontal="left" vertical="top"/>
      <protection locked="0"/>
    </xf>
    <xf numFmtId="0" fontId="17" fillId="6" borderId="77" xfId="10" applyFill="1" applyBorder="1" applyAlignment="1" applyProtection="1">
      <alignment horizontal="left" vertical="top"/>
      <protection locked="0"/>
    </xf>
    <xf numFmtId="0" fontId="41" fillId="0" borderId="0" xfId="10" applyFont="1" applyAlignment="1">
      <alignment horizontal="left" vertical="top"/>
    </xf>
    <xf numFmtId="0" fontId="0" fillId="0" borderId="7" xfId="0" applyBorder="1" applyAlignment="1">
      <alignment horizontal="center" wrapText="1"/>
    </xf>
    <xf numFmtId="0" fontId="0" fillId="0" borderId="24" xfId="0" applyBorder="1" applyAlignment="1">
      <alignment horizontal="center" wrapText="1"/>
    </xf>
    <xf numFmtId="0" fontId="0" fillId="0" borderId="7" xfId="0" applyBorder="1" applyAlignment="1">
      <alignment horizontal="center" textRotation="180" wrapText="1"/>
    </xf>
    <xf numFmtId="0" fontId="0" fillId="0" borderId="25" xfId="0" applyBorder="1" applyAlignment="1">
      <alignment horizontal="center" textRotation="180" wrapText="1"/>
    </xf>
    <xf numFmtId="0" fontId="0" fillId="0" borderId="25" xfId="0" applyBorder="1" applyAlignment="1">
      <alignment horizontal="center" wrapText="1"/>
    </xf>
    <xf numFmtId="166" fontId="0" fillId="0" borderId="0" xfId="0" applyNumberFormat="1" applyAlignment="1">
      <alignment horizontal="right"/>
    </xf>
    <xf numFmtId="5" fontId="14" fillId="0" borderId="0" xfId="4" applyFont="1" applyAlignment="1">
      <alignment wrapText="1"/>
    </xf>
    <xf numFmtId="39" fontId="11" fillId="0" borderId="0" xfId="4" applyNumberFormat="1" applyFont="1" applyAlignment="1">
      <alignment horizontal="center" wrapText="1"/>
    </xf>
    <xf numFmtId="5" fontId="2" fillId="0" borderId="0" xfId="4" applyFont="1" applyAlignment="1">
      <alignment horizontal="center" wrapText="1"/>
    </xf>
    <xf numFmtId="5" fontId="14" fillId="4" borderId="0" xfId="4" applyFont="1" applyFill="1" applyAlignment="1">
      <alignment wrapText="1"/>
    </xf>
    <xf numFmtId="39" fontId="11" fillId="4" borderId="31" xfId="4" applyNumberFormat="1" applyFont="1" applyFill="1" applyBorder="1" applyAlignment="1">
      <alignment horizontal="center" wrapText="1"/>
    </xf>
    <xf numFmtId="5" fontId="1" fillId="4" borderId="0" xfId="4" applyFont="1" applyFill="1"/>
    <xf numFmtId="173" fontId="10" fillId="0" borderId="0" xfId="8" applyNumberFormat="1" applyFont="1" applyProtection="1"/>
    <xf numFmtId="173" fontId="10" fillId="0" borderId="0" xfId="8" applyNumberFormat="1" applyFont="1" applyAlignment="1" applyProtection="1">
      <alignment horizontal="right"/>
    </xf>
    <xf numFmtId="167" fontId="1" fillId="0" borderId="0" xfId="4" applyNumberFormat="1" applyFont="1"/>
    <xf numFmtId="3" fontId="10" fillId="4" borderId="0" xfId="8" applyNumberFormat="1" applyFont="1" applyFill="1" applyAlignment="1" applyProtection="1">
      <alignment horizontal="right"/>
    </xf>
    <xf numFmtId="41" fontId="10" fillId="4" borderId="0" xfId="8" applyNumberFormat="1" applyFont="1" applyFill="1" applyAlignment="1" applyProtection="1">
      <alignment horizontal="right"/>
    </xf>
    <xf numFmtId="3" fontId="10" fillId="0" borderId="0" xfId="8" applyNumberFormat="1" applyFont="1" applyAlignment="1" applyProtection="1">
      <alignment horizontal="right"/>
    </xf>
    <xf numFmtId="5" fontId="10" fillId="4" borderId="0" xfId="4" applyFont="1" applyFill="1"/>
    <xf numFmtId="41" fontId="10" fillId="4" borderId="0" xfId="8" applyNumberFormat="1" applyFont="1" applyFill="1" applyProtection="1"/>
    <xf numFmtId="3" fontId="11" fillId="4" borderId="0" xfId="4" applyNumberFormat="1" applyFont="1" applyFill="1" applyAlignment="1">
      <alignment horizontal="center" wrapText="1"/>
    </xf>
    <xf numFmtId="41" fontId="11" fillId="4" borderId="0" xfId="4" applyNumberFormat="1" applyFont="1" applyFill="1" applyAlignment="1">
      <alignment horizontal="center" wrapText="1"/>
    </xf>
    <xf numFmtId="41" fontId="11" fillId="4" borderId="0" xfId="4" applyNumberFormat="1" applyFont="1" applyFill="1" applyAlignment="1">
      <alignment horizontal="center"/>
    </xf>
    <xf numFmtId="41" fontId="10" fillId="0" borderId="0" xfId="8" applyNumberFormat="1" applyFont="1" applyProtection="1"/>
    <xf numFmtId="173" fontId="10" fillId="0" borderId="1" xfId="8" applyNumberFormat="1" applyFont="1" applyBorder="1" applyAlignment="1" applyProtection="1">
      <alignment horizontal="right"/>
    </xf>
    <xf numFmtId="41" fontId="10" fillId="0" borderId="0" xfId="8" applyNumberFormat="1" applyFont="1" applyAlignment="1" applyProtection="1">
      <alignment horizontal="right"/>
    </xf>
    <xf numFmtId="3" fontId="10" fillId="4" borderId="2" xfId="8" applyNumberFormat="1" applyFont="1" applyFill="1" applyBorder="1" applyAlignment="1" applyProtection="1">
      <alignment horizontal="right"/>
    </xf>
    <xf numFmtId="41" fontId="10" fillId="4" borderId="31" xfId="8" applyNumberFormat="1" applyFont="1" applyFill="1" applyBorder="1" applyProtection="1"/>
    <xf numFmtId="41" fontId="10" fillId="4" borderId="2" xfId="8" applyNumberFormat="1" applyFont="1" applyFill="1" applyBorder="1" applyProtection="1"/>
    <xf numFmtId="3" fontId="10" fillId="4" borderId="31" xfId="8" applyNumberFormat="1" applyFont="1" applyFill="1" applyBorder="1" applyAlignment="1" applyProtection="1">
      <alignment horizontal="right"/>
    </xf>
    <xf numFmtId="41" fontId="10" fillId="4" borderId="31" xfId="8" applyNumberFormat="1" applyFont="1" applyFill="1" applyBorder="1" applyAlignment="1" applyProtection="1">
      <alignment horizontal="right"/>
    </xf>
    <xf numFmtId="5" fontId="11" fillId="0" borderId="0" xfId="4" applyFont="1"/>
    <xf numFmtId="3" fontId="10" fillId="0" borderId="6" xfId="8" applyNumberFormat="1" applyFont="1" applyBorder="1" applyAlignment="1" applyProtection="1">
      <alignment horizontal="right"/>
    </xf>
    <xf numFmtId="42" fontId="10" fillId="0" borderId="0" xfId="8" applyNumberFormat="1" applyFont="1" applyProtection="1"/>
    <xf numFmtId="173" fontId="10" fillId="0" borderId="6" xfId="8" applyNumberFormat="1" applyFont="1" applyBorder="1" applyAlignment="1" applyProtection="1">
      <alignment horizontal="right"/>
    </xf>
    <xf numFmtId="173" fontId="10" fillId="0" borderId="4" xfId="8" applyNumberFormat="1" applyFont="1" applyBorder="1" applyAlignment="1" applyProtection="1">
      <alignment horizontal="right"/>
    </xf>
    <xf numFmtId="39" fontId="10" fillId="0" borderId="0" xfId="8" applyNumberFormat="1" applyFont="1" applyAlignment="1" applyProtection="1">
      <alignment horizontal="right"/>
    </xf>
    <xf numFmtId="39" fontId="10" fillId="0" borderId="0" xfId="8" applyNumberFormat="1" applyFont="1" applyProtection="1"/>
    <xf numFmtId="5" fontId="1" fillId="0" borderId="0" xfId="4" applyFont="1"/>
    <xf numFmtId="39" fontId="1" fillId="0" borderId="0" xfId="4" applyNumberFormat="1" applyFont="1"/>
    <xf numFmtId="5" fontId="15" fillId="0" borderId="0" xfId="4" applyFont="1"/>
    <xf numFmtId="39" fontId="15" fillId="0" borderId="0" xfId="4" applyNumberFormat="1" applyFont="1"/>
    <xf numFmtId="0" fontId="23" fillId="0" borderId="43" xfId="10" applyFont="1" applyBorder="1" applyAlignment="1">
      <alignment horizontal="center" vertical="top"/>
    </xf>
    <xf numFmtId="0" fontId="62" fillId="0" borderId="0" xfId="10" applyFont="1" applyAlignment="1">
      <alignment horizontal="center" vertical="top"/>
    </xf>
    <xf numFmtId="0" fontId="17" fillId="0" borderId="11" xfId="10" applyBorder="1" applyAlignment="1">
      <alignment horizontal="left" vertical="top"/>
    </xf>
    <xf numFmtId="0" fontId="17" fillId="0" borderId="10" xfId="10" applyBorder="1" applyAlignment="1">
      <alignment horizontal="left" vertical="top"/>
    </xf>
    <xf numFmtId="0" fontId="17" fillId="0" borderId="7" xfId="10" applyBorder="1" applyAlignment="1">
      <alignment horizontal="left" vertical="top"/>
    </xf>
    <xf numFmtId="0" fontId="17" fillId="0" borderId="11" xfId="10" applyBorder="1" applyAlignment="1">
      <alignment horizontal="center" vertical="top"/>
    </xf>
    <xf numFmtId="0" fontId="42" fillId="0" borderId="0" xfId="10" applyFont="1" applyAlignment="1">
      <alignment horizontal="left" vertical="top"/>
    </xf>
    <xf numFmtId="0" fontId="42" fillId="0" borderId="48" xfId="10" applyFont="1" applyBorder="1" applyAlignment="1">
      <alignment horizontal="left" vertical="top" wrapText="1" indent="1"/>
    </xf>
    <xf numFmtId="0" fontId="42" fillId="0" borderId="48" xfId="10" applyFont="1" applyBorder="1" applyAlignment="1">
      <alignment horizontal="left" vertical="top" wrapText="1" indent="2"/>
    </xf>
    <xf numFmtId="0" fontId="17" fillId="6" borderId="81" xfId="10" applyFill="1" applyBorder="1" applyAlignment="1" applyProtection="1">
      <alignment horizontal="center" vertical="top"/>
      <protection locked="0"/>
    </xf>
    <xf numFmtId="44" fontId="17" fillId="6" borderId="81" xfId="13" applyFont="1" applyFill="1" applyBorder="1" applyAlignment="1" applyProtection="1">
      <alignment horizontal="left" vertical="top"/>
      <protection locked="0"/>
    </xf>
    <xf numFmtId="0" fontId="37" fillId="0" borderId="0" xfId="10" applyFont="1" applyAlignment="1">
      <alignment horizontal="center" vertical="top"/>
    </xf>
    <xf numFmtId="4" fontId="0" fillId="3" borderId="3" xfId="0" applyNumberFormat="1" applyFill="1" applyBorder="1" applyProtection="1">
      <protection locked="0"/>
    </xf>
    <xf numFmtId="4" fontId="0" fillId="0" borderId="3" xfId="0" applyNumberFormat="1" applyBorder="1" applyProtection="1">
      <protection locked="0"/>
    </xf>
    <xf numFmtId="44" fontId="1" fillId="0" borderId="0" xfId="13" applyFont="1" applyBorder="1"/>
    <xf numFmtId="0" fontId="0" fillId="0" borderId="12" xfId="0" applyBorder="1"/>
    <xf numFmtId="0" fontId="0" fillId="0" borderId="7" xfId="0" applyBorder="1"/>
    <xf numFmtId="0" fontId="65" fillId="0" borderId="0" xfId="10" applyFont="1" applyAlignment="1">
      <alignment horizontal="left" vertical="top"/>
    </xf>
    <xf numFmtId="0" fontId="66" fillId="0" borderId="0" xfId="10" applyFont="1" applyAlignment="1">
      <alignment horizontal="center" vertical="top"/>
    </xf>
    <xf numFmtId="0" fontId="67" fillId="0" borderId="0" xfId="10" applyFont="1" applyAlignment="1">
      <alignment horizontal="center" vertical="top" wrapText="1"/>
    </xf>
    <xf numFmtId="0" fontId="68" fillId="0" borderId="0" xfId="10" applyFont="1" applyAlignment="1">
      <alignment horizontal="left" vertical="top"/>
    </xf>
    <xf numFmtId="0" fontId="65" fillId="6" borderId="15" xfId="10" applyFont="1" applyFill="1" applyBorder="1" applyAlignment="1" applyProtection="1">
      <alignment horizontal="left" vertical="top"/>
      <protection locked="0"/>
    </xf>
    <xf numFmtId="0" fontId="65" fillId="6" borderId="19" xfId="10" applyFont="1" applyFill="1" applyBorder="1" applyAlignment="1" applyProtection="1">
      <alignment horizontal="left" vertical="top"/>
      <protection locked="0"/>
    </xf>
    <xf numFmtId="0" fontId="65" fillId="6" borderId="76" xfId="10" applyFont="1" applyFill="1" applyBorder="1" applyAlignment="1" applyProtection="1">
      <alignment horizontal="left" vertical="top"/>
      <protection locked="0"/>
    </xf>
    <xf numFmtId="173" fontId="65" fillId="0" borderId="75" xfId="10" applyNumberFormat="1" applyFont="1" applyBorder="1" applyAlignment="1">
      <alignment horizontal="right" vertical="top"/>
    </xf>
    <xf numFmtId="167" fontId="65" fillId="0" borderId="17" xfId="14" applyNumberFormat="1" applyFont="1" applyFill="1" applyBorder="1" applyAlignment="1" applyProtection="1">
      <alignment horizontal="right" vertical="top"/>
    </xf>
    <xf numFmtId="173" fontId="65" fillId="0" borderId="3" xfId="10" applyNumberFormat="1" applyFont="1" applyBorder="1" applyAlignment="1">
      <alignment horizontal="right" vertical="top"/>
    </xf>
    <xf numFmtId="167" fontId="65" fillId="0" borderId="20" xfId="14" applyNumberFormat="1" applyFont="1" applyFill="1" applyBorder="1" applyAlignment="1" applyProtection="1">
      <alignment horizontal="right" vertical="top"/>
    </xf>
    <xf numFmtId="173" fontId="65" fillId="0" borderId="8" xfId="10" applyNumberFormat="1" applyFont="1" applyBorder="1" applyAlignment="1">
      <alignment horizontal="right" vertical="top"/>
    </xf>
    <xf numFmtId="167" fontId="65" fillId="0" borderId="77" xfId="14" applyNumberFormat="1" applyFont="1" applyFill="1" applyBorder="1" applyAlignment="1" applyProtection="1">
      <alignment horizontal="right" vertical="top"/>
    </xf>
    <xf numFmtId="173" fontId="65" fillId="6" borderId="75" xfId="10" applyNumberFormat="1" applyFont="1" applyFill="1" applyBorder="1" applyAlignment="1" applyProtection="1">
      <alignment horizontal="right" vertical="top"/>
      <protection locked="0"/>
    </xf>
    <xf numFmtId="173" fontId="65" fillId="6" borderId="3" xfId="10" applyNumberFormat="1" applyFont="1" applyFill="1" applyBorder="1" applyAlignment="1" applyProtection="1">
      <alignment horizontal="right" vertical="top"/>
      <protection locked="0"/>
    </xf>
    <xf numFmtId="173" fontId="65" fillId="6" borderId="8" xfId="10" applyNumberFormat="1" applyFont="1" applyFill="1" applyBorder="1" applyAlignment="1" applyProtection="1">
      <alignment horizontal="right" vertical="top"/>
      <protection locked="0"/>
    </xf>
    <xf numFmtId="0" fontId="65" fillId="6" borderId="75" xfId="10" applyFont="1" applyFill="1" applyBorder="1" applyAlignment="1" applyProtection="1">
      <alignment horizontal="center" vertical="top"/>
      <protection locked="0"/>
    </xf>
    <xf numFmtId="44" fontId="65" fillId="6" borderId="75" xfId="13" applyFont="1" applyFill="1" applyBorder="1" applyAlignment="1" applyProtection="1">
      <alignment horizontal="right" vertical="top"/>
      <protection locked="0"/>
    </xf>
    <xf numFmtId="44" fontId="65" fillId="0" borderId="75" xfId="13" applyFont="1" applyFill="1" applyBorder="1" applyAlignment="1" applyProtection="1">
      <alignment horizontal="right" vertical="top"/>
    </xf>
    <xf numFmtId="44" fontId="65" fillId="6" borderId="30" xfId="13" applyFont="1" applyFill="1" applyBorder="1" applyAlignment="1" applyProtection="1">
      <alignment horizontal="right" vertical="top"/>
      <protection locked="0"/>
    </xf>
    <xf numFmtId="44" fontId="65" fillId="6" borderId="2" xfId="13" applyFont="1" applyFill="1" applyBorder="1" applyAlignment="1" applyProtection="1">
      <alignment horizontal="right" vertical="top"/>
      <protection locked="0"/>
    </xf>
    <xf numFmtId="44" fontId="65" fillId="0" borderId="42" xfId="13" applyFont="1" applyFill="1" applyBorder="1" applyAlignment="1" applyProtection="1">
      <alignment horizontal="right" vertical="top"/>
    </xf>
    <xf numFmtId="0" fontId="65" fillId="6" borderId="43" xfId="10" applyFont="1" applyFill="1" applyBorder="1" applyAlignment="1" applyProtection="1">
      <alignment horizontal="center" vertical="top"/>
      <protection locked="0"/>
    </xf>
    <xf numFmtId="44" fontId="65" fillId="6" borderId="43" xfId="13" applyFont="1" applyFill="1" applyBorder="1" applyAlignment="1" applyProtection="1">
      <alignment horizontal="right" vertical="top"/>
      <protection locked="0"/>
    </xf>
    <xf numFmtId="44" fontId="65" fillId="0" borderId="43" xfId="13" applyFont="1" applyFill="1" applyBorder="1" applyAlignment="1" applyProtection="1">
      <alignment horizontal="right" vertical="top"/>
    </xf>
    <xf numFmtId="44" fontId="65" fillId="6" borderId="3" xfId="13" applyFont="1" applyFill="1" applyBorder="1" applyAlignment="1" applyProtection="1">
      <alignment horizontal="right" vertical="top"/>
      <protection locked="0"/>
    </xf>
    <xf numFmtId="44" fontId="65" fillId="6" borderId="82" xfId="13" applyFont="1" applyFill="1" applyBorder="1" applyAlignment="1" applyProtection="1">
      <alignment horizontal="right" vertical="top"/>
      <protection locked="0"/>
    </xf>
    <xf numFmtId="44" fontId="65" fillId="0" borderId="20" xfId="13" applyFont="1" applyFill="1" applyBorder="1" applyAlignment="1" applyProtection="1">
      <alignment horizontal="right" vertical="top"/>
    </xf>
    <xf numFmtId="0" fontId="68" fillId="6" borderId="19" xfId="10" applyFont="1" applyFill="1" applyBorder="1" applyAlignment="1" applyProtection="1">
      <alignment horizontal="left" vertical="top"/>
      <protection locked="0"/>
    </xf>
    <xf numFmtId="44" fontId="65" fillId="0" borderId="3" xfId="13" applyFont="1" applyFill="1" applyBorder="1" applyAlignment="1" applyProtection="1">
      <alignment horizontal="right" vertical="top"/>
    </xf>
    <xf numFmtId="44" fontId="65" fillId="0" borderId="2" xfId="13" applyFont="1" applyFill="1" applyBorder="1" applyAlignment="1" applyProtection="1">
      <alignment horizontal="right" vertical="top"/>
    </xf>
    <xf numFmtId="0" fontId="65" fillId="6" borderId="8" xfId="10" applyFont="1" applyFill="1" applyBorder="1" applyAlignment="1" applyProtection="1">
      <alignment horizontal="center" vertical="top"/>
      <protection locked="0"/>
    </xf>
    <xf numFmtId="44" fontId="65" fillId="6" borderId="8" xfId="13" applyFont="1" applyFill="1" applyBorder="1" applyAlignment="1" applyProtection="1">
      <alignment horizontal="right" vertical="top"/>
      <protection locked="0"/>
    </xf>
    <xf numFmtId="44" fontId="65" fillId="0" borderId="8" xfId="13" applyFont="1" applyFill="1" applyBorder="1" applyAlignment="1" applyProtection="1">
      <alignment horizontal="right" vertical="top"/>
    </xf>
    <xf numFmtId="44" fontId="65" fillId="6" borderId="25" xfId="13" applyFont="1" applyFill="1" applyBorder="1" applyAlignment="1" applyProtection="1">
      <alignment horizontal="right" vertical="top"/>
      <protection locked="0"/>
    </xf>
    <xf numFmtId="44" fontId="65" fillId="0" borderId="77" xfId="13" applyFont="1" applyFill="1" applyBorder="1" applyAlignment="1" applyProtection="1">
      <alignment horizontal="right" vertical="top"/>
    </xf>
    <xf numFmtId="0" fontId="69" fillId="0" borderId="6" xfId="10" applyFont="1" applyBorder="1" applyAlignment="1">
      <alignment horizontal="left" vertical="top" indent="3"/>
    </xf>
    <xf numFmtId="0" fontId="69" fillId="0" borderId="6" xfId="10" applyFont="1" applyBorder="1" applyAlignment="1">
      <alignment horizontal="center" vertical="top"/>
    </xf>
    <xf numFmtId="44" fontId="69" fillId="0" borderId="6" xfId="10" applyNumberFormat="1" applyFont="1" applyBorder="1" applyAlignment="1">
      <alignment horizontal="right" vertical="top"/>
    </xf>
    <xf numFmtId="0" fontId="70" fillId="0" borderId="78" xfId="10" applyFont="1" applyBorder="1" applyAlignment="1">
      <alignment horizontal="center" vertical="center" wrapText="1"/>
    </xf>
    <xf numFmtId="0" fontId="71" fillId="0" borderId="79" xfId="10" applyFont="1" applyBorder="1" applyAlignment="1">
      <alignment horizontal="center" vertical="center" wrapText="1"/>
    </xf>
    <xf numFmtId="0" fontId="71" fillId="0" borderId="83" xfId="10" applyFont="1" applyBorder="1" applyAlignment="1">
      <alignment horizontal="center" vertical="center" wrapText="1"/>
    </xf>
    <xf numFmtId="0" fontId="71" fillId="0" borderId="80" xfId="10" applyFont="1" applyBorder="1" applyAlignment="1">
      <alignment horizontal="center" vertical="center" wrapText="1"/>
    </xf>
    <xf numFmtId="0" fontId="70" fillId="0" borderId="78" xfId="10" applyFont="1" applyBorder="1" applyAlignment="1" applyProtection="1">
      <alignment horizontal="center" vertical="center"/>
      <protection locked="0"/>
    </xf>
    <xf numFmtId="0" fontId="71" fillId="0" borderId="79" xfId="10" applyFont="1" applyBorder="1" applyAlignment="1" applyProtection="1">
      <alignment horizontal="center" vertical="center"/>
      <protection locked="0"/>
    </xf>
    <xf numFmtId="0" fontId="71" fillId="0" borderId="79" xfId="10" applyFont="1" applyBorder="1" applyAlignment="1" applyProtection="1">
      <alignment horizontal="center" vertical="center" wrapText="1"/>
      <protection locked="0"/>
    </xf>
    <xf numFmtId="0" fontId="71" fillId="0" borderId="80" xfId="10" applyFont="1" applyBorder="1" applyAlignment="1" applyProtection="1">
      <alignment horizontal="center" vertical="center" wrapText="1"/>
      <protection locked="0"/>
    </xf>
    <xf numFmtId="0" fontId="2" fillId="0" borderId="10" xfId="0" applyFont="1" applyBorder="1"/>
    <xf numFmtId="0" fontId="72" fillId="0" borderId="10" xfId="0" applyFont="1" applyBorder="1"/>
    <xf numFmtId="0" fontId="63" fillId="0" borderId="0" xfId="0" applyFont="1" applyAlignment="1">
      <alignment horizontal="left" wrapText="1"/>
    </xf>
    <xf numFmtId="0" fontId="4" fillId="0" borderId="0" xfId="0" applyFont="1" applyAlignment="1">
      <alignment horizontal="left" wrapText="1"/>
    </xf>
    <xf numFmtId="44" fontId="1" fillId="0" borderId="13" xfId="13" applyFont="1" applyBorder="1"/>
    <xf numFmtId="44" fontId="0" fillId="0" borderId="90" xfId="0" applyNumberFormat="1" applyBorder="1"/>
    <xf numFmtId="44" fontId="0" fillId="0" borderId="13" xfId="0" applyNumberFormat="1" applyBorder="1"/>
    <xf numFmtId="44" fontId="0" fillId="0" borderId="13" xfId="13" applyFont="1" applyBorder="1"/>
    <xf numFmtId="0" fontId="63" fillId="0" borderId="12" xfId="0" applyFont="1" applyBorder="1" applyAlignment="1">
      <alignment horizontal="left" wrapText="1"/>
    </xf>
    <xf numFmtId="44" fontId="4" fillId="0" borderId="13" xfId="0" applyNumberFormat="1" applyFont="1" applyBorder="1"/>
    <xf numFmtId="44" fontId="5" fillId="7" borderId="53" xfId="0" applyNumberFormat="1" applyFont="1" applyFill="1" applyBorder="1" applyAlignment="1">
      <alignment horizontal="center"/>
    </xf>
    <xf numFmtId="44" fontId="4" fillId="0" borderId="13" xfId="13" applyFont="1" applyBorder="1"/>
    <xf numFmtId="44" fontId="4" fillId="0" borderId="81" xfId="13" applyFont="1" applyBorder="1" applyAlignment="1">
      <alignment horizontal="center"/>
    </xf>
    <xf numFmtId="0" fontId="0" fillId="0" borderId="25" xfId="0" applyBorder="1"/>
    <xf numFmtId="0" fontId="0" fillId="0" borderId="24" xfId="0" applyBorder="1"/>
    <xf numFmtId="0" fontId="2" fillId="0" borderId="12" xfId="0" applyFont="1" applyBorder="1"/>
    <xf numFmtId="0" fontId="2" fillId="7" borderId="81" xfId="0" applyFont="1" applyFill="1" applyBorder="1" applyAlignment="1">
      <alignment horizontal="center"/>
    </xf>
    <xf numFmtId="0" fontId="2" fillId="7" borderId="11" xfId="0" applyFont="1" applyFill="1" applyBorder="1" applyAlignment="1">
      <alignment horizontal="center"/>
    </xf>
    <xf numFmtId="0" fontId="0" fillId="6" borderId="12" xfId="0" applyFill="1" applyBorder="1"/>
    <xf numFmtId="0" fontId="0" fillId="6" borderId="0" xfId="0" applyFill="1"/>
    <xf numFmtId="0" fontId="0" fillId="6" borderId="13" xfId="0" applyFill="1" applyBorder="1"/>
    <xf numFmtId="44" fontId="0" fillId="0" borderId="11" xfId="13" applyFont="1" applyBorder="1"/>
    <xf numFmtId="0" fontId="73" fillId="6" borderId="38" xfId="0" applyFont="1" applyFill="1" applyBorder="1" applyAlignment="1">
      <alignment horizontal="center"/>
    </xf>
    <xf numFmtId="0" fontId="73" fillId="6" borderId="56" xfId="0" applyFont="1" applyFill="1" applyBorder="1" applyAlignment="1">
      <alignment horizontal="center"/>
    </xf>
    <xf numFmtId="0" fontId="73" fillId="6" borderId="39" xfId="0" applyFont="1" applyFill="1" applyBorder="1" applyAlignment="1">
      <alignment horizontal="center"/>
    </xf>
    <xf numFmtId="0" fontId="2" fillId="6" borderId="0" xfId="0" applyFont="1" applyFill="1" applyAlignment="1">
      <alignment horizontal="center"/>
    </xf>
    <xf numFmtId="0" fontId="0" fillId="6" borderId="0" xfId="0" applyFill="1" applyAlignment="1">
      <alignment horizontal="center"/>
    </xf>
    <xf numFmtId="0" fontId="2" fillId="6" borderId="0" xfId="0" applyFont="1" applyFill="1"/>
    <xf numFmtId="0" fontId="2" fillId="6" borderId="13" xfId="0" applyFont="1" applyFill="1" applyBorder="1" applyAlignment="1">
      <alignment horizontal="center"/>
    </xf>
    <xf numFmtId="0" fontId="0" fillId="6" borderId="13" xfId="0" applyFill="1" applyBorder="1" applyAlignment="1">
      <alignment horizontal="center"/>
    </xf>
    <xf numFmtId="0" fontId="2" fillId="6" borderId="13" xfId="0" applyFont="1" applyFill="1" applyBorder="1"/>
    <xf numFmtId="0" fontId="2" fillId="7" borderId="55" xfId="0" applyFont="1" applyFill="1" applyBorder="1" applyAlignment="1">
      <alignment horizontal="center"/>
    </xf>
    <xf numFmtId="44" fontId="0" fillId="0" borderId="0" xfId="13" applyFont="1" applyFill="1" applyBorder="1"/>
    <xf numFmtId="0" fontId="0" fillId="6" borderId="10" xfId="0" applyFill="1" applyBorder="1"/>
    <xf numFmtId="0" fontId="0" fillId="6" borderId="7" xfId="0" applyFill="1" applyBorder="1"/>
    <xf numFmtId="0" fontId="0" fillId="6" borderId="11" xfId="0" applyFill="1" applyBorder="1"/>
    <xf numFmtId="166" fontId="17" fillId="0" borderId="10" xfId="10" applyNumberFormat="1" applyBorder="1" applyAlignment="1" applyProtection="1">
      <alignment vertical="top"/>
      <protection locked="0"/>
    </xf>
    <xf numFmtId="166" fontId="17" fillId="0" borderId="7" xfId="10" applyNumberFormat="1" applyBorder="1" applyAlignment="1" applyProtection="1">
      <alignment vertical="top"/>
      <protection locked="0"/>
    </xf>
    <xf numFmtId="166" fontId="17" fillId="6" borderId="81" xfId="10" applyNumberFormat="1" applyFill="1" applyBorder="1" applyAlignment="1" applyProtection="1">
      <alignment horizontal="center" vertical="center"/>
      <protection locked="0"/>
    </xf>
    <xf numFmtId="0" fontId="17" fillId="0" borderId="0" xfId="10" applyAlignment="1" applyProtection="1">
      <alignment horizontal="left" vertical="top"/>
      <protection locked="0"/>
    </xf>
    <xf numFmtId="166" fontId="17" fillId="0" borderId="88" xfId="10" applyNumberFormat="1" applyBorder="1" applyAlignment="1" applyProtection="1">
      <alignment vertical="top"/>
      <protection locked="0"/>
    </xf>
    <xf numFmtId="166" fontId="17" fillId="0" borderId="89" xfId="10" applyNumberFormat="1" applyBorder="1" applyAlignment="1" applyProtection="1">
      <alignment vertical="top"/>
      <protection locked="0"/>
    </xf>
    <xf numFmtId="166" fontId="17" fillId="6" borderId="81" xfId="10" applyNumberFormat="1" applyFill="1" applyBorder="1" applyAlignment="1" applyProtection="1">
      <alignment horizontal="center" vertical="top"/>
      <protection locked="0"/>
    </xf>
    <xf numFmtId="0" fontId="26" fillId="0" borderId="66" xfId="10" applyFont="1" applyBorder="1" applyAlignment="1">
      <alignment horizontal="left" vertical="center" wrapText="1"/>
    </xf>
    <xf numFmtId="0" fontId="31" fillId="0" borderId="59" xfId="10" applyFont="1" applyBorder="1" applyAlignment="1">
      <alignment horizontal="left" vertical="center" wrapText="1"/>
    </xf>
    <xf numFmtId="0" fontId="24" fillId="0" borderId="70" xfId="10" applyFont="1" applyBorder="1" applyAlignment="1">
      <alignment horizontal="left" vertical="center" wrapText="1"/>
    </xf>
    <xf numFmtId="0" fontId="31" fillId="0" borderId="72" xfId="10" applyFont="1" applyBorder="1" applyAlignment="1">
      <alignment horizontal="left" vertical="center" wrapText="1"/>
    </xf>
    <xf numFmtId="0" fontId="31" fillId="0" borderId="59" xfId="10" applyFont="1" applyBorder="1" applyAlignment="1">
      <alignment vertical="top" wrapText="1"/>
    </xf>
    <xf numFmtId="0" fontId="38" fillId="6" borderId="48" xfId="10" applyFont="1" applyFill="1" applyBorder="1" applyAlignment="1" applyProtection="1">
      <alignment horizontal="center" vertical="center" wrapText="1"/>
      <protection locked="0"/>
    </xf>
    <xf numFmtId="171" fontId="38" fillId="6" borderId="65" xfId="10" applyNumberFormat="1" applyFont="1" applyFill="1" applyBorder="1" applyAlignment="1" applyProtection="1">
      <alignment horizontal="center" vertical="center" wrapText="1"/>
      <protection locked="0"/>
    </xf>
    <xf numFmtId="0" fontId="22" fillId="0" borderId="0" xfId="10" applyFont="1" applyAlignment="1">
      <alignment vertical="top"/>
    </xf>
    <xf numFmtId="43" fontId="0" fillId="3" borderId="15" xfId="15" applyFont="1" applyFill="1" applyBorder="1" applyAlignment="1" applyProtection="1">
      <alignment horizontal="left" wrapText="1"/>
      <protection locked="0"/>
    </xf>
    <xf numFmtId="43" fontId="0" fillId="3" borderId="16" xfId="15" applyFont="1" applyFill="1" applyBorder="1" applyAlignment="1" applyProtection="1">
      <alignment horizontal="left" wrapText="1"/>
      <protection locked="0"/>
    </xf>
    <xf numFmtId="43" fontId="0" fillId="3" borderId="15" xfId="15" applyFont="1" applyFill="1" applyBorder="1" applyProtection="1">
      <protection locked="0"/>
    </xf>
    <xf numFmtId="43" fontId="0" fillId="3" borderId="16" xfId="15" applyFont="1" applyFill="1" applyBorder="1" applyAlignment="1" applyProtection="1">
      <alignment horizontal="center"/>
      <protection locked="0"/>
    </xf>
    <xf numFmtId="43" fontId="0" fillId="3" borderId="15" xfId="15" applyFont="1" applyFill="1" applyBorder="1" applyAlignment="1" applyProtection="1">
      <alignment horizontal="center"/>
      <protection locked="0"/>
    </xf>
    <xf numFmtId="43" fontId="0" fillId="3" borderId="17" xfId="15" applyFont="1" applyFill="1" applyBorder="1" applyAlignment="1" applyProtection="1">
      <alignment horizontal="right"/>
      <protection locked="0"/>
    </xf>
    <xf numFmtId="43" fontId="0" fillId="3" borderId="15" xfId="15" applyFont="1" applyFill="1" applyBorder="1" applyAlignment="1" applyProtection="1">
      <alignment horizontal="right"/>
      <protection locked="0"/>
    </xf>
    <xf numFmtId="43" fontId="0" fillId="3" borderId="17" xfId="15" applyFont="1" applyFill="1" applyBorder="1" applyProtection="1">
      <protection locked="0"/>
    </xf>
    <xf numFmtId="43" fontId="0" fillId="0" borderId="15" xfId="15" applyFont="1" applyBorder="1" applyProtection="1"/>
    <xf numFmtId="43" fontId="0" fillId="0" borderId="16" xfId="15" applyFont="1" applyBorder="1" applyProtection="1"/>
    <xf numFmtId="43" fontId="0" fillId="3" borderId="16" xfId="15" applyFont="1" applyFill="1" applyBorder="1" applyProtection="1">
      <protection locked="0"/>
    </xf>
    <xf numFmtId="43" fontId="0" fillId="0" borderId="17" xfId="15" applyFont="1" applyBorder="1" applyProtection="1"/>
    <xf numFmtId="43" fontId="0" fillId="3" borderId="19" xfId="15" applyFont="1" applyFill="1" applyBorder="1" applyAlignment="1" applyProtection="1">
      <alignment horizontal="left" wrapText="1"/>
      <protection locked="0"/>
    </xf>
    <xf numFmtId="43" fontId="0" fillId="3" borderId="18" xfId="15" applyFont="1" applyFill="1" applyBorder="1" applyAlignment="1" applyProtection="1">
      <alignment horizontal="left" wrapText="1"/>
      <protection locked="0"/>
    </xf>
    <xf numFmtId="43" fontId="0" fillId="3" borderId="19" xfId="15" applyFont="1" applyFill="1" applyBorder="1" applyAlignment="1" applyProtection="1">
      <alignment horizontal="left"/>
      <protection locked="0"/>
    </xf>
    <xf numFmtId="43" fontId="0" fillId="3" borderId="18" xfId="15" applyFont="1" applyFill="1" applyBorder="1" applyAlignment="1" applyProtection="1">
      <alignment horizontal="center"/>
      <protection locked="0"/>
    </xf>
    <xf numFmtId="43" fontId="0" fillId="3" borderId="19" xfId="15" applyFont="1" applyFill="1" applyBorder="1" applyAlignment="1" applyProtection="1">
      <alignment horizontal="center"/>
      <protection locked="0"/>
    </xf>
    <xf numFmtId="43" fontId="0" fillId="3" borderId="20" xfId="15" applyFont="1" applyFill="1" applyBorder="1" applyProtection="1">
      <protection locked="0"/>
    </xf>
    <xf numFmtId="43" fontId="0" fillId="3" borderId="19" xfId="15" applyFont="1" applyFill="1" applyBorder="1" applyProtection="1">
      <protection locked="0"/>
    </xf>
    <xf numFmtId="43" fontId="0" fillId="0" borderId="19" xfId="15" applyFont="1" applyBorder="1" applyProtection="1"/>
    <xf numFmtId="43" fontId="0" fillId="0" borderId="18" xfId="15" applyFont="1" applyBorder="1" applyProtection="1"/>
    <xf numFmtId="43" fontId="0" fillId="3" borderId="18" xfId="15" applyFont="1" applyFill="1" applyBorder="1" applyProtection="1">
      <protection locked="0"/>
    </xf>
    <xf numFmtId="43" fontId="0" fillId="0" borderId="20" xfId="15" applyFont="1" applyBorder="1" applyProtection="1"/>
    <xf numFmtId="43" fontId="0" fillId="0" borderId="21" xfId="15" applyFont="1" applyBorder="1" applyProtection="1"/>
    <xf numFmtId="43" fontId="0" fillId="0" borderId="22" xfId="15" applyFont="1" applyBorder="1" applyProtection="1"/>
    <xf numFmtId="43" fontId="0" fillId="0" borderId="23" xfId="15" applyFont="1" applyBorder="1" applyProtection="1"/>
    <xf numFmtId="0" fontId="0" fillId="0" borderId="10" xfId="0" applyBorder="1"/>
    <xf numFmtId="44" fontId="1" fillId="0" borderId="93" xfId="13" applyFont="1" applyBorder="1"/>
    <xf numFmtId="44" fontId="1" fillId="0" borderId="11" xfId="13" applyFont="1" applyBorder="1"/>
    <xf numFmtId="0" fontId="2" fillId="7" borderId="94" xfId="0" applyFont="1" applyFill="1" applyBorder="1" applyAlignment="1">
      <alignment horizontal="center"/>
    </xf>
    <xf numFmtId="44" fontId="1" fillId="0" borderId="77" xfId="13" applyFont="1" applyFill="1" applyBorder="1"/>
    <xf numFmtId="0" fontId="2" fillId="6" borderId="12" xfId="0" applyFont="1" applyFill="1" applyBorder="1"/>
    <xf numFmtId="0" fontId="2" fillId="7" borderId="77" xfId="0" applyFont="1" applyFill="1" applyBorder="1" applyAlignment="1">
      <alignment horizontal="center"/>
    </xf>
    <xf numFmtId="44" fontId="4" fillId="0" borderId="81" xfId="0" applyNumberFormat="1" applyFont="1" applyBorder="1"/>
    <xf numFmtId="10" fontId="4" fillId="0" borderId="81" xfId="14" applyNumberFormat="1" applyFont="1" applyBorder="1" applyAlignment="1">
      <alignment horizontal="right" vertical="center" wrapText="1"/>
    </xf>
    <xf numFmtId="0" fontId="4" fillId="0" borderId="77" xfId="1" quotePrefix="1" applyFont="1" applyBorder="1" applyAlignment="1">
      <alignment horizontal="right" wrapText="1"/>
    </xf>
    <xf numFmtId="3" fontId="0" fillId="0" borderId="0" xfId="0" applyNumberFormat="1"/>
    <xf numFmtId="0" fontId="77" fillId="0" borderId="0" xfId="0" applyFont="1"/>
    <xf numFmtId="0" fontId="16" fillId="0" borderId="0" xfId="10" applyFont="1" applyAlignment="1">
      <alignment vertical="top" wrapText="1"/>
    </xf>
    <xf numFmtId="5" fontId="10" fillId="6" borderId="0" xfId="4" applyFont="1" applyFill="1" applyProtection="1">
      <protection locked="0"/>
    </xf>
    <xf numFmtId="169" fontId="10" fillId="6" borderId="0" xfId="4" applyNumberFormat="1" applyFont="1" applyFill="1" applyProtection="1">
      <protection locked="0"/>
    </xf>
    <xf numFmtId="9" fontId="10" fillId="6" borderId="0" xfId="4" applyNumberFormat="1" applyFont="1" applyFill="1" applyProtection="1">
      <protection locked="0"/>
    </xf>
    <xf numFmtId="172" fontId="10" fillId="6" borderId="0" xfId="4" applyNumberFormat="1" applyFont="1" applyFill="1" applyProtection="1">
      <protection locked="0"/>
    </xf>
    <xf numFmtId="0" fontId="0" fillId="0" borderId="0" xfId="0" applyAlignment="1">
      <alignment horizontal="center" wrapText="1"/>
    </xf>
    <xf numFmtId="42" fontId="0" fillId="0" borderId="0" xfId="0" applyNumberFormat="1" applyAlignment="1" applyProtection="1">
      <alignment wrapText="1"/>
      <protection locked="0"/>
    </xf>
    <xf numFmtId="3" fontId="0" fillId="0" borderId="0" xfId="0" applyNumberFormat="1" applyProtection="1">
      <protection locked="0"/>
    </xf>
    <xf numFmtId="172" fontId="0" fillId="0" borderId="0" xfId="0" applyNumberFormat="1" applyProtection="1">
      <protection locked="0"/>
    </xf>
    <xf numFmtId="41" fontId="0" fillId="0" borderId="0" xfId="0" applyNumberFormat="1" applyAlignment="1" applyProtection="1">
      <alignment wrapText="1"/>
      <protection locked="0"/>
    </xf>
    <xf numFmtId="172" fontId="0" fillId="0" borderId="29" xfId="0" applyNumberFormat="1" applyBorder="1"/>
    <xf numFmtId="172" fontId="0" fillId="0" borderId="30" xfId="0" applyNumberFormat="1" applyBorder="1"/>
    <xf numFmtId="172" fontId="0" fillId="0" borderId="96" xfId="0" applyNumberFormat="1" applyBorder="1"/>
    <xf numFmtId="0" fontId="0" fillId="3" borderId="47" xfId="0" applyFill="1" applyBorder="1" applyAlignment="1" applyProtection="1">
      <alignment wrapText="1"/>
      <protection locked="0"/>
    </xf>
    <xf numFmtId="3" fontId="0" fillId="3" borderId="30" xfId="0" applyNumberFormat="1" applyFill="1" applyBorder="1" applyProtection="1">
      <protection locked="0"/>
    </xf>
    <xf numFmtId="0" fontId="0" fillId="3" borderId="47" xfId="0" applyFill="1" applyBorder="1" applyProtection="1">
      <protection locked="0"/>
    </xf>
    <xf numFmtId="0" fontId="0" fillId="3" borderId="30" xfId="0" applyFill="1" applyBorder="1" applyProtection="1">
      <protection locked="0"/>
    </xf>
    <xf numFmtId="0" fontId="23" fillId="6" borderId="43" xfId="10" applyFont="1" applyFill="1" applyBorder="1" applyAlignment="1" applyProtection="1">
      <alignment horizontal="center" vertical="top"/>
      <protection locked="0"/>
    </xf>
    <xf numFmtId="43" fontId="0" fillId="3" borderId="0" xfId="0" applyNumberFormat="1" applyFill="1" applyProtection="1">
      <protection locked="0"/>
    </xf>
    <xf numFmtId="43" fontId="0" fillId="0" borderId="4" xfId="0" applyNumberFormat="1" applyBorder="1"/>
    <xf numFmtId="0" fontId="34" fillId="0" borderId="0" xfId="11" applyAlignment="1" applyProtection="1">
      <alignment wrapText="1"/>
    </xf>
    <xf numFmtId="0" fontId="17" fillId="6" borderId="97" xfId="10" applyFill="1" applyBorder="1" applyAlignment="1" applyProtection="1">
      <alignment horizontal="left" vertical="top"/>
      <protection locked="0"/>
    </xf>
    <xf numFmtId="167" fontId="0" fillId="0" borderId="0" xfId="0" applyNumberFormat="1" applyAlignment="1">
      <alignment horizontal="right"/>
    </xf>
    <xf numFmtId="44" fontId="17" fillId="0" borderId="0" xfId="13" applyFont="1" applyAlignment="1" applyProtection="1">
      <alignment horizontal="left" vertical="top"/>
    </xf>
    <xf numFmtId="0" fontId="41" fillId="0" borderId="40" xfId="10" applyFont="1" applyBorder="1" applyAlignment="1">
      <alignment horizontal="left" vertical="top"/>
    </xf>
    <xf numFmtId="0" fontId="41" fillId="0" borderId="91" xfId="10" applyFont="1" applyBorder="1" applyAlignment="1">
      <alignment horizontal="left" vertical="top"/>
    </xf>
    <xf numFmtId="0" fontId="41" fillId="0" borderId="95" xfId="10" applyFont="1" applyBorder="1" applyAlignment="1">
      <alignment horizontal="left" vertical="top"/>
    </xf>
    <xf numFmtId="0" fontId="17" fillId="0" borderId="99" xfId="10" applyBorder="1" applyAlignment="1">
      <alignment horizontal="left" vertical="top"/>
    </xf>
    <xf numFmtId="0" fontId="17" fillId="0" borderId="82" xfId="10" applyBorder="1" applyAlignment="1">
      <alignment horizontal="left" vertical="top"/>
    </xf>
    <xf numFmtId="0" fontId="17" fillId="0" borderId="25" xfId="10" applyBorder="1" applyAlignment="1">
      <alignment horizontal="left" vertical="top"/>
    </xf>
    <xf numFmtId="0" fontId="79" fillId="0" borderId="0" xfId="12" applyFont="1"/>
    <xf numFmtId="2" fontId="52" fillId="0" borderId="0" xfId="12" applyNumberFormat="1"/>
    <xf numFmtId="0" fontId="34" fillId="3" borderId="45" xfId="11" applyFill="1" applyBorder="1" applyAlignment="1" applyProtection="1">
      <alignment horizontal="center" vertical="center"/>
      <protection locked="0"/>
    </xf>
    <xf numFmtId="0" fontId="23" fillId="0" borderId="49" xfId="10" applyFont="1" applyBorder="1" applyAlignment="1">
      <alignment vertical="top" wrapText="1"/>
    </xf>
    <xf numFmtId="0" fontId="23" fillId="0" borderId="50" xfId="10" applyFont="1" applyBorder="1" applyAlignment="1">
      <alignment horizontal="right" vertical="top" wrapText="1"/>
    </xf>
    <xf numFmtId="0" fontId="23" fillId="0" borderId="49" xfId="10" applyFont="1" applyBorder="1" applyAlignment="1">
      <alignment horizontal="right" vertical="top" wrapText="1"/>
    </xf>
    <xf numFmtId="0" fontId="49" fillId="0" borderId="0" xfId="10" applyFont="1" applyAlignment="1">
      <alignment horizontal="left" vertical="top" indent="1"/>
    </xf>
    <xf numFmtId="5" fontId="81" fillId="0" borderId="0" xfId="4" applyFont="1" applyAlignment="1">
      <alignment wrapText="1"/>
    </xf>
    <xf numFmtId="5" fontId="82" fillId="0" borderId="0" xfId="4" applyFont="1"/>
    <xf numFmtId="5" fontId="82" fillId="4" borderId="0" xfId="4" applyFont="1" applyFill="1"/>
    <xf numFmtId="44" fontId="17" fillId="6" borderId="41" xfId="13" applyFont="1" applyFill="1" applyBorder="1" applyAlignment="1" applyProtection="1">
      <alignment horizontal="left" vertical="top"/>
      <protection locked="0"/>
    </xf>
    <xf numFmtId="44" fontId="17" fillId="6" borderId="92" xfId="13" applyFont="1" applyFill="1" applyBorder="1" applyAlignment="1" applyProtection="1">
      <alignment horizontal="left" vertical="top"/>
      <protection locked="0"/>
    </xf>
    <xf numFmtId="44" fontId="17" fillId="6" borderId="98" xfId="13" applyFont="1" applyFill="1" applyBorder="1" applyAlignment="1" applyProtection="1">
      <alignment horizontal="left" vertical="top"/>
      <protection locked="0"/>
    </xf>
    <xf numFmtId="0" fontId="17" fillId="0" borderId="0" xfId="10" applyAlignment="1">
      <alignment horizontal="left" vertical="center"/>
    </xf>
    <xf numFmtId="0" fontId="49" fillId="0" borderId="0" xfId="10" applyFont="1" applyAlignment="1">
      <alignment horizontal="left" vertical="center"/>
    </xf>
    <xf numFmtId="0" fontId="17" fillId="0" borderId="45" xfId="10" applyBorder="1" applyAlignment="1">
      <alignment horizontal="left" vertical="top"/>
    </xf>
    <xf numFmtId="3" fontId="11" fillId="4" borderId="2" xfId="4" applyNumberFormat="1" applyFont="1" applyFill="1" applyBorder="1" applyAlignment="1">
      <alignment horizontal="center" wrapText="1"/>
    </xf>
    <xf numFmtId="39" fontId="11" fillId="4" borderId="2" xfId="4" applyNumberFormat="1" applyFont="1" applyFill="1" applyBorder="1" applyAlignment="1">
      <alignment horizontal="center" wrapText="1"/>
    </xf>
    <xf numFmtId="5" fontId="1" fillId="4" borderId="47" xfId="4" applyFont="1" applyFill="1" applyBorder="1"/>
    <xf numFmtId="41" fontId="10" fillId="4" borderId="29" xfId="8" applyNumberFormat="1" applyFont="1" applyFill="1" applyBorder="1" applyAlignment="1" applyProtection="1">
      <alignment horizontal="right"/>
    </xf>
    <xf numFmtId="3" fontId="11" fillId="4" borderId="47" xfId="4" applyNumberFormat="1" applyFont="1" applyFill="1" applyBorder="1" applyAlignment="1">
      <alignment horizontal="center" wrapText="1"/>
    </xf>
    <xf numFmtId="41" fontId="11" fillId="4" borderId="47" xfId="4" applyNumberFormat="1" applyFont="1" applyFill="1" applyBorder="1" applyAlignment="1">
      <alignment horizontal="center" wrapText="1"/>
    </xf>
    <xf numFmtId="41" fontId="11" fillId="4" borderId="47" xfId="4" applyNumberFormat="1" applyFont="1" applyFill="1" applyBorder="1" applyAlignment="1">
      <alignment horizontal="center"/>
    </xf>
    <xf numFmtId="173" fontId="65" fillId="6" borderId="75" xfId="13" applyNumberFormat="1" applyFont="1" applyFill="1" applyBorder="1" applyAlignment="1" applyProtection="1">
      <alignment horizontal="right" vertical="top"/>
      <protection locked="0"/>
    </xf>
    <xf numFmtId="173" fontId="65" fillId="0" borderId="75" xfId="13" applyNumberFormat="1" applyFont="1" applyFill="1" applyBorder="1" applyAlignment="1" applyProtection="1">
      <alignment horizontal="right" vertical="top"/>
    </xf>
    <xf numFmtId="167" fontId="65" fillId="0" borderId="17" xfId="14" applyNumberFormat="1" applyFont="1" applyFill="1" applyBorder="1" applyAlignment="1" applyProtection="1">
      <alignment vertical="top"/>
    </xf>
    <xf numFmtId="173" fontId="65" fillId="6" borderId="3" xfId="13" applyNumberFormat="1" applyFont="1" applyFill="1" applyBorder="1" applyAlignment="1" applyProtection="1">
      <alignment horizontal="right" vertical="top"/>
      <protection locked="0"/>
    </xf>
    <xf numFmtId="173" fontId="65" fillId="0" borderId="3" xfId="13" applyNumberFormat="1" applyFont="1" applyFill="1" applyBorder="1" applyAlignment="1" applyProtection="1">
      <alignment horizontal="right" vertical="top"/>
    </xf>
    <xf numFmtId="167" fontId="65" fillId="0" borderId="20" xfId="10" applyNumberFormat="1" applyFont="1" applyBorder="1" applyAlignment="1">
      <alignment vertical="top"/>
    </xf>
    <xf numFmtId="173" fontId="65" fillId="6" borderId="8" xfId="13" applyNumberFormat="1" applyFont="1" applyFill="1" applyBorder="1" applyAlignment="1" applyProtection="1">
      <alignment horizontal="right" vertical="top"/>
      <protection locked="0"/>
    </xf>
    <xf numFmtId="173" fontId="65" fillId="0" borderId="8" xfId="13" applyNumberFormat="1" applyFont="1" applyFill="1" applyBorder="1" applyAlignment="1" applyProtection="1">
      <alignment horizontal="right" vertical="top"/>
    </xf>
    <xf numFmtId="167" fontId="65" fillId="0" borderId="77" xfId="10" applyNumberFormat="1" applyFont="1" applyBorder="1" applyAlignment="1">
      <alignment vertical="top"/>
    </xf>
    <xf numFmtId="0" fontId="49" fillId="0" borderId="0" xfId="10" applyFont="1" applyAlignment="1">
      <alignment horizontal="center" vertical="top"/>
    </xf>
    <xf numFmtId="0" fontId="48" fillId="0" borderId="0" xfId="10" applyFont="1" applyAlignment="1">
      <alignment horizontal="center" vertical="top"/>
    </xf>
    <xf numFmtId="44" fontId="17" fillId="6" borderId="3" xfId="10" applyNumberFormat="1" applyFill="1" applyBorder="1" applyAlignment="1" applyProtection="1">
      <alignment horizontal="center" vertical="top"/>
      <protection locked="0"/>
    </xf>
    <xf numFmtId="0" fontId="17" fillId="6" borderId="3" xfId="10" applyFill="1" applyBorder="1" applyAlignment="1" applyProtection="1">
      <alignment horizontal="center" vertical="top"/>
      <protection locked="0"/>
    </xf>
    <xf numFmtId="0" fontId="2" fillId="10" borderId="19" xfId="0" applyFont="1" applyFill="1" applyBorder="1"/>
    <xf numFmtId="0" fontId="0" fillId="6" borderId="20" xfId="0" applyFill="1" applyBorder="1" applyProtection="1">
      <protection locked="0"/>
    </xf>
    <xf numFmtId="0" fontId="2" fillId="10" borderId="76" xfId="0" applyFont="1" applyFill="1" applyBorder="1"/>
    <xf numFmtId="0" fontId="34" fillId="6" borderId="77" xfId="11" applyFill="1" applyBorder="1" applyProtection="1">
      <protection locked="0"/>
    </xf>
    <xf numFmtId="0" fontId="0" fillId="6" borderId="77" xfId="0" applyFill="1" applyBorder="1" applyProtection="1">
      <protection locked="0"/>
    </xf>
    <xf numFmtId="0" fontId="8" fillId="10" borderId="19" xfId="0" applyFont="1" applyFill="1" applyBorder="1" applyAlignment="1">
      <alignment horizontal="center"/>
    </xf>
    <xf numFmtId="0" fontId="8" fillId="10" borderId="76" xfId="0" applyFont="1" applyFill="1" applyBorder="1" applyAlignment="1">
      <alignment horizontal="center"/>
    </xf>
    <xf numFmtId="0" fontId="8" fillId="10" borderId="15" xfId="0" applyFont="1" applyFill="1" applyBorder="1" applyAlignment="1">
      <alignment horizontal="center"/>
    </xf>
    <xf numFmtId="0" fontId="0" fillId="6" borderId="17" xfId="0" applyFill="1" applyBorder="1" applyProtection="1">
      <protection locked="0"/>
    </xf>
    <xf numFmtId="0" fontId="2" fillId="10" borderId="15" xfId="0" applyFont="1" applyFill="1" applyBorder="1"/>
    <xf numFmtId="0" fontId="2" fillId="6" borderId="20" xfId="0" applyFont="1" applyFill="1" applyBorder="1" applyProtection="1">
      <protection locked="0"/>
    </xf>
    <xf numFmtId="0" fontId="0" fillId="0" borderId="20" xfId="0" applyBorder="1"/>
    <xf numFmtId="0" fontId="2" fillId="6" borderId="17" xfId="0" applyFont="1" applyFill="1" applyBorder="1" applyAlignment="1" applyProtection="1">
      <alignment horizontal="left"/>
      <protection locked="0"/>
    </xf>
    <xf numFmtId="167" fontId="4" fillId="9" borderId="3" xfId="0" applyNumberFormat="1" applyFont="1" applyFill="1" applyBorder="1" applyAlignment="1">
      <alignment horizontal="center"/>
    </xf>
    <xf numFmtId="49" fontId="3" fillId="0" borderId="0" xfId="1" applyNumberFormat="1"/>
    <xf numFmtId="0" fontId="84" fillId="0" borderId="0" xfId="1" applyFont="1" applyAlignment="1">
      <alignment horizontal="center"/>
    </xf>
    <xf numFmtId="0" fontId="3" fillId="0" borderId="0" xfId="1"/>
    <xf numFmtId="0" fontId="3" fillId="0" borderId="0" xfId="1" applyAlignment="1">
      <alignment horizontal="center"/>
    </xf>
    <xf numFmtId="0" fontId="86" fillId="0" borderId="0" xfId="1" applyFont="1"/>
    <xf numFmtId="0" fontId="87" fillId="0" borderId="0" xfId="1" applyFont="1" applyAlignment="1">
      <alignment horizontal="center"/>
    </xf>
    <xf numFmtId="0" fontId="87" fillId="0" borderId="0" xfId="1" applyFont="1"/>
    <xf numFmtId="49" fontId="3" fillId="0" borderId="0" xfId="1" applyNumberFormat="1" applyAlignment="1">
      <alignment horizontal="right"/>
    </xf>
    <xf numFmtId="0" fontId="3" fillId="6" borderId="102" xfId="1" applyFill="1" applyBorder="1" applyProtection="1">
      <protection locked="0"/>
    </xf>
    <xf numFmtId="0" fontId="3" fillId="6" borderId="84" xfId="1" applyFill="1" applyBorder="1" applyProtection="1">
      <protection locked="0"/>
    </xf>
    <xf numFmtId="0" fontId="3" fillId="6" borderId="103" xfId="1" applyFill="1" applyBorder="1" applyProtection="1">
      <protection locked="0"/>
    </xf>
    <xf numFmtId="0" fontId="3" fillId="6" borderId="28" xfId="1" applyFill="1" applyBorder="1" applyProtection="1">
      <protection locked="0"/>
    </xf>
    <xf numFmtId="0" fontId="3" fillId="6" borderId="0" xfId="1" applyFill="1" applyProtection="1">
      <protection locked="0"/>
    </xf>
    <xf numFmtId="0" fontId="3" fillId="6" borderId="29" xfId="1" applyFill="1" applyBorder="1" applyProtection="1">
      <protection locked="0"/>
    </xf>
    <xf numFmtId="0" fontId="3" fillId="6" borderId="14" xfId="1" applyFill="1" applyBorder="1" applyProtection="1">
      <protection locked="0"/>
    </xf>
    <xf numFmtId="0" fontId="3" fillId="6" borderId="47" xfId="1" applyFill="1" applyBorder="1" applyProtection="1">
      <protection locked="0"/>
    </xf>
    <xf numFmtId="0" fontId="3" fillId="6" borderId="104" xfId="1" applyFill="1" applyBorder="1" applyProtection="1">
      <protection locked="0"/>
    </xf>
    <xf numFmtId="0" fontId="3" fillId="14" borderId="0" xfId="1" applyFill="1" applyAlignment="1">
      <alignment horizontal="center"/>
    </xf>
    <xf numFmtId="0" fontId="89" fillId="0" borderId="0" xfId="1" applyFont="1" applyAlignment="1">
      <alignment horizontal="center"/>
    </xf>
    <xf numFmtId="0" fontId="17" fillId="0" borderId="0" xfId="10" applyAlignment="1" applyProtection="1">
      <alignment horizontal="left" vertical="top" wrapText="1"/>
      <protection locked="0"/>
    </xf>
    <xf numFmtId="0" fontId="22" fillId="0" borderId="0" xfId="10" applyFont="1" applyAlignment="1">
      <alignment horizontal="center" vertical="top"/>
    </xf>
    <xf numFmtId="39" fontId="61" fillId="0" borderId="0" xfId="4" applyNumberFormat="1" applyFont="1" applyAlignment="1">
      <alignment wrapText="1"/>
    </xf>
    <xf numFmtId="0" fontId="23" fillId="6" borderId="3" xfId="10" applyFont="1" applyFill="1" applyBorder="1" applyAlignment="1" applyProtection="1">
      <alignment horizontal="center" vertical="top"/>
      <protection locked="0"/>
    </xf>
    <xf numFmtId="0" fontId="48" fillId="0" borderId="0" xfId="10" applyFont="1" applyAlignment="1">
      <alignment horizontal="left" vertical="center"/>
    </xf>
    <xf numFmtId="173" fontId="0" fillId="0" borderId="47" xfId="0" applyNumberFormat="1" applyBorder="1"/>
    <xf numFmtId="0" fontId="13" fillId="0" borderId="0" xfId="0" applyFont="1"/>
    <xf numFmtId="0" fontId="4" fillId="0" borderId="0" xfId="0" applyFont="1"/>
    <xf numFmtId="41" fontId="4" fillId="0" borderId="0" xfId="0" applyNumberFormat="1" applyFont="1"/>
    <xf numFmtId="167" fontId="4" fillId="0" borderId="0" xfId="0" applyNumberFormat="1" applyFont="1"/>
    <xf numFmtId="173" fontId="4" fillId="3" borderId="0" xfId="0" applyNumberFormat="1" applyFont="1" applyFill="1" applyProtection="1">
      <protection locked="0"/>
    </xf>
    <xf numFmtId="173" fontId="4" fillId="0" borderId="0" xfId="0" applyNumberFormat="1" applyFont="1"/>
    <xf numFmtId="173" fontId="4" fillId="3" borderId="47" xfId="0" applyNumberFormat="1" applyFont="1" applyFill="1" applyBorder="1" applyProtection="1">
      <protection locked="0"/>
    </xf>
    <xf numFmtId="173" fontId="4" fillId="0" borderId="47" xfId="0" applyNumberFormat="1" applyFont="1" applyBorder="1"/>
    <xf numFmtId="173" fontId="4" fillId="0" borderId="45" xfId="0" applyNumberFormat="1" applyFont="1" applyBorder="1"/>
    <xf numFmtId="14" fontId="3" fillId="6" borderId="47" xfId="1" applyNumberFormat="1" applyFill="1" applyBorder="1" applyProtection="1">
      <protection locked="0"/>
    </xf>
    <xf numFmtId="0" fontId="73" fillId="2" borderId="73" xfId="0" applyFont="1" applyFill="1" applyBorder="1" applyAlignment="1">
      <alignment horizontal="center"/>
    </xf>
    <xf numFmtId="0" fontId="73" fillId="2" borderId="74" xfId="0" applyFont="1" applyFill="1" applyBorder="1" applyAlignment="1">
      <alignment horizontal="center"/>
    </xf>
    <xf numFmtId="0" fontId="73" fillId="2" borderId="52" xfId="0" applyFont="1" applyFill="1" applyBorder="1" applyAlignment="1">
      <alignment horizontal="center"/>
    </xf>
    <xf numFmtId="0" fontId="5" fillId="0" borderId="12" xfId="0" applyFont="1" applyBorder="1" applyAlignment="1">
      <alignment horizontal="left" wrapText="1"/>
    </xf>
    <xf numFmtId="0" fontId="5" fillId="0" borderId="0" xfId="0" applyFont="1" applyAlignment="1">
      <alignment horizontal="left" wrapText="1"/>
    </xf>
    <xf numFmtId="0" fontId="2" fillId="8" borderId="40" xfId="0" applyFont="1" applyFill="1" applyBorder="1" applyAlignment="1">
      <alignment horizontal="center"/>
    </xf>
    <xf numFmtId="0" fontId="2" fillId="8" borderId="85" xfId="0" applyFont="1" applyFill="1" applyBorder="1" applyAlignment="1">
      <alignment horizontal="center"/>
    </xf>
    <xf numFmtId="0" fontId="2" fillId="8" borderId="41" xfId="0" applyFont="1" applyFill="1" applyBorder="1" applyAlignment="1">
      <alignment horizontal="center"/>
    </xf>
    <xf numFmtId="0" fontId="0" fillId="0" borderId="12" xfId="0" applyBorder="1" applyAlignment="1">
      <alignment horizontal="left"/>
    </xf>
    <xf numFmtId="0" fontId="0" fillId="0" borderId="0" xfId="0" applyAlignment="1">
      <alignment horizontal="left"/>
    </xf>
    <xf numFmtId="0" fontId="4" fillId="0" borderId="12" xfId="0" applyFont="1" applyBorder="1" applyAlignment="1">
      <alignment horizontal="left"/>
    </xf>
    <xf numFmtId="0" fontId="4" fillId="0" borderId="0" xfId="0" applyFont="1" applyAlignment="1">
      <alignment horizontal="left"/>
    </xf>
    <xf numFmtId="0" fontId="5" fillId="0" borderId="10" xfId="0" applyFont="1" applyBorder="1" applyAlignment="1">
      <alignment horizontal="left" wrapText="1"/>
    </xf>
    <xf numFmtId="0" fontId="5" fillId="0" borderId="7" xfId="0" applyFont="1" applyBorder="1" applyAlignment="1">
      <alignment horizontal="left" wrapText="1"/>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8" borderId="91" xfId="0" applyFont="1" applyFill="1" applyBorder="1" applyAlignment="1">
      <alignment horizontal="center" vertical="center"/>
    </xf>
    <xf numFmtId="0" fontId="2" fillId="8" borderId="92" xfId="0" applyFont="1" applyFill="1" applyBorder="1" applyAlignment="1">
      <alignment horizontal="center" vertical="center"/>
    </xf>
    <xf numFmtId="0" fontId="2" fillId="7" borderId="86" xfId="0" applyFont="1" applyFill="1" applyBorder="1" applyAlignment="1">
      <alignment horizontal="center" vertical="center"/>
    </xf>
    <xf numFmtId="0" fontId="2" fillId="7" borderId="87" xfId="0" applyFont="1" applyFill="1" applyBorder="1" applyAlignment="1">
      <alignment horizontal="center" vertical="center"/>
    </xf>
    <xf numFmtId="0" fontId="2" fillId="7" borderId="88" xfId="0" applyFont="1" applyFill="1" applyBorder="1" applyAlignment="1">
      <alignment horizontal="center" vertical="center"/>
    </xf>
    <xf numFmtId="0" fontId="2" fillId="7" borderId="89" xfId="0" applyFont="1" applyFill="1" applyBorder="1" applyAlignment="1">
      <alignment horizontal="center" vertical="center"/>
    </xf>
    <xf numFmtId="44" fontId="0" fillId="0" borderId="84" xfId="13" applyFont="1" applyBorder="1" applyAlignment="1">
      <alignment horizontal="center"/>
    </xf>
    <xf numFmtId="44" fontId="0" fillId="0" borderId="87" xfId="13" applyFont="1" applyBorder="1" applyAlignment="1">
      <alignment horizontal="center"/>
    </xf>
    <xf numFmtId="44" fontId="0" fillId="0" borderId="0" xfId="13" applyFont="1" applyBorder="1" applyAlignment="1">
      <alignment horizontal="center"/>
    </xf>
    <xf numFmtId="44" fontId="0" fillId="0" borderId="13" xfId="13" applyFont="1" applyBorder="1" applyAlignment="1">
      <alignment horizontal="center"/>
    </xf>
    <xf numFmtId="0" fontId="5" fillId="7" borderId="73" xfId="0" applyFont="1" applyFill="1" applyBorder="1" applyAlignment="1">
      <alignment horizontal="center"/>
    </xf>
    <xf numFmtId="0" fontId="5" fillId="7" borderId="52" xfId="0" applyFont="1" applyFill="1" applyBorder="1" applyAlignment="1">
      <alignment horizontal="center"/>
    </xf>
    <xf numFmtId="0" fontId="2" fillId="0" borderId="10" xfId="0" applyFont="1" applyBorder="1" applyAlignment="1">
      <alignment horizontal="left"/>
    </xf>
    <xf numFmtId="0" fontId="2" fillId="0" borderId="7" xfId="0" applyFont="1" applyBorder="1" applyAlignment="1">
      <alignment horizontal="left"/>
    </xf>
    <xf numFmtId="0" fontId="5" fillId="0" borderId="13" xfId="0" applyFont="1" applyBorder="1" applyAlignment="1">
      <alignment horizontal="left" wrapText="1"/>
    </xf>
    <xf numFmtId="0" fontId="6" fillId="0" borderId="12" xfId="0" applyFont="1" applyBorder="1" applyAlignment="1">
      <alignment horizontal="left"/>
    </xf>
    <xf numFmtId="0" fontId="6" fillId="0" borderId="0" xfId="0" applyFont="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86" xfId="0" applyFont="1" applyBorder="1" applyAlignment="1">
      <alignment horizontal="left"/>
    </xf>
    <xf numFmtId="0" fontId="2" fillId="0" borderId="84" xfId="0" applyFont="1" applyBorder="1" applyAlignment="1">
      <alignment horizontal="left"/>
    </xf>
    <xf numFmtId="0" fontId="72" fillId="0" borderId="10" xfId="0" applyFont="1" applyBorder="1" applyAlignment="1">
      <alignment horizontal="left"/>
    </xf>
    <xf numFmtId="0" fontId="72" fillId="0" borderId="7" xfId="0" applyFont="1" applyBorder="1" applyAlignment="1">
      <alignment horizontal="left"/>
    </xf>
    <xf numFmtId="0" fontId="72" fillId="0" borderId="95" xfId="0" applyFont="1" applyBorder="1" applyAlignment="1">
      <alignment horizontal="left"/>
    </xf>
    <xf numFmtId="0" fontId="72" fillId="0" borderId="26" xfId="0" applyFont="1" applyBorder="1" applyAlignment="1">
      <alignment horizontal="left"/>
    </xf>
    <xf numFmtId="0" fontId="75" fillId="0" borderId="12" xfId="0" applyFont="1" applyBorder="1" applyAlignment="1">
      <alignment horizontal="left"/>
    </xf>
    <xf numFmtId="0" fontId="75" fillId="0" borderId="0" xfId="0" applyFont="1" applyAlignment="1">
      <alignment horizontal="left"/>
    </xf>
    <xf numFmtId="0" fontId="76" fillId="0" borderId="0" xfId="0" applyFont="1" applyAlignment="1">
      <alignment horizontal="center"/>
    </xf>
    <xf numFmtId="0" fontId="2" fillId="13" borderId="18" xfId="0" applyFont="1" applyFill="1" applyBorder="1" applyAlignment="1">
      <alignment horizontal="center"/>
    </xf>
    <xf numFmtId="0" fontId="2" fillId="13" borderId="5" xfId="0" applyFont="1" applyFill="1" applyBorder="1" applyAlignment="1">
      <alignment horizontal="center"/>
    </xf>
    <xf numFmtId="0" fontId="2" fillId="13" borderId="101" xfId="0" applyFont="1" applyFill="1" applyBorder="1" applyAlignment="1">
      <alignment horizontal="center"/>
    </xf>
    <xf numFmtId="0" fontId="2" fillId="12" borderId="40" xfId="0" applyFont="1" applyFill="1" applyBorder="1" applyAlignment="1">
      <alignment horizontal="center"/>
    </xf>
    <xf numFmtId="0" fontId="2" fillId="12" borderId="41" xfId="0" applyFont="1" applyFill="1" applyBorder="1" applyAlignment="1">
      <alignment horizontal="center"/>
    </xf>
    <xf numFmtId="0" fontId="57" fillId="11" borderId="40" xfId="0" applyFont="1" applyFill="1" applyBorder="1" applyAlignment="1">
      <alignment horizontal="center"/>
    </xf>
    <xf numFmtId="0" fontId="57" fillId="11" borderId="41" xfId="0" applyFont="1" applyFill="1" applyBorder="1" applyAlignment="1">
      <alignment horizontal="center"/>
    </xf>
    <xf numFmtId="0" fontId="57" fillId="11" borderId="73" xfId="0" applyFont="1" applyFill="1" applyBorder="1" applyAlignment="1">
      <alignment horizontal="center"/>
    </xf>
    <xf numFmtId="0" fontId="57" fillId="11" borderId="52" xfId="0" applyFont="1" applyFill="1" applyBorder="1" applyAlignment="1">
      <alignment horizontal="center"/>
    </xf>
    <xf numFmtId="0" fontId="57" fillId="11" borderId="38" xfId="0" applyFont="1" applyFill="1" applyBorder="1" applyAlignment="1">
      <alignment horizontal="center"/>
    </xf>
    <xf numFmtId="0" fontId="57" fillId="11" borderId="39" xfId="0" applyFont="1" applyFill="1" applyBorder="1" applyAlignment="1">
      <alignment horizontal="center"/>
    </xf>
    <xf numFmtId="0" fontId="18" fillId="0" borderId="0" xfId="10" applyFont="1" applyAlignment="1">
      <alignment horizontal="center" vertical="top"/>
    </xf>
    <xf numFmtId="1" fontId="20" fillId="0" borderId="0" xfId="10" applyNumberFormat="1" applyFont="1" applyAlignment="1">
      <alignment horizontal="center" vertical="top"/>
    </xf>
    <xf numFmtId="1" fontId="50" fillId="0" borderId="0" xfId="10" applyNumberFormat="1" applyFont="1" applyAlignment="1">
      <alignment horizontal="center" vertical="top"/>
    </xf>
    <xf numFmtId="0" fontId="19" fillId="0" borderId="0" xfId="10" applyFont="1" applyAlignment="1">
      <alignment horizontal="center" vertical="top"/>
    </xf>
    <xf numFmtId="0" fontId="17" fillId="0" borderId="0" xfId="10" applyAlignment="1">
      <alignment horizontal="left" vertical="top"/>
    </xf>
    <xf numFmtId="0" fontId="21" fillId="0" borderId="0" xfId="10" applyFont="1" applyAlignment="1">
      <alignment horizontal="center" vertical="top"/>
    </xf>
    <xf numFmtId="0" fontId="22" fillId="0" borderId="0" xfId="10" applyFont="1" applyAlignment="1">
      <alignment horizontal="center" vertical="top"/>
    </xf>
    <xf numFmtId="0" fontId="17" fillId="0" borderId="0" xfId="10" applyAlignment="1">
      <alignment horizontal="center" vertical="top"/>
    </xf>
    <xf numFmtId="0" fontId="26" fillId="0" borderId="0" xfId="10" applyFont="1" applyAlignment="1">
      <alignment horizontal="left" vertical="top"/>
    </xf>
    <xf numFmtId="0" fontId="28" fillId="0" borderId="0" xfId="10" applyFont="1" applyAlignment="1">
      <alignment horizontal="left" vertical="top"/>
    </xf>
    <xf numFmtId="0" fontId="29" fillId="0" borderId="0" xfId="10" applyFont="1" applyAlignment="1">
      <alignment horizontal="left" vertical="top"/>
    </xf>
    <xf numFmtId="0" fontId="28" fillId="0" borderId="0" xfId="10" applyFont="1" applyAlignment="1">
      <alignment horizontal="center" vertical="top"/>
    </xf>
    <xf numFmtId="0" fontId="26" fillId="0" borderId="0" xfId="10" applyFont="1" applyAlignment="1">
      <alignment horizontal="center" vertical="top"/>
    </xf>
    <xf numFmtId="0" fontId="27" fillId="0" borderId="0" xfId="10" applyFont="1" applyAlignment="1">
      <alignment horizontal="center" vertical="top"/>
    </xf>
    <xf numFmtId="1" fontId="33" fillId="0" borderId="0" xfId="10" applyNumberFormat="1" applyFont="1" applyAlignment="1">
      <alignment horizontal="center" vertical="top"/>
    </xf>
    <xf numFmtId="0" fontId="32" fillId="0" borderId="0" xfId="10" applyFont="1" applyAlignment="1">
      <alignment horizontal="center" vertical="top"/>
    </xf>
    <xf numFmtId="0" fontId="31" fillId="0" borderId="0" xfId="10" applyFont="1" applyAlignment="1">
      <alignment horizontal="center" vertical="top"/>
    </xf>
    <xf numFmtId="0" fontId="30" fillId="0" borderId="0" xfId="10" applyFont="1" applyAlignment="1">
      <alignment horizontal="center" vertical="top"/>
    </xf>
    <xf numFmtId="0" fontId="24" fillId="0" borderId="43" xfId="10" applyFont="1" applyBorder="1" applyAlignment="1">
      <alignment vertical="center"/>
    </xf>
    <xf numFmtId="0" fontId="35" fillId="0" borderId="43" xfId="10" applyFont="1" applyBorder="1" applyAlignment="1">
      <alignment vertical="top"/>
    </xf>
    <xf numFmtId="0" fontId="17" fillId="0" borderId="46" xfId="10" applyBorder="1" applyAlignment="1">
      <alignment horizontal="left" vertical="center"/>
    </xf>
    <xf numFmtId="0" fontId="17" fillId="0" borderId="45" xfId="10" applyBorder="1" applyAlignment="1">
      <alignment horizontal="left" vertical="center"/>
    </xf>
    <xf numFmtId="0" fontId="17" fillId="0" borderId="44" xfId="10" applyBorder="1" applyAlignment="1">
      <alignment horizontal="left" vertical="center"/>
    </xf>
    <xf numFmtId="0" fontId="24" fillId="0" borderId="46" xfId="10" applyFont="1" applyBorder="1" applyAlignment="1">
      <alignment vertical="center"/>
    </xf>
    <xf numFmtId="0" fontId="24" fillId="0" borderId="44" xfId="10" applyFont="1" applyBorder="1" applyAlignment="1">
      <alignment vertical="center"/>
    </xf>
    <xf numFmtId="0" fontId="34" fillId="3" borderId="46" xfId="11" applyFill="1" applyBorder="1" applyAlignment="1" applyProtection="1">
      <alignment horizontal="left" vertical="center"/>
      <protection locked="0"/>
    </xf>
    <xf numFmtId="0" fontId="17" fillId="3" borderId="45" xfId="10" applyFill="1" applyBorder="1" applyAlignment="1" applyProtection="1">
      <alignment horizontal="left" vertical="center"/>
      <protection locked="0"/>
    </xf>
    <xf numFmtId="0" fontId="17" fillId="3" borderId="44" xfId="10" applyFill="1" applyBorder="1" applyAlignment="1" applyProtection="1">
      <alignment horizontal="left" vertical="center"/>
      <protection locked="0"/>
    </xf>
    <xf numFmtId="0" fontId="24" fillId="0" borderId="0" xfId="10" applyFont="1" applyAlignment="1">
      <alignment horizontal="left" vertical="top"/>
    </xf>
    <xf numFmtId="0" fontId="24" fillId="0" borderId="0" xfId="10" applyFont="1" applyAlignment="1">
      <alignment horizontal="left" vertical="top" wrapText="1"/>
    </xf>
    <xf numFmtId="0" fontId="31" fillId="0" borderId="0" xfId="10" applyFont="1" applyAlignment="1">
      <alignment horizontal="center" vertical="top" wrapText="1"/>
    </xf>
    <xf numFmtId="0" fontId="17" fillId="0" borderId="43" xfId="10" applyBorder="1" applyAlignment="1">
      <alignment horizontal="left" vertical="center"/>
    </xf>
    <xf numFmtId="0" fontId="24" fillId="0" borderId="0" xfId="10" applyFont="1" applyAlignment="1">
      <alignment vertical="top" wrapText="1"/>
    </xf>
    <xf numFmtId="0" fontId="24" fillId="0" borderId="0" xfId="10" applyFont="1" applyAlignment="1">
      <alignment vertical="top"/>
    </xf>
    <xf numFmtId="0" fontId="36" fillId="0" borderId="0" xfId="10" applyFont="1" applyAlignment="1">
      <alignment horizontal="center" vertical="top"/>
    </xf>
    <xf numFmtId="0" fontId="38" fillId="0" borderId="0" xfId="10" applyFont="1" applyAlignment="1">
      <alignment horizontal="left" vertical="justify"/>
    </xf>
    <xf numFmtId="0" fontId="23" fillId="0" borderId="0" xfId="10" applyFont="1" applyAlignment="1">
      <alignment horizontal="center" vertical="top"/>
    </xf>
    <xf numFmtId="0" fontId="37" fillId="0" borderId="0" xfId="10" applyFont="1" applyAlignment="1">
      <alignment vertical="justify"/>
    </xf>
    <xf numFmtId="0" fontId="37" fillId="0" borderId="0" xfId="10" applyFont="1" applyAlignment="1">
      <alignment horizontal="left" vertical="justify"/>
    </xf>
    <xf numFmtId="0" fontId="37" fillId="0" borderId="0" xfId="10" applyFont="1" applyAlignment="1">
      <alignment horizontal="left" vertical="top"/>
    </xf>
    <xf numFmtId="0" fontId="38" fillId="0" borderId="0" xfId="10" applyFont="1" applyAlignment="1">
      <alignment horizontal="left" vertical="top"/>
    </xf>
    <xf numFmtId="0" fontId="39" fillId="0" borderId="0" xfId="10" applyFont="1" applyAlignment="1">
      <alignment horizontal="left" vertical="top"/>
    </xf>
    <xf numFmtId="0" fontId="31" fillId="0" borderId="43" xfId="10" applyFont="1" applyBorder="1" applyAlignment="1">
      <alignment vertical="center"/>
    </xf>
    <xf numFmtId="0" fontId="80" fillId="0" borderId="43" xfId="10" applyFont="1" applyBorder="1" applyAlignment="1">
      <alignment vertical="top"/>
    </xf>
    <xf numFmtId="0" fontId="34" fillId="0" borderId="43" xfId="11" applyBorder="1" applyAlignment="1" applyProtection="1">
      <alignment horizontal="left" vertical="center"/>
    </xf>
    <xf numFmtId="0" fontId="23" fillId="0" borderId="43" xfId="10" applyFont="1" applyBorder="1" applyAlignment="1">
      <alignment horizontal="left" vertical="center"/>
    </xf>
    <xf numFmtId="0" fontId="31" fillId="0" borderId="46" xfId="10" applyFont="1" applyBorder="1" applyAlignment="1">
      <alignment vertical="center"/>
    </xf>
    <xf numFmtId="0" fontId="31" fillId="0" borderId="44" xfId="10" applyFont="1" applyBorder="1" applyAlignment="1">
      <alignment vertical="center"/>
    </xf>
    <xf numFmtId="0" fontId="17" fillId="3" borderId="46" xfId="10" applyFill="1" applyBorder="1" applyAlignment="1" applyProtection="1">
      <alignment horizontal="left" vertical="center"/>
      <protection locked="0"/>
    </xf>
    <xf numFmtId="0" fontId="42" fillId="0" borderId="50" xfId="10" applyFont="1" applyBorder="1" applyAlignment="1">
      <alignment horizontal="left" vertical="top" wrapText="1" indent="5"/>
    </xf>
    <xf numFmtId="0" fontId="42" fillId="0" borderId="49" xfId="10" applyFont="1" applyBorder="1" applyAlignment="1">
      <alignment horizontal="left" vertical="top" wrapText="1" indent="5"/>
    </xf>
    <xf numFmtId="0" fontId="42" fillId="0" borderId="50" xfId="10" applyFont="1" applyBorder="1" applyAlignment="1">
      <alignment horizontal="left" vertical="top" wrapText="1" indent="1"/>
    </xf>
    <xf numFmtId="0" fontId="42" fillId="0" borderId="49" xfId="10" applyFont="1" applyBorder="1" applyAlignment="1">
      <alignment horizontal="left" vertical="top" wrapText="1" indent="1"/>
    </xf>
    <xf numFmtId="0" fontId="17" fillId="6" borderId="50" xfId="10" applyFill="1" applyBorder="1" applyAlignment="1" applyProtection="1">
      <alignment horizontal="left" vertical="top" wrapText="1"/>
      <protection locked="0"/>
    </xf>
    <xf numFmtId="0" fontId="17" fillId="6" borderId="49" xfId="10" applyFill="1" applyBorder="1" applyAlignment="1" applyProtection="1">
      <alignment horizontal="left" vertical="top" wrapText="1"/>
      <protection locked="0"/>
    </xf>
    <xf numFmtId="0" fontId="17" fillId="6" borderId="50" xfId="10" applyFill="1" applyBorder="1" applyAlignment="1" applyProtection="1">
      <alignment horizontal="center" vertical="top" wrapText="1"/>
      <protection locked="0"/>
    </xf>
    <xf numFmtId="0" fontId="17" fillId="6" borderId="49" xfId="10" applyFill="1" applyBorder="1" applyAlignment="1" applyProtection="1">
      <alignment horizontal="center" vertical="top" wrapText="1"/>
      <protection locked="0"/>
    </xf>
    <xf numFmtId="0" fontId="17" fillId="3" borderId="47" xfId="10" applyFill="1" applyBorder="1" applyAlignment="1" applyProtection="1">
      <alignment horizontal="center" vertical="top"/>
      <protection locked="0"/>
    </xf>
    <xf numFmtId="0" fontId="22" fillId="3" borderId="47" xfId="10" applyFont="1" applyFill="1" applyBorder="1" applyAlignment="1" applyProtection="1">
      <alignment horizontal="center" vertical="top"/>
      <protection locked="0"/>
    </xf>
    <xf numFmtId="14" fontId="22" fillId="3" borderId="47" xfId="10" applyNumberFormat="1" applyFont="1" applyFill="1" applyBorder="1" applyAlignment="1" applyProtection="1">
      <alignment horizontal="center" vertical="top"/>
      <protection locked="0"/>
    </xf>
    <xf numFmtId="0" fontId="23" fillId="0" borderId="0" xfId="10" applyFont="1" applyAlignment="1">
      <alignment horizontal="left" vertical="top"/>
    </xf>
    <xf numFmtId="166" fontId="17" fillId="6" borderId="73" xfId="10" applyNumberFormat="1" applyFill="1" applyBorder="1" applyAlignment="1" applyProtection="1">
      <alignment horizontal="center" vertical="top"/>
      <protection locked="0"/>
    </xf>
    <xf numFmtId="166" fontId="17" fillId="6" borderId="74" xfId="10" applyNumberFormat="1" applyFill="1" applyBorder="1" applyAlignment="1" applyProtection="1">
      <alignment horizontal="center" vertical="top"/>
      <protection locked="0"/>
    </xf>
    <xf numFmtId="166" fontId="17" fillId="6" borderId="52" xfId="10" applyNumberFormat="1" applyFill="1" applyBorder="1" applyAlignment="1" applyProtection="1">
      <alignment horizontal="center" vertical="top"/>
      <protection locked="0"/>
    </xf>
    <xf numFmtId="0" fontId="22" fillId="0" borderId="0" xfId="10" applyFont="1" applyAlignment="1">
      <alignment horizontal="left" vertical="top"/>
    </xf>
    <xf numFmtId="0" fontId="51" fillId="0" borderId="0" xfId="10" applyFont="1" applyAlignment="1">
      <alignment horizontal="center" vertical="center"/>
    </xf>
    <xf numFmtId="0" fontId="41" fillId="0" borderId="38" xfId="10" applyFont="1" applyBorder="1" applyAlignment="1">
      <alignment horizontal="center" vertical="top"/>
    </xf>
    <xf numFmtId="0" fontId="41" fillId="0" borderId="56" xfId="10" applyFont="1" applyBorder="1" applyAlignment="1">
      <alignment horizontal="center" vertical="top"/>
    </xf>
    <xf numFmtId="0" fontId="41" fillId="0" borderId="39" xfId="10" applyFont="1" applyBorder="1" applyAlignment="1">
      <alignment horizontal="center" vertical="top"/>
    </xf>
    <xf numFmtId="0" fontId="17" fillId="0" borderId="50" xfId="10" applyBorder="1" applyAlignment="1">
      <alignment horizontal="left" vertical="center" wrapText="1"/>
    </xf>
    <xf numFmtId="0" fontId="17" fillId="0" borderId="51" xfId="10" applyBorder="1" applyAlignment="1">
      <alignment horizontal="left" vertical="center" wrapText="1"/>
    </xf>
    <xf numFmtId="0" fontId="17" fillId="0" borderId="49" xfId="10" applyBorder="1" applyAlignment="1">
      <alignment horizontal="left" vertical="center" wrapText="1"/>
    </xf>
    <xf numFmtId="0" fontId="41" fillId="0" borderId="0" xfId="10" applyFont="1" applyAlignment="1">
      <alignment horizontal="center" vertical="top"/>
    </xf>
    <xf numFmtId="0" fontId="31" fillId="0" borderId="50" xfId="10" applyFont="1" applyBorder="1" applyAlignment="1">
      <alignment horizontal="left" vertical="center" wrapText="1"/>
    </xf>
    <xf numFmtId="0" fontId="31" fillId="0" borderId="49" xfId="10" applyFont="1" applyBorder="1" applyAlignment="1">
      <alignment horizontal="left" vertical="center" wrapText="1"/>
    </xf>
    <xf numFmtId="0" fontId="17" fillId="3" borderId="50" xfId="10" applyFill="1" applyBorder="1" applyAlignment="1" applyProtection="1">
      <alignment horizontal="left" vertical="center" wrapText="1"/>
      <protection locked="0"/>
    </xf>
    <xf numFmtId="0" fontId="17" fillId="3" borderId="51" xfId="10" applyFill="1" applyBorder="1" applyAlignment="1" applyProtection="1">
      <alignment horizontal="left" vertical="center" wrapText="1"/>
      <protection locked="0"/>
    </xf>
    <xf numFmtId="0" fontId="17" fillId="3" borderId="49" xfId="10" applyFill="1" applyBorder="1" applyAlignment="1" applyProtection="1">
      <alignment horizontal="left" vertical="center" wrapText="1"/>
      <protection locked="0"/>
    </xf>
    <xf numFmtId="0" fontId="23" fillId="0" borderId="0" xfId="10" applyFont="1" applyAlignment="1">
      <alignment horizontal="left" vertical="top" wrapText="1"/>
    </xf>
    <xf numFmtId="0" fontId="41" fillId="0" borderId="73" xfId="10" applyFont="1" applyBorder="1" applyAlignment="1">
      <alignment horizontal="center" vertical="center"/>
    </xf>
    <xf numFmtId="0" fontId="41" fillId="0" borderId="74" xfId="10" applyFont="1" applyBorder="1" applyAlignment="1">
      <alignment horizontal="center" vertical="center"/>
    </xf>
    <xf numFmtId="0" fontId="41" fillId="0" borderId="52" xfId="10" applyFont="1" applyBorder="1" applyAlignment="1">
      <alignment horizontal="center" vertical="center"/>
    </xf>
    <xf numFmtId="0" fontId="23" fillId="0" borderId="0" xfId="10" applyFont="1" applyAlignment="1">
      <alignment horizontal="left" vertical="center" wrapText="1"/>
    </xf>
    <xf numFmtId="14" fontId="17" fillId="3" borderId="47" xfId="10" applyNumberFormat="1" applyFill="1" applyBorder="1" applyAlignment="1" applyProtection="1">
      <alignment horizontal="center" vertical="top"/>
      <protection locked="0"/>
    </xf>
    <xf numFmtId="0" fontId="42" fillId="0" borderId="50" xfId="10" applyFont="1" applyBorder="1" applyAlignment="1">
      <alignment horizontal="left" vertical="top" wrapText="1" indent="4"/>
    </xf>
    <xf numFmtId="0" fontId="42" fillId="0" borderId="49" xfId="10" applyFont="1" applyBorder="1" applyAlignment="1">
      <alignment horizontal="left" vertical="top" wrapText="1" indent="4"/>
    </xf>
    <xf numFmtId="44" fontId="17" fillId="6" borderId="100" xfId="13" applyFont="1" applyFill="1" applyBorder="1" applyAlignment="1" applyProtection="1">
      <alignment horizontal="center" vertical="top"/>
      <protection locked="0"/>
    </xf>
    <xf numFmtId="44" fontId="17" fillId="6" borderId="98" xfId="13" applyFont="1" applyFill="1" applyBorder="1" applyAlignment="1" applyProtection="1">
      <alignment horizontal="center" vertical="top"/>
      <protection locked="0"/>
    </xf>
    <xf numFmtId="44" fontId="17" fillId="6" borderId="46" xfId="13" applyFont="1" applyFill="1" applyBorder="1" applyAlignment="1" applyProtection="1">
      <alignment horizontal="center" vertical="top"/>
      <protection locked="0"/>
    </xf>
    <xf numFmtId="44" fontId="17" fillId="6" borderId="92" xfId="13" applyFont="1" applyFill="1" applyBorder="1" applyAlignment="1" applyProtection="1">
      <alignment horizontal="center" vertical="top"/>
      <protection locked="0"/>
    </xf>
    <xf numFmtId="44" fontId="17" fillId="6" borderId="16" xfId="13" applyFont="1" applyFill="1" applyBorder="1" applyAlignment="1" applyProtection="1">
      <alignment horizontal="center" vertical="top"/>
      <protection locked="0"/>
    </xf>
    <xf numFmtId="44" fontId="17" fillId="6" borderId="41" xfId="13" applyFont="1" applyFill="1" applyBorder="1" applyAlignment="1" applyProtection="1">
      <alignment horizontal="center" vertical="top"/>
      <protection locked="0"/>
    </xf>
    <xf numFmtId="0" fontId="23" fillId="0" borderId="0" xfId="10" applyFont="1" applyAlignment="1">
      <alignment horizontal="left" vertical="top" wrapText="1" indent="2"/>
    </xf>
    <xf numFmtId="44" fontId="23" fillId="0" borderId="0" xfId="10" applyNumberFormat="1" applyFont="1" applyAlignment="1">
      <alignment horizontal="left" vertical="top" wrapText="1" indent="2"/>
    </xf>
    <xf numFmtId="170" fontId="23" fillId="0" borderId="0" xfId="10" applyNumberFormat="1" applyFont="1" applyAlignment="1">
      <alignment horizontal="left" vertical="top" wrapText="1" indent="2"/>
    </xf>
    <xf numFmtId="0" fontId="43" fillId="0" borderId="0" xfId="10" applyFont="1" applyAlignment="1">
      <alignment horizontal="center" vertical="top"/>
    </xf>
    <xf numFmtId="0" fontId="17" fillId="6" borderId="38" xfId="10" applyFill="1" applyBorder="1" applyAlignment="1" applyProtection="1">
      <alignment horizontal="left" vertical="top" wrapText="1"/>
      <protection locked="0"/>
    </xf>
    <xf numFmtId="0" fontId="17" fillId="6" borderId="56" xfId="10" applyFill="1" applyBorder="1" applyAlignment="1" applyProtection="1">
      <alignment horizontal="left" vertical="top" wrapText="1"/>
      <protection locked="0"/>
    </xf>
    <xf numFmtId="0" fontId="17" fillId="6" borderId="39" xfId="10" applyFill="1" applyBorder="1" applyAlignment="1" applyProtection="1">
      <alignment horizontal="left" vertical="top" wrapText="1"/>
      <protection locked="0"/>
    </xf>
    <xf numFmtId="0" fontId="17" fillId="6" borderId="12" xfId="10" applyFill="1" applyBorder="1" applyAlignment="1" applyProtection="1">
      <alignment horizontal="left" vertical="top" wrapText="1"/>
      <protection locked="0"/>
    </xf>
    <xf numFmtId="0" fontId="17" fillId="6" borderId="0" xfId="10" applyFill="1" applyAlignment="1" applyProtection="1">
      <alignment horizontal="left" vertical="top" wrapText="1"/>
      <protection locked="0"/>
    </xf>
    <xf numFmtId="0" fontId="17" fillId="6" borderId="13" xfId="10" applyFill="1" applyBorder="1" applyAlignment="1" applyProtection="1">
      <alignment horizontal="left" vertical="top" wrapText="1"/>
      <protection locked="0"/>
    </xf>
    <xf numFmtId="0" fontId="17" fillId="6" borderId="10" xfId="10" applyFill="1" applyBorder="1" applyAlignment="1" applyProtection="1">
      <alignment horizontal="left" vertical="top" wrapText="1"/>
      <protection locked="0"/>
    </xf>
    <xf numFmtId="0" fontId="17" fillId="6" borderId="7" xfId="10" applyFill="1" applyBorder="1" applyAlignment="1" applyProtection="1">
      <alignment horizontal="left" vertical="top" wrapText="1"/>
      <protection locked="0"/>
    </xf>
    <xf numFmtId="0" fontId="17" fillId="6" borderId="11" xfId="10" applyFill="1" applyBorder="1" applyAlignment="1" applyProtection="1">
      <alignment horizontal="left" vertical="top" wrapText="1"/>
      <protection locked="0"/>
    </xf>
    <xf numFmtId="0" fontId="43" fillId="0" borderId="0" xfId="10" applyFont="1" applyAlignment="1">
      <alignment horizontal="left" vertical="top"/>
    </xf>
    <xf numFmtId="0" fontId="23" fillId="0" borderId="50" xfId="10" applyFont="1" applyBorder="1" applyAlignment="1">
      <alignment horizontal="left" vertical="top" wrapText="1" indent="2"/>
    </xf>
    <xf numFmtId="0" fontId="23" fillId="0" borderId="51" xfId="10" applyFont="1" applyBorder="1" applyAlignment="1">
      <alignment horizontal="left" vertical="top" wrapText="1" indent="2"/>
    </xf>
    <xf numFmtId="0" fontId="23" fillId="0" borderId="49" xfId="10" applyFont="1" applyBorder="1" applyAlignment="1">
      <alignment horizontal="left" vertical="top" wrapText="1" indent="2"/>
    </xf>
    <xf numFmtId="44" fontId="23" fillId="6" borderId="50" xfId="10" applyNumberFormat="1" applyFont="1" applyFill="1" applyBorder="1" applyAlignment="1" applyProtection="1">
      <alignment horizontal="left" vertical="top" wrapText="1" indent="2"/>
      <protection locked="0"/>
    </xf>
    <xf numFmtId="44" fontId="23" fillId="6" borderId="51" xfId="10" applyNumberFormat="1" applyFont="1" applyFill="1" applyBorder="1" applyAlignment="1" applyProtection="1">
      <alignment horizontal="left" vertical="top" wrapText="1" indent="2"/>
      <protection locked="0"/>
    </xf>
    <xf numFmtId="44" fontId="23" fillId="6" borderId="49" xfId="10" applyNumberFormat="1" applyFont="1" applyFill="1" applyBorder="1" applyAlignment="1" applyProtection="1">
      <alignment horizontal="left" vertical="top" wrapText="1" indent="2"/>
      <protection locked="0"/>
    </xf>
    <xf numFmtId="0" fontId="22" fillId="6" borderId="56" xfId="10" applyFont="1" applyFill="1" applyBorder="1" applyAlignment="1" applyProtection="1">
      <alignment horizontal="left" vertical="top" wrapText="1"/>
      <protection locked="0"/>
    </xf>
    <xf numFmtId="0" fontId="22" fillId="6" borderId="39" xfId="10" applyFont="1" applyFill="1" applyBorder="1" applyAlignment="1" applyProtection="1">
      <alignment horizontal="left" vertical="top" wrapText="1"/>
      <protection locked="0"/>
    </xf>
    <xf numFmtId="0" fontId="22" fillId="6" borderId="12" xfId="10" applyFont="1" applyFill="1" applyBorder="1" applyAlignment="1" applyProtection="1">
      <alignment horizontal="left" vertical="top" wrapText="1"/>
      <protection locked="0"/>
    </xf>
    <xf numFmtId="0" fontId="22" fillId="6" borderId="0" xfId="10" applyFont="1" applyFill="1" applyAlignment="1" applyProtection="1">
      <alignment horizontal="left" vertical="top" wrapText="1"/>
      <protection locked="0"/>
    </xf>
    <xf numFmtId="0" fontId="22" fillId="6" borderId="13" xfId="10" applyFont="1" applyFill="1" applyBorder="1" applyAlignment="1" applyProtection="1">
      <alignment horizontal="left" vertical="top" wrapText="1"/>
      <protection locked="0"/>
    </xf>
    <xf numFmtId="0" fontId="22" fillId="6" borderId="10" xfId="10" applyFont="1" applyFill="1" applyBorder="1" applyAlignment="1" applyProtection="1">
      <alignment horizontal="left" vertical="top" wrapText="1"/>
      <protection locked="0"/>
    </xf>
    <xf numFmtId="0" fontId="22" fillId="6" borderId="7" xfId="10" applyFont="1" applyFill="1" applyBorder="1" applyAlignment="1" applyProtection="1">
      <alignment horizontal="left" vertical="top" wrapText="1"/>
      <protection locked="0"/>
    </xf>
    <xf numFmtId="0" fontId="22" fillId="6" borderId="11" xfId="10" applyFont="1" applyFill="1" applyBorder="1" applyAlignment="1" applyProtection="1">
      <alignment horizontal="left" vertical="top" wrapText="1"/>
      <protection locked="0"/>
    </xf>
    <xf numFmtId="170" fontId="23" fillId="6" borderId="50" xfId="10" applyNumberFormat="1" applyFont="1" applyFill="1" applyBorder="1" applyAlignment="1" applyProtection="1">
      <alignment horizontal="left" vertical="top" wrapText="1" indent="2"/>
      <protection locked="0"/>
    </xf>
    <xf numFmtId="170" fontId="23" fillId="6" borderId="51" xfId="10" applyNumberFormat="1" applyFont="1" applyFill="1" applyBorder="1" applyAlignment="1" applyProtection="1">
      <alignment horizontal="left" vertical="top" wrapText="1" indent="2"/>
      <protection locked="0"/>
    </xf>
    <xf numFmtId="170" fontId="23" fillId="6" borderId="49" xfId="10" applyNumberFormat="1" applyFont="1" applyFill="1" applyBorder="1" applyAlignment="1" applyProtection="1">
      <alignment horizontal="left" vertical="top" wrapText="1" indent="2"/>
      <protection locked="0"/>
    </xf>
    <xf numFmtId="0" fontId="26" fillId="0" borderId="50" xfId="10" applyFont="1" applyBorder="1" applyAlignment="1">
      <alignment horizontal="center" vertical="center" wrapText="1"/>
    </xf>
    <xf numFmtId="0" fontId="26" fillId="0" borderId="49" xfId="10" applyFont="1" applyBorder="1" applyAlignment="1">
      <alignment horizontal="center" vertical="center" wrapText="1"/>
    </xf>
    <xf numFmtId="0" fontId="38" fillId="6" borderId="50" xfId="10" applyFont="1" applyFill="1" applyBorder="1" applyAlignment="1" applyProtection="1">
      <alignment horizontal="left" vertical="center" wrapText="1"/>
      <protection locked="0"/>
    </xf>
    <xf numFmtId="0" fontId="38" fillId="6" borderId="64" xfId="10" applyFont="1" applyFill="1" applyBorder="1" applyAlignment="1" applyProtection="1">
      <alignment horizontal="left" vertical="center" wrapText="1"/>
      <protection locked="0"/>
    </xf>
    <xf numFmtId="0" fontId="74" fillId="6" borderId="67" xfId="11" applyFont="1" applyFill="1" applyBorder="1" applyAlignment="1" applyProtection="1">
      <alignment horizontal="left" vertical="center" wrapText="1"/>
      <protection locked="0"/>
    </xf>
    <xf numFmtId="0" fontId="38" fillId="6" borderId="68" xfId="10" applyFont="1" applyFill="1" applyBorder="1" applyAlignment="1" applyProtection="1">
      <alignment horizontal="left" vertical="center" wrapText="1"/>
      <protection locked="0"/>
    </xf>
    <xf numFmtId="0" fontId="38" fillId="6" borderId="69" xfId="10" applyFont="1" applyFill="1" applyBorder="1" applyAlignment="1" applyProtection="1">
      <alignment horizontal="left" vertical="center" wrapText="1"/>
      <protection locked="0"/>
    </xf>
    <xf numFmtId="0" fontId="38" fillId="0" borderId="60" xfId="10" applyFont="1" applyBorder="1" applyAlignment="1">
      <alignment horizontal="left" vertical="center" wrapText="1"/>
    </xf>
    <xf numFmtId="0" fontId="38" fillId="0" borderId="61" xfId="10" applyFont="1" applyBorder="1" applyAlignment="1">
      <alignment horizontal="left" vertical="center" wrapText="1"/>
    </xf>
    <xf numFmtId="0" fontId="38" fillId="0" borderId="62" xfId="10" applyFont="1" applyBorder="1" applyAlignment="1">
      <alignment horizontal="left" vertical="center" wrapText="1"/>
    </xf>
    <xf numFmtId="0" fontId="26" fillId="0" borderId="58" xfId="10" applyFont="1" applyBorder="1" applyAlignment="1">
      <alignment horizontal="center" vertical="center" wrapText="1"/>
    </xf>
    <xf numFmtId="0" fontId="26" fillId="0" borderId="57" xfId="10" applyFont="1" applyBorder="1" applyAlignment="1">
      <alignment horizontal="center" vertical="center" wrapText="1"/>
    </xf>
    <xf numFmtId="0" fontId="38" fillId="6" borderId="49" xfId="10" applyFont="1" applyFill="1" applyBorder="1" applyAlignment="1" applyProtection="1">
      <alignment horizontal="left" vertical="center" wrapText="1"/>
      <protection locked="0"/>
    </xf>
    <xf numFmtId="0" fontId="24" fillId="0" borderId="70" xfId="10" applyFont="1" applyBorder="1" applyAlignment="1">
      <alignment horizontal="left" vertical="center" wrapText="1"/>
    </xf>
    <xf numFmtId="0" fontId="24" fillId="0" borderId="0" xfId="10" applyFont="1" applyAlignment="1">
      <alignment horizontal="left" vertical="center" wrapText="1"/>
    </xf>
    <xf numFmtId="0" fontId="24" fillId="0" borderId="71" xfId="10" applyFont="1" applyBorder="1" applyAlignment="1">
      <alignment horizontal="left" vertical="center" wrapText="1"/>
    </xf>
    <xf numFmtId="0" fontId="17" fillId="0" borderId="0" xfId="10" applyAlignment="1">
      <alignment horizontal="left" vertical="center" wrapText="1"/>
    </xf>
    <xf numFmtId="0" fontId="17" fillId="0" borderId="71" xfId="10" applyBorder="1" applyAlignment="1">
      <alignment horizontal="left" vertical="center" wrapText="1"/>
    </xf>
    <xf numFmtId="0" fontId="44" fillId="0" borderId="0" xfId="10" applyFont="1" applyAlignment="1">
      <alignment horizontal="left" vertical="top"/>
    </xf>
    <xf numFmtId="0" fontId="38" fillId="6" borderId="60" xfId="10" applyFont="1" applyFill="1" applyBorder="1" applyAlignment="1" applyProtection="1">
      <alignment horizontal="left" vertical="center" wrapText="1"/>
      <protection locked="0"/>
    </xf>
    <xf numFmtId="0" fontId="38" fillId="6" borderId="61" xfId="10" applyFont="1" applyFill="1" applyBorder="1" applyAlignment="1" applyProtection="1">
      <alignment horizontal="left" vertical="center" wrapText="1"/>
      <protection locked="0"/>
    </xf>
    <xf numFmtId="0" fontId="38" fillId="6" borderId="62" xfId="10" applyFont="1" applyFill="1" applyBorder="1" applyAlignment="1" applyProtection="1">
      <alignment horizontal="left" vertical="center" wrapText="1"/>
      <protection locked="0"/>
    </xf>
    <xf numFmtId="0" fontId="38" fillId="6" borderId="51" xfId="10" applyFont="1" applyFill="1" applyBorder="1" applyAlignment="1" applyProtection="1">
      <alignment horizontal="left" vertical="center" wrapText="1"/>
      <protection locked="0"/>
    </xf>
    <xf numFmtId="0" fontId="38" fillId="0" borderId="50" xfId="10" applyFont="1" applyBorder="1" applyAlignment="1">
      <alignment horizontal="left" vertical="center" wrapText="1"/>
    </xf>
    <xf numFmtId="0" fontId="38" fillId="0" borderId="49" xfId="10" applyFont="1" applyBorder="1" applyAlignment="1">
      <alignment horizontal="left" vertical="center" wrapText="1"/>
    </xf>
    <xf numFmtId="0" fontId="38" fillId="0" borderId="64" xfId="10" applyFont="1" applyBorder="1" applyAlignment="1">
      <alignment horizontal="left" vertical="center" wrapText="1"/>
    </xf>
    <xf numFmtId="0" fontId="55" fillId="0" borderId="60" xfId="10" applyFont="1" applyBorder="1" applyAlignment="1">
      <alignment horizontal="center" vertical="center" wrapText="1"/>
    </xf>
    <xf numFmtId="0" fontId="55" fillId="0" borderId="61" xfId="10" applyFont="1" applyBorder="1" applyAlignment="1">
      <alignment horizontal="center" vertical="center" wrapText="1"/>
    </xf>
    <xf numFmtId="0" fontId="55" fillId="0" borderId="62" xfId="10" applyFont="1" applyBorder="1" applyAlignment="1">
      <alignment horizontal="center" vertical="center" wrapText="1"/>
    </xf>
    <xf numFmtId="0" fontId="38" fillId="0" borderId="67" xfId="10" applyFont="1" applyBorder="1" applyAlignment="1">
      <alignment horizontal="left" vertical="center" wrapText="1"/>
    </xf>
    <xf numFmtId="0" fontId="38" fillId="0" borderId="68" xfId="10" applyFont="1" applyBorder="1" applyAlignment="1">
      <alignment horizontal="left" vertical="center" wrapText="1"/>
    </xf>
    <xf numFmtId="0" fontId="38" fillId="0" borderId="69" xfId="10" applyFont="1" applyBorder="1" applyAlignment="1">
      <alignment horizontal="left" vertical="center" wrapText="1"/>
    </xf>
    <xf numFmtId="0" fontId="51" fillId="0" borderId="0" xfId="10" applyFont="1" applyAlignment="1">
      <alignment horizontal="center" vertical="top"/>
    </xf>
    <xf numFmtId="0" fontId="42" fillId="0" borderId="0" xfId="10" applyFont="1" applyAlignment="1">
      <alignment horizontal="center" vertical="top"/>
    </xf>
    <xf numFmtId="0" fontId="49" fillId="6" borderId="38" xfId="10" applyFont="1" applyFill="1" applyBorder="1" applyAlignment="1" applyProtection="1">
      <alignment horizontal="left" vertical="top" wrapText="1"/>
      <protection locked="0"/>
    </xf>
    <xf numFmtId="0" fontId="49" fillId="6" borderId="56" xfId="10" applyFont="1" applyFill="1" applyBorder="1" applyAlignment="1" applyProtection="1">
      <alignment horizontal="left" vertical="top" wrapText="1"/>
      <protection locked="0"/>
    </xf>
    <xf numFmtId="0" fontId="49" fillId="6" borderId="39" xfId="10" applyFont="1" applyFill="1" applyBorder="1" applyAlignment="1" applyProtection="1">
      <alignment horizontal="left" vertical="top" wrapText="1"/>
      <protection locked="0"/>
    </xf>
    <xf numFmtId="0" fontId="49" fillId="6" borderId="12" xfId="10" applyFont="1" applyFill="1" applyBorder="1" applyAlignment="1" applyProtection="1">
      <alignment horizontal="left" vertical="top" wrapText="1"/>
      <protection locked="0"/>
    </xf>
    <xf numFmtId="0" fontId="49" fillId="6" borderId="0" xfId="10" applyFont="1" applyFill="1" applyAlignment="1" applyProtection="1">
      <alignment horizontal="left" vertical="top" wrapText="1"/>
      <protection locked="0"/>
    </xf>
    <xf numFmtId="0" fontId="49" fillId="6" borderId="13" xfId="10" applyFont="1" applyFill="1" applyBorder="1" applyAlignment="1" applyProtection="1">
      <alignment horizontal="left" vertical="top" wrapText="1"/>
      <protection locked="0"/>
    </xf>
    <xf numFmtId="0" fontId="49" fillId="6" borderId="10" xfId="10" applyFont="1" applyFill="1" applyBorder="1" applyAlignment="1" applyProtection="1">
      <alignment horizontal="left" vertical="top" wrapText="1"/>
      <protection locked="0"/>
    </xf>
    <xf numFmtId="0" fontId="49" fillId="6" borderId="7" xfId="10" applyFont="1" applyFill="1" applyBorder="1" applyAlignment="1" applyProtection="1">
      <alignment horizontal="left" vertical="top" wrapText="1"/>
      <protection locked="0"/>
    </xf>
    <xf numFmtId="0" fontId="49" fillId="6" borderId="11" xfId="10" applyFont="1" applyFill="1" applyBorder="1" applyAlignment="1" applyProtection="1">
      <alignment horizontal="left" vertical="top" wrapText="1"/>
      <protection locked="0"/>
    </xf>
    <xf numFmtId="0" fontId="48" fillId="6" borderId="38" xfId="10" applyFont="1" applyFill="1" applyBorder="1" applyAlignment="1" applyProtection="1">
      <alignment horizontal="left" vertical="top" wrapText="1"/>
      <protection locked="0"/>
    </xf>
    <xf numFmtId="0" fontId="48" fillId="6" borderId="56" xfId="10" applyFont="1" applyFill="1" applyBorder="1" applyAlignment="1" applyProtection="1">
      <alignment horizontal="left" vertical="top" wrapText="1"/>
      <protection locked="0"/>
    </xf>
    <xf numFmtId="0" fontId="48" fillId="6" borderId="39" xfId="10" applyFont="1" applyFill="1" applyBorder="1" applyAlignment="1" applyProtection="1">
      <alignment horizontal="left" vertical="top" wrapText="1"/>
      <protection locked="0"/>
    </xf>
    <xf numFmtId="0" fontId="48" fillId="6" borderId="12" xfId="10" applyFont="1" applyFill="1" applyBorder="1" applyAlignment="1" applyProtection="1">
      <alignment horizontal="left" vertical="top" wrapText="1"/>
      <protection locked="0"/>
    </xf>
    <xf numFmtId="0" fontId="48" fillId="6" borderId="0" xfId="10" applyFont="1" applyFill="1" applyAlignment="1" applyProtection="1">
      <alignment horizontal="left" vertical="top" wrapText="1"/>
      <protection locked="0"/>
    </xf>
    <xf numFmtId="0" fontId="48" fillId="6" borderId="13" xfId="10" applyFont="1" applyFill="1" applyBorder="1" applyAlignment="1" applyProtection="1">
      <alignment horizontal="left" vertical="top" wrapText="1"/>
      <protection locked="0"/>
    </xf>
    <xf numFmtId="0" fontId="48" fillId="6" borderId="10" xfId="10" applyFont="1" applyFill="1" applyBorder="1" applyAlignment="1" applyProtection="1">
      <alignment horizontal="left" vertical="top" wrapText="1"/>
      <protection locked="0"/>
    </xf>
    <xf numFmtId="0" fontId="48" fillId="6" borderId="7" xfId="10" applyFont="1" applyFill="1" applyBorder="1" applyAlignment="1" applyProtection="1">
      <alignment horizontal="left" vertical="top" wrapText="1"/>
      <protection locked="0"/>
    </xf>
    <xf numFmtId="0" fontId="48" fillId="6" borderId="11" xfId="10" applyFont="1" applyFill="1" applyBorder="1" applyAlignment="1" applyProtection="1">
      <alignment horizontal="left" vertical="top" wrapText="1"/>
      <protection locked="0"/>
    </xf>
    <xf numFmtId="0" fontId="43" fillId="0" borderId="0" xfId="10" applyFont="1" applyAlignment="1">
      <alignment horizontal="center" vertical="top" wrapText="1"/>
    </xf>
    <xf numFmtId="0" fontId="48" fillId="0" borderId="0" xfId="10" applyFont="1" applyAlignment="1">
      <alignment horizontal="center" vertical="top"/>
    </xf>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0" fillId="0" borderId="0" xfId="0" applyAlignment="1">
      <alignment horizontal="left" wrapText="1"/>
    </xf>
    <xf numFmtId="0" fontId="2" fillId="0" borderId="0" xfId="0" applyFont="1" applyAlignment="1">
      <alignment horizontal="center"/>
    </xf>
    <xf numFmtId="5" fontId="2" fillId="0" borderId="0" xfId="4" applyFont="1" applyAlignment="1">
      <alignment horizontal="left"/>
    </xf>
    <xf numFmtId="5" fontId="0" fillId="0" borderId="0" xfId="4" applyFont="1" applyAlignment="1">
      <alignment horizontal="center"/>
    </xf>
    <xf numFmtId="5" fontId="1" fillId="0" borderId="0" xfId="4" applyFont="1" applyAlignment="1">
      <alignment horizontal="center"/>
    </xf>
    <xf numFmtId="39" fontId="61" fillId="0" borderId="0" xfId="4" applyNumberFormat="1" applyFont="1" applyAlignment="1">
      <alignment horizontal="center" wrapText="1"/>
    </xf>
    <xf numFmtId="0" fontId="13" fillId="0" borderId="1" xfId="9" applyFont="1" applyBorder="1" applyAlignment="1">
      <alignment horizontal="center" wrapText="1"/>
    </xf>
    <xf numFmtId="0" fontId="56" fillId="0" borderId="0" xfId="9" applyFont="1" applyAlignment="1">
      <alignment horizontal="left"/>
    </xf>
    <xf numFmtId="0" fontId="61" fillId="2" borderId="0" xfId="0" applyFont="1" applyFill="1" applyAlignment="1">
      <alignment horizontal="left" wrapText="1"/>
    </xf>
    <xf numFmtId="0" fontId="5" fillId="0" borderId="40" xfId="1" quotePrefix="1" applyFont="1" applyBorder="1" applyAlignment="1">
      <alignment horizontal="center"/>
    </xf>
    <xf numFmtId="0" fontId="5" fillId="0" borderId="41" xfId="1" quotePrefix="1" applyFont="1" applyBorder="1" applyAlignment="1">
      <alignment horizontal="center"/>
    </xf>
    <xf numFmtId="0" fontId="0" fillId="2" borderId="0" xfId="0" applyFill="1"/>
    <xf numFmtId="0" fontId="0" fillId="2" borderId="0" xfId="0" applyFill="1" applyAlignment="1">
      <alignment horizontal="left" wrapText="1"/>
    </xf>
    <xf numFmtId="166" fontId="2" fillId="0" borderId="0" xfId="0" applyNumberFormat="1" applyFont="1" applyAlignment="1">
      <alignment horizontal="center"/>
    </xf>
    <xf numFmtId="0" fontId="7" fillId="0" borderId="0" xfId="0" applyFont="1" applyAlignment="1">
      <alignment horizontal="left"/>
    </xf>
    <xf numFmtId="0" fontId="0" fillId="3" borderId="0" xfId="0" applyFill="1" applyAlignment="1" applyProtection="1">
      <alignment horizontal="left"/>
      <protection locked="0"/>
    </xf>
    <xf numFmtId="0" fontId="65" fillId="0" borderId="56" xfId="10" applyFont="1" applyBorder="1" applyAlignment="1">
      <alignment horizontal="center" vertical="top"/>
    </xf>
    <xf numFmtId="0" fontId="64" fillId="0" borderId="0" xfId="10" applyFont="1" applyAlignment="1">
      <alignment horizontal="center" vertical="top"/>
    </xf>
    <xf numFmtId="0" fontId="65" fillId="0" borderId="0" xfId="10" applyFont="1" applyAlignment="1">
      <alignment horizontal="center" vertical="top"/>
    </xf>
    <xf numFmtId="0" fontId="66" fillId="0" borderId="0" xfId="10" applyFont="1" applyAlignment="1">
      <alignment horizontal="center" vertical="top"/>
    </xf>
    <xf numFmtId="0" fontId="67" fillId="0" borderId="0" xfId="10" applyFont="1" applyAlignment="1">
      <alignment horizontal="center" vertical="top" wrapText="1"/>
    </xf>
    <xf numFmtId="0" fontId="83" fillId="0" borderId="0" xfId="10" applyFont="1" applyAlignment="1">
      <alignment horizontal="center" vertical="top" wrapText="1"/>
    </xf>
    <xf numFmtId="0" fontId="17" fillId="0" borderId="56" xfId="10" applyBorder="1" applyAlignment="1">
      <alignment horizontal="center" vertical="top"/>
    </xf>
    <xf numFmtId="0" fontId="16" fillId="0" borderId="0" xfId="10" applyFont="1" applyAlignment="1">
      <alignment horizontal="center" vertical="top" wrapText="1"/>
    </xf>
    <xf numFmtId="0" fontId="78" fillId="0" borderId="0" xfId="10" applyFont="1" applyAlignment="1">
      <alignment horizontal="center" vertical="top"/>
    </xf>
    <xf numFmtId="5" fontId="10" fillId="0" borderId="0" xfId="4" applyFont="1" applyAlignment="1">
      <alignment horizontal="left"/>
    </xf>
    <xf numFmtId="0" fontId="6" fillId="0" borderId="0" xfId="0" applyFont="1" applyAlignment="1">
      <alignment horizontal="left" wrapText="1"/>
    </xf>
    <xf numFmtId="0" fontId="2" fillId="0" borderId="0" xfId="0" applyFont="1" applyAlignment="1">
      <alignment horizontal="left" wrapText="1"/>
    </xf>
    <xf numFmtId="0" fontId="8" fillId="0" borderId="1" xfId="0" applyFont="1" applyBorder="1" applyAlignment="1">
      <alignment horizontal="center"/>
    </xf>
    <xf numFmtId="0" fontId="8" fillId="0" borderId="1" xfId="0" applyFont="1" applyBorder="1" applyAlignment="1">
      <alignment horizontal="center" wrapText="1"/>
    </xf>
    <xf numFmtId="0" fontId="2" fillId="0" borderId="47" xfId="0" applyFont="1" applyBorder="1" applyAlignment="1">
      <alignment horizontal="center"/>
    </xf>
    <xf numFmtId="0" fontId="84" fillId="0" borderId="0" xfId="1" applyFont="1" applyAlignment="1">
      <alignment horizontal="center"/>
    </xf>
    <xf numFmtId="0" fontId="87" fillId="0" borderId="47" xfId="1" applyFont="1" applyBorder="1" applyAlignment="1">
      <alignment horizontal="center"/>
    </xf>
    <xf numFmtId="174" fontId="87" fillId="0" borderId="47" xfId="1" applyNumberFormat="1" applyFont="1" applyBorder="1" applyAlignment="1">
      <alignment horizontal="center"/>
    </xf>
    <xf numFmtId="0" fontId="3" fillId="6" borderId="47" xfId="1" applyFill="1" applyBorder="1" applyAlignment="1" applyProtection="1">
      <alignment horizontal="center"/>
      <protection locked="0"/>
    </xf>
    <xf numFmtId="0" fontId="3" fillId="0" borderId="84" xfId="1" applyBorder="1" applyAlignment="1">
      <alignment horizontal="center"/>
    </xf>
    <xf numFmtId="0" fontId="3" fillId="0" borderId="0" xfId="1" applyAlignment="1">
      <alignment horizontal="center"/>
    </xf>
  </cellXfs>
  <cellStyles count="18">
    <cellStyle name="Comma" xfId="15" builtinId="3"/>
    <cellStyle name="Comma 10" xfId="17" xr:uid="{8AF17BCE-E1EA-4697-95EB-945FC08EDA3B}"/>
    <cellStyle name="Comma 3" xfId="2" xr:uid="{AE13CC0A-598A-422E-9F81-E189B678D826}"/>
    <cellStyle name="Currency" xfId="13" builtinId="4"/>
    <cellStyle name="Currency 2" xfId="8" xr:uid="{5E8F9988-ED03-4513-8F9E-988BA2403562}"/>
    <cellStyle name="Currency 3" xfId="7" xr:uid="{98B0D7D0-1DDA-450D-8482-2F490F394AE6}"/>
    <cellStyle name="Currency 4" xfId="3" xr:uid="{3C03A985-CD9C-4C39-ABF8-D62ED920A4A2}"/>
    <cellStyle name="Hyperlink" xfId="11" builtinId="8"/>
    <cellStyle name="Normal" xfId="0" builtinId="0"/>
    <cellStyle name="Normal 2" xfId="4" xr:uid="{F41096DD-EE5B-4CEB-8075-B1EC6059130C}"/>
    <cellStyle name="Normal 2 2" xfId="6" xr:uid="{ED96F5EA-FBFF-443F-B4B6-F4E9CC033A1A}"/>
    <cellStyle name="Normal 3" xfId="10" xr:uid="{71B4D928-5B15-4351-A7B3-7E12E7F023F3}"/>
    <cellStyle name="Normal 4" xfId="1" xr:uid="{4EF0389E-F387-4445-9439-FD9B4E166B9C}"/>
    <cellStyle name="Normal 5" xfId="12" xr:uid="{E482412F-21FE-4BDA-B36E-B300D7BA70AF}"/>
    <cellStyle name="Normal 6" xfId="16" xr:uid="{8E5573A0-D911-42B1-859E-D0F9C0A039CF}"/>
    <cellStyle name="Normal_Analysis of CompAbsence" xfId="9" xr:uid="{1E7F4114-8A23-432D-9AA3-EDCD6C3E6643}"/>
    <cellStyle name="Normal_fd2008fotabbed" xfId="5" xr:uid="{0107CAFB-FA62-4FA2-BAFC-E040D84A6281}"/>
    <cellStyle name="Percent" xfId="14" builtinId="5"/>
  </cellStyles>
  <dxfs count="0"/>
  <tableStyles count="0" defaultTableStyle="TableStyleMedium2"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7.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923926</xdr:colOff>
      <xdr:row>4</xdr:row>
      <xdr:rowOff>390525</xdr:rowOff>
    </xdr:from>
    <xdr:ext cx="4755147" cy="288607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23926" y="2695575"/>
          <a:ext cx="4755147" cy="2886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9</xdr:row>
          <xdr:rowOff>180975</xdr:rowOff>
        </xdr:from>
        <xdr:to>
          <xdr:col>1</xdr:col>
          <xdr:colOff>647700</xdr:colOff>
          <xdr:row>11</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A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180975</xdr:rowOff>
        </xdr:from>
        <xdr:to>
          <xdr:col>1</xdr:col>
          <xdr:colOff>647700</xdr:colOff>
          <xdr:row>13</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A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142875</xdr:rowOff>
        </xdr:from>
        <xdr:to>
          <xdr:col>1</xdr:col>
          <xdr:colOff>647700</xdr:colOff>
          <xdr:row>15</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A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180975</xdr:rowOff>
        </xdr:from>
        <xdr:to>
          <xdr:col>1</xdr:col>
          <xdr:colOff>647700</xdr:colOff>
          <xdr:row>17</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A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142875</xdr:rowOff>
        </xdr:from>
        <xdr:to>
          <xdr:col>1</xdr:col>
          <xdr:colOff>647700</xdr:colOff>
          <xdr:row>19</xdr:row>
          <xdr:rowOff>9525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A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142875</xdr:rowOff>
        </xdr:from>
        <xdr:to>
          <xdr:col>1</xdr:col>
          <xdr:colOff>647700</xdr:colOff>
          <xdr:row>22</xdr:row>
          <xdr:rowOff>9525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A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142875</xdr:rowOff>
        </xdr:from>
        <xdr:to>
          <xdr:col>1</xdr:col>
          <xdr:colOff>647700</xdr:colOff>
          <xdr:row>25</xdr:row>
          <xdr:rowOff>9525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A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142875</xdr:rowOff>
        </xdr:from>
        <xdr:to>
          <xdr:col>1</xdr:col>
          <xdr:colOff>647700</xdr:colOff>
          <xdr:row>28</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A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142875</xdr:rowOff>
        </xdr:from>
        <xdr:to>
          <xdr:col>1</xdr:col>
          <xdr:colOff>647700</xdr:colOff>
          <xdr:row>31</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A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33</xdr:row>
          <xdr:rowOff>123825</xdr:rowOff>
        </xdr:from>
        <xdr:to>
          <xdr:col>13</xdr:col>
          <xdr:colOff>228600</xdr:colOff>
          <xdr:row>35</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3A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nj-my.sharepoint.com/personal/matthew_gallello_dca_nj_gov/Documents/Documents/Authority%20Initial%20Working%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onj-my.sharepoint.com/personal/matthew_gallello_dca_nj_gov/Documents/FAST%20-%202020/Fire%20District/Final%20Fire%20Docs/FireBudget_MasterFi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tthew.gallello\Downloads\2022_Budget_Template_Municipal%20(4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thew.gallello\Downloads\Authority_Budget_Templat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Muni\Ventnor\2010\budget\2011%20Budget%20adopt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Users\ken\Desktop\ventnor%20levycapcalcwrkbk-mun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UDIT\Ocean%20City\Ocean%20City%20Budget%2019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UDIT\Ocean%20City\Ocean%20City%20Budget%2019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state.nj.us/My%20Documents/OAL%20Rulemaking/User-Friendly%20Budget/2014%20Electronic%20&amp;%20User-Friendly%20Budget%20Rule%20Proposal/2014%20Electronic%20&amp;%20User%20Friendly%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xaminer Dashboard"/>
      <sheetName val="KEY METRICS"/>
      <sheetName val="Instructions"/>
      <sheetName val="KEY INPUTS"/>
      <sheetName val="Cover Sheet"/>
      <sheetName val="Certification Section"/>
      <sheetName val="Division Cert."/>
      <sheetName val="Preparer Cert."/>
      <sheetName val="Preparer Other Assets Cert."/>
      <sheetName val="Internet Cert."/>
      <sheetName val="Approval Cert."/>
      <sheetName val="Approval Resolution"/>
      <sheetName val="Adoption Cert."/>
      <sheetName val="Adopted Resolution"/>
      <sheetName val="Narrative and Information"/>
      <sheetName val="Message &amp; Analysis (1)"/>
      <sheetName val="Message &amp; Analysis (2)"/>
      <sheetName val="Contact Information"/>
      <sheetName val="Questionnaire"/>
      <sheetName val="Questionnaire (2)"/>
      <sheetName val="Questionnaire (3)"/>
      <sheetName val="Commissioner Schedule (N-4)"/>
      <sheetName val="Page N-4 (2 of 2)"/>
      <sheetName val="Health Benefits (N-5)"/>
      <sheetName val="Accumulated Absences (N-6)"/>
      <sheetName val="Accumulated Absences (N-6) (2)"/>
      <sheetName val="Accumulated Absences (N-6) (3)"/>
      <sheetName val="Accumulated Absences (N-6) (4)"/>
      <sheetName val="Accumulated Absences (N-6) (5)"/>
      <sheetName val="Accumulated Absences (N-6) (6)"/>
      <sheetName val="Accumulated Absences (N-6) (7)"/>
      <sheetName val="TOTAL Accumulated Absences"/>
      <sheetName val="Financial Schedule"/>
      <sheetName val="Information Sheet"/>
      <sheetName val="F-1 Budget Summary"/>
      <sheetName val="F-2 Revenues (Proposed)"/>
      <sheetName val="Revenue Detail"/>
      <sheetName val="Revenue Detail (cont.)"/>
      <sheetName val="F-3 Appropriations (Proposed)"/>
      <sheetName val="Appropriation Detail"/>
      <sheetName val="Appropriation Detail (cont.)"/>
      <sheetName val="Appropriation Detail (cont. 2)"/>
      <sheetName val="F-4 Salary &amp; Benefit Schedule"/>
      <sheetName val="Salary &amp; Benefit Detail"/>
      <sheetName val="F-5 Capital Budget Proposed"/>
      <sheetName val="Capital Budget Detail"/>
      <sheetName val="F-6 Debt Service - Principal"/>
      <sheetName val="F-7 Debt Service - Interest"/>
      <sheetName val="F-8 Fund Balance"/>
      <sheetName val="F-9 Referendums"/>
      <sheetName val="F-10 Levy Cap Summary"/>
      <sheetName val="F-11 Shared Services"/>
      <sheetName val="F-12 Cap Exclusions"/>
    </sheetNames>
    <sheetDataSet>
      <sheetData sheetId="0" refreshError="1"/>
      <sheetData sheetId="1" refreshError="1"/>
      <sheetData sheetId="2" refreshError="1"/>
      <sheetData sheetId="3" refreshError="1"/>
      <sheetData sheetId="4">
        <row r="1">
          <cell r="B1">
            <v>2021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A3" t="str">
            <v>Atlantic City Municipal Utilities Authority</v>
          </cell>
        </row>
      </sheetData>
      <sheetData sheetId="15" refreshError="1"/>
      <sheetData sheetId="16"/>
      <sheetData sheetId="17" refreshError="1"/>
      <sheetData sheetId="18" refreshError="1"/>
      <sheetData sheetId="19" refreshError="1"/>
      <sheetData sheetId="20"/>
      <sheetData sheetId="21"/>
      <sheetData sheetId="22" refreshError="1"/>
      <sheetData sheetId="23"/>
      <sheetData sheetId="24" refreshError="1"/>
      <sheetData sheetId="25"/>
      <sheetData sheetId="26"/>
      <sheetData sheetId="27"/>
      <sheetData sheetId="28"/>
      <sheetData sheetId="29"/>
      <sheetData sheetId="30"/>
      <sheetData sheetId="31"/>
      <sheetData sheetId="32"/>
      <sheetData sheetId="33" refreshError="1"/>
      <sheetData sheetId="34">
        <row r="9">
          <cell r="B9" t="str">
            <v>Atlantic City Municipal Utilities Authority</v>
          </cell>
        </row>
      </sheetData>
      <sheetData sheetId="35" refreshError="1"/>
      <sheetData sheetId="36">
        <row r="5">
          <cell r="I5">
            <v>0</v>
          </cell>
        </row>
        <row r="6">
          <cell r="I6">
            <v>0</v>
          </cell>
        </row>
        <row r="9">
          <cell r="I9">
            <v>0</v>
          </cell>
        </row>
        <row r="10">
          <cell r="I10">
            <v>0</v>
          </cell>
        </row>
        <row r="11">
          <cell r="I11">
            <v>0</v>
          </cell>
        </row>
        <row r="12">
          <cell r="I12">
            <v>0</v>
          </cell>
        </row>
        <row r="13">
          <cell r="I13">
            <v>0</v>
          </cell>
        </row>
        <row r="14">
          <cell r="I14">
            <v>0</v>
          </cell>
        </row>
        <row r="15">
          <cell r="I15">
            <v>0</v>
          </cell>
        </row>
        <row r="16">
          <cell r="I16">
            <v>0</v>
          </cell>
        </row>
        <row r="19">
          <cell r="I19">
            <v>0</v>
          </cell>
        </row>
        <row r="20">
          <cell r="I20">
            <v>0</v>
          </cell>
        </row>
        <row r="21">
          <cell r="I21">
            <v>0</v>
          </cell>
        </row>
        <row r="22">
          <cell r="I22">
            <v>0</v>
          </cell>
        </row>
        <row r="25">
          <cell r="I25">
            <v>0</v>
          </cell>
        </row>
        <row r="26">
          <cell r="I26">
            <v>0</v>
          </cell>
        </row>
        <row r="27">
          <cell r="I27">
            <v>0</v>
          </cell>
        </row>
        <row r="28">
          <cell r="I28">
            <v>0</v>
          </cell>
        </row>
        <row r="31">
          <cell r="I31">
            <v>0</v>
          </cell>
        </row>
        <row r="32">
          <cell r="I32">
            <v>0</v>
          </cell>
        </row>
        <row r="33">
          <cell r="I33">
            <v>0</v>
          </cell>
        </row>
        <row r="34">
          <cell r="I34">
            <v>0</v>
          </cell>
        </row>
        <row r="37">
          <cell r="I37">
            <v>0</v>
          </cell>
        </row>
        <row r="38">
          <cell r="I38">
            <v>0</v>
          </cell>
        </row>
        <row r="39">
          <cell r="I39">
            <v>0</v>
          </cell>
        </row>
        <row r="40">
          <cell r="I40">
            <v>0</v>
          </cell>
        </row>
        <row r="41">
          <cell r="I41">
            <v>0</v>
          </cell>
        </row>
        <row r="42">
          <cell r="I42">
            <v>0</v>
          </cell>
        </row>
        <row r="46">
          <cell r="I46">
            <v>0</v>
          </cell>
        </row>
        <row r="47">
          <cell r="I47">
            <v>0</v>
          </cell>
        </row>
        <row r="48">
          <cell r="I48">
            <v>0</v>
          </cell>
        </row>
        <row r="49">
          <cell r="I49">
            <v>0</v>
          </cell>
        </row>
        <row r="52">
          <cell r="I52">
            <v>0</v>
          </cell>
        </row>
        <row r="53">
          <cell r="I53">
            <v>0</v>
          </cell>
        </row>
        <row r="54">
          <cell r="I54">
            <v>0</v>
          </cell>
        </row>
        <row r="55">
          <cell r="I55">
            <v>0</v>
          </cell>
        </row>
      </sheetData>
      <sheetData sheetId="37" refreshError="1"/>
      <sheetData sheetId="38" refreshError="1"/>
      <sheetData sheetId="39">
        <row r="5">
          <cell r="I5">
            <v>0</v>
          </cell>
        </row>
        <row r="6">
          <cell r="I6">
            <v>0</v>
          </cell>
        </row>
        <row r="7">
          <cell r="I7">
            <v>0</v>
          </cell>
        </row>
        <row r="10">
          <cell r="I10">
            <v>0</v>
          </cell>
        </row>
        <row r="11">
          <cell r="I11">
            <v>0</v>
          </cell>
        </row>
        <row r="12">
          <cell r="I12">
            <v>0</v>
          </cell>
        </row>
        <row r="13">
          <cell r="I13">
            <v>0</v>
          </cell>
        </row>
        <row r="14">
          <cell r="I14">
            <v>0</v>
          </cell>
        </row>
        <row r="15">
          <cell r="I15">
            <v>0</v>
          </cell>
        </row>
        <row r="16">
          <cell r="I16">
            <v>0</v>
          </cell>
        </row>
        <row r="20">
          <cell r="I20">
            <v>0</v>
          </cell>
        </row>
        <row r="21">
          <cell r="I21">
            <v>0</v>
          </cell>
        </row>
        <row r="24">
          <cell r="I24">
            <v>0</v>
          </cell>
        </row>
        <row r="25">
          <cell r="I25">
            <v>0</v>
          </cell>
        </row>
        <row r="26">
          <cell r="I26">
            <v>0</v>
          </cell>
        </row>
        <row r="27">
          <cell r="I27">
            <v>0</v>
          </cell>
        </row>
        <row r="28">
          <cell r="I28">
            <v>0</v>
          </cell>
        </row>
        <row r="29">
          <cell r="I29">
            <v>0</v>
          </cell>
        </row>
        <row r="30">
          <cell r="I30">
            <v>0</v>
          </cell>
        </row>
        <row r="34">
          <cell r="I34">
            <v>0</v>
          </cell>
        </row>
        <row r="35">
          <cell r="I35">
            <v>0</v>
          </cell>
        </row>
        <row r="38">
          <cell r="I38">
            <v>0</v>
          </cell>
        </row>
        <row r="39">
          <cell r="I39">
            <v>0</v>
          </cell>
        </row>
        <row r="40">
          <cell r="I40">
            <v>0</v>
          </cell>
        </row>
        <row r="41">
          <cell r="I41">
            <v>0</v>
          </cell>
        </row>
        <row r="42">
          <cell r="I42">
            <v>0</v>
          </cell>
        </row>
        <row r="43">
          <cell r="I43">
            <v>0</v>
          </cell>
        </row>
        <row r="44">
          <cell r="I44">
            <v>0</v>
          </cell>
        </row>
        <row r="48">
          <cell r="I48">
            <v>0</v>
          </cell>
        </row>
        <row r="49">
          <cell r="I49">
            <v>0</v>
          </cell>
        </row>
        <row r="50">
          <cell r="I50">
            <v>0</v>
          </cell>
        </row>
        <row r="53">
          <cell r="I53">
            <v>0</v>
          </cell>
        </row>
        <row r="54">
          <cell r="I54">
            <v>0</v>
          </cell>
        </row>
        <row r="55">
          <cell r="I55">
            <v>0</v>
          </cell>
        </row>
        <row r="56">
          <cell r="I56">
            <v>0</v>
          </cell>
        </row>
        <row r="57">
          <cell r="I57">
            <v>0</v>
          </cell>
        </row>
        <row r="58">
          <cell r="I58">
            <v>0</v>
          </cell>
        </row>
        <row r="60">
          <cell r="I60">
            <v>0</v>
          </cell>
        </row>
        <row r="61">
          <cell r="I61">
            <v>0</v>
          </cell>
        </row>
        <row r="62">
          <cell r="I62">
            <v>0</v>
          </cell>
        </row>
        <row r="63">
          <cell r="I63">
            <v>0</v>
          </cell>
        </row>
        <row r="64">
          <cell r="I64">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xaminer Dashboard"/>
      <sheetName val="KEY METRICS"/>
      <sheetName val="Instructions"/>
      <sheetName val="KEY INPUTS"/>
      <sheetName val="Cover Sheet"/>
      <sheetName val="Certification Section"/>
      <sheetName val="Division Cert."/>
      <sheetName val="Preparer Cert."/>
      <sheetName val="Preparer Other Assets Cert."/>
      <sheetName val="Internet Cert."/>
      <sheetName val="Approval Cert."/>
      <sheetName val="Approval Resolution"/>
      <sheetName val="Adoption Cert."/>
      <sheetName val="Adopted Resolution"/>
      <sheetName val="Narrative and Information"/>
      <sheetName val="Message &amp; Analysis (1)"/>
      <sheetName val="Message &amp; Analysis (2)"/>
      <sheetName val="Message &amp; Analysis (3)"/>
      <sheetName val="Contact Information"/>
      <sheetName val="Questionnaire"/>
      <sheetName val="Questionnaire (cont.)"/>
      <sheetName val="Questionnaire Detail"/>
      <sheetName val="Questionnaire Detail (cont.)"/>
      <sheetName val="Vehicle List"/>
      <sheetName val="Vehicle List (cont.)"/>
      <sheetName val="Commissioner Schedule (N-4)"/>
      <sheetName val="Page N-4 (2 of 2)"/>
      <sheetName val="Health Benefits (N-5)"/>
      <sheetName val="Accumulated Absences (N-6)"/>
      <sheetName val="Accumulated Absences (N-6) (2)"/>
      <sheetName val="Accumulated Absences (N-6) (3)"/>
      <sheetName val="Accumulated Absences (N-6) (4)"/>
      <sheetName val="Accumulated Absences (N-6) (5)"/>
      <sheetName val="Accumulated Absences (N-6) (6)"/>
      <sheetName val="Accumulated Absences (N-6) (7)"/>
      <sheetName val="TOTAL Accumulated Absences"/>
      <sheetName val="Financial Schedule"/>
      <sheetName val="Information Sheet"/>
      <sheetName val="F-1 Budget Summary"/>
      <sheetName val="F-2 Revenues (Proposed)"/>
      <sheetName val="Revenue Detail"/>
      <sheetName val="Revenue Detail (cont.)"/>
      <sheetName val="F-3 Appropriations (Proposed)"/>
      <sheetName val="Appropriation Detail"/>
      <sheetName val="Appropriation Detail (cont.)"/>
      <sheetName val="Appropriation Detail (cont. 2)"/>
      <sheetName val="F-4 Salary &amp; Benefit Schedule"/>
      <sheetName val="Salary &amp; Benefit Detail"/>
      <sheetName val="F-5 Capital Budget Proposed"/>
      <sheetName val="Capital Budget Detail"/>
      <sheetName val="F-6 Debt Service - Principal"/>
      <sheetName val="F-7 Debt Service - Interest"/>
      <sheetName val="F-8 Fund Balance"/>
      <sheetName val="F-9 Referendums"/>
      <sheetName val="F-10 Levy Cap Summary"/>
      <sheetName val="F-11 Shared Services"/>
      <sheetName val="F-12 Cap Exclusions"/>
    </sheetNames>
    <sheetDataSet>
      <sheetData sheetId="0" refreshError="1"/>
      <sheetData sheetId="1" refreshError="1"/>
      <sheetData sheetId="2" refreshError="1"/>
      <sheetData sheetId="3" refreshError="1"/>
      <sheetData sheetId="4">
        <row r="1">
          <cell r="B1">
            <v>2021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5">
          <cell r="I5">
            <v>0</v>
          </cell>
        </row>
        <row r="6">
          <cell r="I6">
            <v>0</v>
          </cell>
        </row>
        <row r="9">
          <cell r="I9">
            <v>0</v>
          </cell>
        </row>
        <row r="10">
          <cell r="I10">
            <v>0</v>
          </cell>
        </row>
        <row r="11">
          <cell r="I11">
            <v>0</v>
          </cell>
        </row>
        <row r="12">
          <cell r="I12">
            <v>0</v>
          </cell>
        </row>
        <row r="13">
          <cell r="I13">
            <v>0</v>
          </cell>
        </row>
        <row r="14">
          <cell r="I14">
            <v>0</v>
          </cell>
        </row>
        <row r="15">
          <cell r="I15">
            <v>0</v>
          </cell>
        </row>
        <row r="16">
          <cell r="I16">
            <v>0</v>
          </cell>
        </row>
        <row r="19">
          <cell r="I19">
            <v>0</v>
          </cell>
        </row>
        <row r="20">
          <cell r="I20">
            <v>0</v>
          </cell>
        </row>
        <row r="21">
          <cell r="I21">
            <v>0</v>
          </cell>
        </row>
        <row r="22">
          <cell r="I22">
            <v>0</v>
          </cell>
        </row>
        <row r="25">
          <cell r="I25">
            <v>0</v>
          </cell>
        </row>
        <row r="26">
          <cell r="I26">
            <v>0</v>
          </cell>
        </row>
        <row r="27">
          <cell r="I27">
            <v>0</v>
          </cell>
        </row>
        <row r="28">
          <cell r="I28">
            <v>0</v>
          </cell>
        </row>
        <row r="31">
          <cell r="I31">
            <v>0</v>
          </cell>
        </row>
        <row r="32">
          <cell r="I32">
            <v>0</v>
          </cell>
        </row>
        <row r="33">
          <cell r="I33">
            <v>0</v>
          </cell>
        </row>
        <row r="34">
          <cell r="I34">
            <v>0</v>
          </cell>
        </row>
        <row r="37">
          <cell r="I37">
            <v>0</v>
          </cell>
        </row>
        <row r="38">
          <cell r="I38">
            <v>0</v>
          </cell>
        </row>
        <row r="39">
          <cell r="I39">
            <v>0</v>
          </cell>
        </row>
        <row r="40">
          <cell r="I40">
            <v>0</v>
          </cell>
        </row>
        <row r="41">
          <cell r="I41">
            <v>0</v>
          </cell>
        </row>
        <row r="42">
          <cell r="I42">
            <v>0</v>
          </cell>
        </row>
        <row r="46">
          <cell r="I46">
            <v>0</v>
          </cell>
        </row>
        <row r="47">
          <cell r="I47">
            <v>0</v>
          </cell>
        </row>
        <row r="48">
          <cell r="I48">
            <v>0</v>
          </cell>
        </row>
        <row r="49">
          <cell r="I49">
            <v>0</v>
          </cell>
        </row>
        <row r="52">
          <cell r="I52">
            <v>0</v>
          </cell>
        </row>
        <row r="53">
          <cell r="I53">
            <v>0</v>
          </cell>
        </row>
        <row r="54">
          <cell r="I54">
            <v>0</v>
          </cell>
        </row>
        <row r="55">
          <cell r="I55">
            <v>0</v>
          </cell>
        </row>
      </sheetData>
      <sheetData sheetId="41" refreshError="1"/>
      <sheetData sheetId="42" refreshError="1"/>
      <sheetData sheetId="43">
        <row r="5">
          <cell r="I5">
            <v>0</v>
          </cell>
        </row>
        <row r="6">
          <cell r="I6">
            <v>0</v>
          </cell>
        </row>
        <row r="7">
          <cell r="I7">
            <v>0</v>
          </cell>
        </row>
        <row r="10">
          <cell r="I10">
            <v>0</v>
          </cell>
        </row>
        <row r="11">
          <cell r="I11">
            <v>0</v>
          </cell>
        </row>
        <row r="12">
          <cell r="I12">
            <v>0</v>
          </cell>
        </row>
        <row r="13">
          <cell r="I13">
            <v>0</v>
          </cell>
        </row>
        <row r="14">
          <cell r="I14">
            <v>0</v>
          </cell>
        </row>
        <row r="15">
          <cell r="I15">
            <v>0</v>
          </cell>
        </row>
        <row r="16">
          <cell r="I16">
            <v>0</v>
          </cell>
        </row>
        <row r="20">
          <cell r="I20">
            <v>0</v>
          </cell>
        </row>
        <row r="21">
          <cell r="I21">
            <v>0</v>
          </cell>
        </row>
        <row r="24">
          <cell r="I24">
            <v>0</v>
          </cell>
        </row>
        <row r="25">
          <cell r="I25">
            <v>0</v>
          </cell>
        </row>
        <row r="26">
          <cell r="I26">
            <v>0</v>
          </cell>
        </row>
        <row r="27">
          <cell r="I27">
            <v>0</v>
          </cell>
        </row>
        <row r="28">
          <cell r="I28">
            <v>0</v>
          </cell>
        </row>
        <row r="29">
          <cell r="I29">
            <v>0</v>
          </cell>
        </row>
        <row r="30">
          <cell r="I30">
            <v>0</v>
          </cell>
        </row>
        <row r="34">
          <cell r="I34">
            <v>0</v>
          </cell>
        </row>
        <row r="35">
          <cell r="I35">
            <v>0</v>
          </cell>
        </row>
        <row r="38">
          <cell r="I38">
            <v>0</v>
          </cell>
        </row>
        <row r="39">
          <cell r="I39">
            <v>0</v>
          </cell>
        </row>
        <row r="40">
          <cell r="I40">
            <v>0</v>
          </cell>
        </row>
        <row r="41">
          <cell r="I41">
            <v>0</v>
          </cell>
        </row>
        <row r="42">
          <cell r="I42">
            <v>0</v>
          </cell>
        </row>
        <row r="43">
          <cell r="I43">
            <v>0</v>
          </cell>
        </row>
        <row r="44">
          <cell r="I44">
            <v>0</v>
          </cell>
        </row>
        <row r="48">
          <cell r="I48">
            <v>0</v>
          </cell>
        </row>
        <row r="49">
          <cell r="I49">
            <v>0</v>
          </cell>
        </row>
        <row r="50">
          <cell r="I50">
            <v>0</v>
          </cell>
        </row>
        <row r="53">
          <cell r="I53">
            <v>0</v>
          </cell>
        </row>
        <row r="54">
          <cell r="I54">
            <v>0</v>
          </cell>
        </row>
        <row r="55">
          <cell r="I55">
            <v>0</v>
          </cell>
        </row>
        <row r="56">
          <cell r="I56">
            <v>0</v>
          </cell>
        </row>
        <row r="57">
          <cell r="I57">
            <v>0</v>
          </cell>
        </row>
        <row r="58">
          <cell r="I58">
            <v>0</v>
          </cell>
        </row>
        <row r="60">
          <cell r="I60">
            <v>0</v>
          </cell>
        </row>
        <row r="61">
          <cell r="I61">
            <v>0</v>
          </cell>
        </row>
        <row r="62">
          <cell r="I62">
            <v>0</v>
          </cell>
        </row>
        <row r="63">
          <cell r="I63">
            <v>0</v>
          </cell>
        </row>
        <row r="64">
          <cell r="I64">
            <v>0</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OA Codes"/>
      <sheetName val="Instructions"/>
      <sheetName val="Key Inputs"/>
      <sheetName val="Info"/>
      <sheetName val="Revenue Codes"/>
      <sheetName val="Appropriation Codes"/>
      <sheetName val="Other Codes"/>
      <sheetName val="Ranges"/>
      <sheetName val="Key Metrics"/>
      <sheetName val="Budget Projection Guide"/>
      <sheetName val="Budget Projection"/>
      <sheetName val="Advertisement"/>
      <sheetName val="Summary Data"/>
      <sheetName val="Budget Summary"/>
      <sheetName val="Tax Summary"/>
      <sheetName val="Reserve &amp; Tax Calculation"/>
      <sheetName val="Sheet A"/>
      <sheetName val="1"/>
      <sheetName val="1a"/>
      <sheetName val="2"/>
      <sheetName val="3"/>
      <sheetName val="3a"/>
      <sheetName val="App. CAP"/>
      <sheetName val="Health Ins."/>
      <sheetName val="2% Levy Cap"/>
      <sheetName val="3d"/>
      <sheetName val="4"/>
      <sheetName val="4a"/>
      <sheetName val="4b"/>
      <sheetName val="4c"/>
      <sheetName val="5"/>
      <sheetName val="6"/>
      <sheetName val="7"/>
      <sheetName val="7a"/>
      <sheetName val="7b"/>
      <sheetName val="8"/>
      <sheetName val="9"/>
      <sheetName val="9a"/>
      <sheetName val="9b"/>
      <sheetName val="9c"/>
      <sheetName val="9d"/>
      <sheetName val="9e"/>
      <sheetName val="9f"/>
      <sheetName val="9g"/>
      <sheetName val="9h"/>
      <sheetName val="9 TOTAL"/>
      <sheetName val="10"/>
      <sheetName val="10a"/>
      <sheetName val="10b"/>
      <sheetName val="10c"/>
      <sheetName val="10d"/>
      <sheetName val="10e"/>
      <sheetName val="10f"/>
      <sheetName val="10g"/>
      <sheetName val="10h"/>
      <sheetName val="10i"/>
      <sheetName val="10j"/>
      <sheetName val="10k"/>
      <sheetName val="10l"/>
      <sheetName val="10m"/>
      <sheetName val="10 TOTAL"/>
      <sheetName val="11"/>
      <sheetName val="12"/>
      <sheetName val="13"/>
      <sheetName val="14"/>
      <sheetName val="15"/>
      <sheetName val="15a"/>
      <sheetName val="15b"/>
      <sheetName val="15c"/>
      <sheetName val="15d"/>
      <sheetName val="15e"/>
      <sheetName val="15f"/>
      <sheetName val="15g"/>
      <sheetName val="15h"/>
      <sheetName val="15i"/>
      <sheetName val="15j"/>
      <sheetName val="15k"/>
      <sheetName val="15l"/>
      <sheetName val="15m"/>
      <sheetName val="15n"/>
      <sheetName val="16"/>
      <sheetName val="16a"/>
      <sheetName val="17"/>
      <sheetName val="17a"/>
      <sheetName val="18"/>
      <sheetName val="18a"/>
      <sheetName val="19"/>
      <sheetName val="20"/>
      <sheetName val="20a"/>
      <sheetName val="21"/>
      <sheetName val="22"/>
      <sheetName val="22a"/>
      <sheetName val="22b"/>
      <sheetName val="23"/>
      <sheetName val="24"/>
      <sheetName val="24a"/>
      <sheetName val="24b"/>
      <sheetName val="24c"/>
      <sheetName val="24d"/>
      <sheetName val="24e"/>
      <sheetName val="24f"/>
      <sheetName val="24g"/>
      <sheetName val="24h"/>
      <sheetName val="24i"/>
      <sheetName val="25"/>
      <sheetName val="26"/>
      <sheetName val="26a"/>
      <sheetName val="27"/>
      <sheetName val="27a"/>
      <sheetName val="28"/>
      <sheetName val="29"/>
      <sheetName val="30"/>
      <sheetName val="31-Utility1"/>
      <sheetName val="32-Utility1"/>
      <sheetName val="32a-Utility1"/>
      <sheetName val="32b-Utility1"/>
      <sheetName val="33-Utility1"/>
      <sheetName val="31-Utility2"/>
      <sheetName val="32-Utility2"/>
      <sheetName val="32a-Utility2"/>
      <sheetName val="32b-Utility2"/>
      <sheetName val="33-Utility2"/>
      <sheetName val="31-Utility3"/>
      <sheetName val="32-Utility3"/>
      <sheetName val="32a-Utility3"/>
      <sheetName val="32b-Utility3"/>
      <sheetName val="33-Utility3"/>
      <sheetName val="31-Utility4"/>
      <sheetName val="32-Utility4"/>
      <sheetName val="32a-Utility4"/>
      <sheetName val="32b-Utility4"/>
      <sheetName val="33-Utility4"/>
      <sheetName val="31-Utility5"/>
      <sheetName val="32-Utility5"/>
      <sheetName val="32a-Utility5"/>
      <sheetName val="32b-Utility5"/>
      <sheetName val="33-Utility5"/>
      <sheetName val="31-Utility6"/>
      <sheetName val="32-Utility6"/>
      <sheetName val="32a-Utility6"/>
      <sheetName val="32b-Utility6"/>
      <sheetName val="33-Utility6"/>
      <sheetName val="37"/>
      <sheetName val="38"/>
      <sheetName val="39"/>
      <sheetName val="40"/>
      <sheetName val="40a"/>
      <sheetName val="40b"/>
      <sheetName val="40b1"/>
      <sheetName val="40b2"/>
      <sheetName val="40b3"/>
      <sheetName val="40b4"/>
      <sheetName val="40b5"/>
      <sheetName val="40b6"/>
      <sheetName val="40b7"/>
      <sheetName val="40b Totals"/>
      <sheetName val="40c"/>
      <sheetName val="40c1"/>
      <sheetName val="40c2"/>
      <sheetName val="40c3"/>
      <sheetName val="40c4"/>
      <sheetName val="40c5"/>
      <sheetName val="40c6"/>
      <sheetName val="40c7"/>
      <sheetName val="40c Totals"/>
      <sheetName val="40d"/>
      <sheetName val="40d1"/>
      <sheetName val="40d2"/>
      <sheetName val="40d3"/>
      <sheetName val="40d4"/>
      <sheetName val="40d5"/>
      <sheetName val="40d6"/>
      <sheetName val="40d7"/>
      <sheetName val="40d Totals"/>
      <sheetName val="41"/>
      <sheetName val="42"/>
      <sheetName val="43"/>
      <sheetName val="44"/>
      <sheetName val="UEZ"/>
      <sheetName val="45"/>
      <sheetName val="Sheet1"/>
    </sheetNames>
    <sheetDataSet>
      <sheetData sheetId="0" refreshError="1"/>
      <sheetData sheetId="1" refreshError="1"/>
      <sheetData sheetId="2">
        <row r="5">
          <cell r="E5" t="str">
            <v xml:space="preserve"> OF MUNICIPALITY</v>
          </cell>
        </row>
        <row r="34">
          <cell r="G34" t="str">
            <v>Calendar Year</v>
          </cell>
        </row>
      </sheetData>
      <sheetData sheetId="3" refreshError="1"/>
      <sheetData sheetId="4" refreshError="1"/>
      <sheetData sheetId="5" refreshError="1"/>
      <sheetData sheetId="6" refreshError="1"/>
      <sheetData sheetId="7">
        <row r="2">
          <cell r="A2">
            <v>12</v>
          </cell>
          <cell r="B2" t="str">
            <v>20</v>
          </cell>
        </row>
        <row r="3">
          <cell r="A3">
            <v>13</v>
          </cell>
          <cell r="B3" t="str">
            <v>20a</v>
          </cell>
        </row>
        <row r="4">
          <cell r="A4">
            <v>14</v>
          </cell>
          <cell r="B4" t="str">
            <v>21</v>
          </cell>
        </row>
        <row r="5">
          <cell r="A5">
            <v>15</v>
          </cell>
          <cell r="B5" t="str">
            <v>22</v>
          </cell>
        </row>
        <row r="6">
          <cell r="A6" t="str">
            <v>15a</v>
          </cell>
          <cell r="B6" t="str">
            <v>22a</v>
          </cell>
        </row>
        <row r="7">
          <cell r="A7" t="str">
            <v>15b</v>
          </cell>
          <cell r="B7" t="str">
            <v>22b</v>
          </cell>
        </row>
        <row r="8">
          <cell r="A8" t="str">
            <v>15c</v>
          </cell>
          <cell r="B8" t="str">
            <v>23</v>
          </cell>
        </row>
        <row r="9">
          <cell r="A9" t="str">
            <v>15d</v>
          </cell>
          <cell r="B9" t="str">
            <v>24</v>
          </cell>
        </row>
        <row r="10">
          <cell r="A10" t="str">
            <v>15e</v>
          </cell>
          <cell r="B10" t="str">
            <v>24a</v>
          </cell>
        </row>
        <row r="11">
          <cell r="A11" t="str">
            <v>15f</v>
          </cell>
          <cell r="B11" t="str">
            <v>24b</v>
          </cell>
        </row>
        <row r="12">
          <cell r="A12" t="str">
            <v>15g</v>
          </cell>
          <cell r="B12" t="str">
            <v>24c</v>
          </cell>
        </row>
        <row r="13">
          <cell r="A13" t="str">
            <v>15h</v>
          </cell>
          <cell r="B13" t="str">
            <v>24d</v>
          </cell>
        </row>
        <row r="14">
          <cell r="A14" t="str">
            <v>15i</v>
          </cell>
          <cell r="B14" t="str">
            <v>24e</v>
          </cell>
        </row>
        <row r="15">
          <cell r="A15" t="str">
            <v>15j</v>
          </cell>
          <cell r="B15" t="str">
            <v>24f</v>
          </cell>
        </row>
        <row r="16">
          <cell r="A16" t="str">
            <v>15k</v>
          </cell>
          <cell r="B16" t="str">
            <v>24g</v>
          </cell>
        </row>
        <row r="17">
          <cell r="A17" t="str">
            <v>15l</v>
          </cell>
          <cell r="B17" t="str">
            <v>24h</v>
          </cell>
        </row>
        <row r="18">
          <cell r="A18" t="str">
            <v>15m</v>
          </cell>
          <cell r="B18" t="str">
            <v>24i</v>
          </cell>
        </row>
        <row r="19">
          <cell r="A19" t="str">
            <v>15n</v>
          </cell>
        </row>
        <row r="20">
          <cell r="A20">
            <v>16</v>
          </cell>
        </row>
        <row r="21">
          <cell r="A21" t="str">
            <v>16a</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KEY METRICS"/>
      <sheetName val="Mandatory Entry Checklist"/>
      <sheetName val="Instructions"/>
      <sheetName val="KEY INPUTS"/>
      <sheetName val="Budget Front Cover"/>
      <sheetName val="Cover Sheet"/>
      <sheetName val="Certification Section"/>
      <sheetName val="Division Cert. (C-1)"/>
      <sheetName val="Preparer Cert. (C-2)"/>
      <sheetName val="Internet Cert. (C-3)"/>
      <sheetName val="Approval Cert. (C-4)"/>
      <sheetName val="Approval Resolution (C-5)"/>
      <sheetName val="Adoption Cert. (C-6)"/>
      <sheetName val="Adopted Resolution (C-7)"/>
      <sheetName val="Narrative and Information"/>
      <sheetName val="Message &amp; Analysis (N-1)"/>
      <sheetName val="Message &amp; Analysis (N-1)(2)"/>
      <sheetName val="Message &amp; Analysis (N-1)(3)"/>
      <sheetName val="Contact Information (N-2)"/>
      <sheetName val="Questionnaire (N-3)"/>
      <sheetName val="Questionnaire (N-3)(2)"/>
      <sheetName val="Questionnaire (N-3)(3)"/>
      <sheetName val="Questionnaire (N-3)(4)"/>
      <sheetName val="Commissioner Schedule (N-4)"/>
      <sheetName val="Page N-4 (2 of 2)"/>
      <sheetName val="Health Benefits (N-5)"/>
      <sheetName val="Accumulated Absences (N-6)"/>
      <sheetName val="Accumulated Absences (N-6) (2)"/>
      <sheetName val="Accumulated Absences (N-6) (3)"/>
      <sheetName val="Accumulated Absences (N-6) (4)"/>
      <sheetName val="Accumulated Absences (N-6) (5)"/>
      <sheetName val="Accumulated Absences (N-6) (6)"/>
      <sheetName val="Accumulated Absences (N-6) (7)"/>
      <sheetName val="Accumulated Absences (N-6) (8)"/>
      <sheetName val="TOTAL Accumulated Absences"/>
      <sheetName val="Shared Services (N-7)"/>
      <sheetName val="Shared Services (N-7) (2)"/>
      <sheetName val="Financial Schedule"/>
      <sheetName val="F-1 Summary"/>
      <sheetName val="F-2 Revenues (Proposed)"/>
      <sheetName val="F-3 Revenues (PY Adopted)"/>
      <sheetName val="F-4 Appropriations (Proposed)"/>
      <sheetName val="F-4 Appropriation Detail"/>
      <sheetName val="F-4 Appropriation Detail (2)"/>
      <sheetName val="F-4 Appropriation Detail (3)"/>
      <sheetName val="F-5 Appropriations (PY Adopted)"/>
      <sheetName val="F-5 Appropriation Detail"/>
      <sheetName val="F-5 Appropriation Detail (2)"/>
      <sheetName val="F-5 Appropriation Detail (3)"/>
      <sheetName val="F-6 Debt Service-Principal"/>
      <sheetName val="F-6 Detail"/>
      <sheetName val="F-7 Debt Service-Interest"/>
      <sheetName val="F-7 Detail"/>
      <sheetName val="F-8 Net Position"/>
      <sheetName val="Capital Budget"/>
      <sheetName val="CB-1 Capital Budget Cert."/>
      <sheetName val="CB-2 Capital Budget Message"/>
      <sheetName val="CB-3 Capital Budget Proposed"/>
      <sheetName val="CB-3 Detail"/>
      <sheetName val="CB-3 Detail (2)"/>
      <sheetName val="CB-3 Detail Totals"/>
      <sheetName val="CB-4 5 Year Capital Budget Cost"/>
      <sheetName val="CB-4 Detail"/>
      <sheetName val="CB-4 Detail (2)"/>
      <sheetName val="CB-4 Detail Totals"/>
      <sheetName val="CB-5 5 Year Capital Budget Fund"/>
      <sheetName val="CB-5 Detail"/>
      <sheetName val="CB-5 Detail (2)"/>
      <sheetName val="CB-5 Detail Totals"/>
      <sheetName val="Appendix-Change Orders"/>
    </sheetNames>
    <sheetDataSet>
      <sheetData sheetId="0" refreshError="1"/>
      <sheetData sheetId="1" refreshError="1"/>
      <sheetData sheetId="2" refreshError="1"/>
      <sheetData sheetId="3" refreshError="1"/>
      <sheetData sheetId="4">
        <row r="4">
          <cell r="B4">
            <v>45657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department totals"/>
      <sheetName val="Summary"/>
      <sheetName val="rate"/>
      <sheetName val="impact"/>
      <sheetName val="data"/>
      <sheetName val="STATE SUMMARY"/>
      <sheetName val="Instructions-Data Entry"/>
      <sheetName val="Recipient Shared Serv Exclusion"/>
      <sheetName val="Summary Levy Cap Calc Worksheet"/>
      <sheetName val="Shared Services Worksheet"/>
      <sheetName val="Health Care Calc Worksheet"/>
      <sheetName val="Pension Contrib Calc Worksheet"/>
      <sheetName val="LOSAP Worksheet"/>
      <sheetName val="Capital Imps Worksheet"/>
      <sheetName val="Debt Service Calc Worksheet "/>
      <sheetName val="Cap Bank"/>
      <sheetName val="Sheet A"/>
      <sheetName val="1"/>
      <sheetName val="1a"/>
      <sheetName val="2"/>
      <sheetName val="3"/>
      <sheetName val="3a"/>
      <sheetName val="3b"/>
      <sheetName val="3d"/>
      <sheetName val="3e"/>
      <sheetName val="Cap Cal"/>
      <sheetName val="levy cap"/>
      <sheetName val="4"/>
      <sheetName val="4a"/>
      <sheetName val="4b"/>
      <sheetName val="5"/>
      <sheetName val="6"/>
      <sheetName val="7"/>
      <sheetName val="8"/>
      <sheetName val="9"/>
      <sheetName val="9a"/>
      <sheetName val="9b"/>
      <sheetName val="10"/>
      <sheetName val="10a"/>
      <sheetName val="11"/>
      <sheetName val="12"/>
      <sheetName val="13"/>
      <sheetName val="14"/>
      <sheetName val="15"/>
      <sheetName val="15a"/>
      <sheetName val="15b"/>
      <sheetName val="15c"/>
      <sheetName val="15d"/>
      <sheetName val="15e"/>
      <sheetName val="16"/>
      <sheetName val="17"/>
      <sheetName val="18"/>
      <sheetName val="19"/>
      <sheetName val="20"/>
      <sheetName val="20a"/>
      <sheetName val="21"/>
      <sheetName val="22"/>
      <sheetName val="23"/>
      <sheetName val="24"/>
      <sheetName val="24a"/>
      <sheetName val="24b"/>
      <sheetName val="25"/>
      <sheetName val="26"/>
      <sheetName val="26a"/>
      <sheetName val="27"/>
      <sheetName val="28"/>
      <sheetName val="29"/>
      <sheetName val="30"/>
      <sheetName val="31"/>
      <sheetName val="32"/>
      <sheetName val="33"/>
      <sheetName val="34"/>
      <sheetName val="35 36"/>
      <sheetName val="37"/>
      <sheetName val="38"/>
      <sheetName val="39"/>
      <sheetName val="40"/>
      <sheetName val="40a"/>
      <sheetName val="40b"/>
      <sheetName val="40c"/>
      <sheetName val="40d"/>
      <sheetName val="41"/>
      <sheetName val="42"/>
      <sheetName val="43"/>
      <sheetName val="44 a"/>
      <sheetName val="newspaper"/>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4">
          <cell r="C4">
            <v>0.16700000000000001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Data Entry"/>
      <sheetName val="Recipient Shared Serv Exclusion"/>
      <sheetName val="Summary Levy Cap Calc Worksheet"/>
      <sheetName val="Shared Services Worksheet"/>
      <sheetName val="Health Care Calc Worksheet"/>
      <sheetName val="Pension Contrib Calc Worksheet"/>
      <sheetName val="LOSAP Worksheet"/>
      <sheetName val="Capital Imps Worksheet"/>
      <sheetName val="Debt Service Calc Worksheet "/>
      <sheetName val="Tables"/>
      <sheetName val="Cap Bank"/>
    </sheetNames>
    <sheetDataSet>
      <sheetData sheetId="0"/>
      <sheetData sheetId="1"/>
      <sheetData sheetId="2"/>
      <sheetData sheetId="3"/>
      <sheetData sheetId="4"/>
      <sheetData sheetId="5"/>
      <sheetData sheetId="6"/>
      <sheetData sheetId="7"/>
      <sheetData sheetId="8"/>
      <sheetData sheetId="9">
        <row r="2">
          <cell r="A2" t="str">
            <v>0000</v>
          </cell>
          <cell r="D2" t="str">
            <v xml:space="preserve"> None</v>
          </cell>
        </row>
        <row r="3">
          <cell r="A3" t="str">
            <v>1330</v>
          </cell>
          <cell r="D3" t="str">
            <v>Aberdeen Township (Monmouth)</v>
          </cell>
        </row>
        <row r="4">
          <cell r="A4" t="str">
            <v>0101</v>
          </cell>
          <cell r="D4" t="str">
            <v>Absecon City (Atlantic)</v>
          </cell>
        </row>
        <row r="5">
          <cell r="A5" t="str">
            <v>1001</v>
          </cell>
          <cell r="D5" t="str">
            <v>Alexandria Township (Hunterdon)</v>
          </cell>
        </row>
        <row r="6">
          <cell r="A6" t="str">
            <v>2101</v>
          </cell>
          <cell r="D6" t="str">
            <v>Allamuchy Township (Warren)</v>
          </cell>
        </row>
        <row r="7">
          <cell r="A7" t="str">
            <v>0201</v>
          </cell>
          <cell r="D7" t="str">
            <v>Allendale Borough (Bergen)</v>
          </cell>
        </row>
        <row r="8">
          <cell r="A8" t="str">
            <v>1301</v>
          </cell>
          <cell r="D8" t="str">
            <v>Allenhurst Borough (Monmouth)</v>
          </cell>
        </row>
        <row r="9">
          <cell r="A9" t="str">
            <v>1302</v>
          </cell>
          <cell r="D9" t="str">
            <v>Allentown Borough (Monmouth)</v>
          </cell>
        </row>
        <row r="10">
          <cell r="A10" t="str">
            <v>1701</v>
          </cell>
          <cell r="D10" t="str">
            <v>Alloway Township (Salem)</v>
          </cell>
        </row>
        <row r="11">
          <cell r="A11" t="str">
            <v>2102</v>
          </cell>
          <cell r="D11" t="str">
            <v>Alpha Borough (Warren)</v>
          </cell>
        </row>
        <row r="12">
          <cell r="A12" t="str">
            <v>0202</v>
          </cell>
          <cell r="D12" t="str">
            <v>Alpine Borough (Bergen)</v>
          </cell>
        </row>
        <row r="13">
          <cell r="A13" t="str">
            <v>1901</v>
          </cell>
          <cell r="D13" t="str">
            <v>Andover Borough (Sussex)</v>
          </cell>
        </row>
        <row r="14">
          <cell r="A14" t="str">
            <v>1902</v>
          </cell>
          <cell r="D14" t="str">
            <v>Andover Township (Sussex)</v>
          </cell>
        </row>
        <row r="15">
          <cell r="A15" t="str">
            <v>1303</v>
          </cell>
          <cell r="D15" t="str">
            <v>Asbury Park City (Monmouth)</v>
          </cell>
        </row>
        <row r="16">
          <cell r="A16" t="str">
            <v>0102</v>
          </cell>
          <cell r="D16" t="str">
            <v>Atlantic City City (Atlantic)</v>
          </cell>
        </row>
        <row r="17">
          <cell r="A17" t="str">
            <v>0100</v>
          </cell>
          <cell r="D17" t="str">
            <v>Atlantic County (Atlantic)</v>
          </cell>
        </row>
        <row r="18">
          <cell r="A18" t="str">
            <v>1304</v>
          </cell>
          <cell r="D18" t="str">
            <v>Atlantic Highlands Borough (Monmouth)</v>
          </cell>
        </row>
        <row r="19">
          <cell r="A19" t="str">
            <v>0401</v>
          </cell>
          <cell r="D19" t="str">
            <v>Audubon Borough (Camden)</v>
          </cell>
        </row>
        <row r="20">
          <cell r="A20" t="str">
            <v>0402</v>
          </cell>
          <cell r="D20" t="str">
            <v>Audubon Park Borough (Camden)</v>
          </cell>
        </row>
        <row r="21">
          <cell r="A21" t="str">
            <v>0501</v>
          </cell>
          <cell r="D21" t="str">
            <v>Avalon Borough (Cape May)</v>
          </cell>
        </row>
        <row r="22">
          <cell r="A22" t="str">
            <v>1305</v>
          </cell>
          <cell r="D22" t="str">
            <v>Avon-by-the-Sea Borough (Monmouth)</v>
          </cell>
        </row>
        <row r="23">
          <cell r="A23" t="str">
            <v>1501</v>
          </cell>
          <cell r="D23" t="str">
            <v>Barnegat Light Borough (Ocean)</v>
          </cell>
        </row>
        <row r="24">
          <cell r="A24" t="str">
            <v>1533</v>
          </cell>
          <cell r="D24" t="str">
            <v>Barnegat Township (Ocean)</v>
          </cell>
        </row>
        <row r="25">
          <cell r="A25" t="str">
            <v>0403</v>
          </cell>
          <cell r="D25" t="str">
            <v>Barrington Borough (Camden)</v>
          </cell>
        </row>
        <row r="26">
          <cell r="A26" t="str">
            <v>0301</v>
          </cell>
          <cell r="D26" t="str">
            <v>Bass River Township (Burlington)</v>
          </cell>
        </row>
        <row r="27">
          <cell r="A27" t="str">
            <v>1502</v>
          </cell>
          <cell r="D27" t="str">
            <v>Bay Head Borough (Ocean)</v>
          </cell>
        </row>
        <row r="28">
          <cell r="A28" t="str">
            <v>0901</v>
          </cell>
          <cell r="D28" t="str">
            <v>Bayonne City (Hudson)</v>
          </cell>
        </row>
        <row r="29">
          <cell r="A29" t="str">
            <v>1503</v>
          </cell>
          <cell r="D29" t="str">
            <v>Beach Haven Borough (Ocean)</v>
          </cell>
        </row>
        <row r="30">
          <cell r="A30" t="str">
            <v>1504</v>
          </cell>
          <cell r="D30" t="str">
            <v>Beachwood Borough (Ocean)</v>
          </cell>
        </row>
        <row r="31">
          <cell r="A31" t="str">
            <v>1801</v>
          </cell>
          <cell r="D31" t="str">
            <v>Bedminster Township (Somerset)</v>
          </cell>
        </row>
        <row r="32">
          <cell r="A32" t="str">
            <v>0701</v>
          </cell>
          <cell r="D32" t="str">
            <v>Belleville Township (Essex)</v>
          </cell>
        </row>
        <row r="33">
          <cell r="A33" t="str">
            <v>0404</v>
          </cell>
          <cell r="D33" t="str">
            <v>Bellmawr Borough (Camden)</v>
          </cell>
        </row>
        <row r="34">
          <cell r="A34" t="str">
            <v>1306</v>
          </cell>
          <cell r="D34" t="str">
            <v>Belmar Borough (Monmouth)</v>
          </cell>
        </row>
        <row r="35">
          <cell r="A35" t="str">
            <v>2103</v>
          </cell>
          <cell r="D35" t="str">
            <v>Belvidere Town (Warren)</v>
          </cell>
        </row>
        <row r="36">
          <cell r="A36" t="str">
            <v>0200</v>
          </cell>
          <cell r="D36" t="str">
            <v>Bergen County (Bergen)</v>
          </cell>
        </row>
        <row r="37">
          <cell r="A37" t="str">
            <v>0203</v>
          </cell>
          <cell r="D37" t="str">
            <v>Bergenfield Borough (Bergen)</v>
          </cell>
        </row>
        <row r="38">
          <cell r="A38" t="str">
            <v>2001</v>
          </cell>
          <cell r="D38" t="str">
            <v>Berkeley Heights Township (Union)</v>
          </cell>
        </row>
        <row r="39">
          <cell r="A39" t="str">
            <v>1505</v>
          </cell>
          <cell r="D39" t="str">
            <v>Berkeley Township (Ocean)</v>
          </cell>
        </row>
        <row r="40">
          <cell r="A40" t="str">
            <v>0405</v>
          </cell>
          <cell r="D40" t="str">
            <v>Berlin Borough (Camden)</v>
          </cell>
        </row>
        <row r="41">
          <cell r="A41" t="str">
            <v>0406</v>
          </cell>
          <cell r="D41" t="str">
            <v>Berlin Township (Camden)</v>
          </cell>
        </row>
        <row r="42">
          <cell r="A42" t="str">
            <v>1802</v>
          </cell>
          <cell r="D42" t="str">
            <v>Bernards Township (Somerset)</v>
          </cell>
        </row>
        <row r="43">
          <cell r="A43" t="str">
            <v>1803</v>
          </cell>
          <cell r="D43" t="str">
            <v>Bernardsville Borough (Somerset)</v>
          </cell>
        </row>
        <row r="44">
          <cell r="A44" t="str">
            <v>1002</v>
          </cell>
          <cell r="D44" t="str">
            <v>Bethlehem Township (Hunterdon)</v>
          </cell>
        </row>
        <row r="45">
          <cell r="A45" t="str">
            <v>0302</v>
          </cell>
          <cell r="D45" t="str">
            <v>Beverly City (Burlington)</v>
          </cell>
        </row>
        <row r="46">
          <cell r="A46" t="str">
            <v>2104</v>
          </cell>
          <cell r="D46" t="str">
            <v>Blairstown Township (Warren)</v>
          </cell>
        </row>
        <row r="47">
          <cell r="A47" t="str">
            <v>0702</v>
          </cell>
          <cell r="D47" t="str">
            <v>Bloomfield Township (Essex)</v>
          </cell>
        </row>
        <row r="48">
          <cell r="A48" t="str">
            <v>1601</v>
          </cell>
          <cell r="D48" t="str">
            <v>Bloomingdale Borough (Passaic)</v>
          </cell>
        </row>
        <row r="49">
          <cell r="A49" t="str">
            <v>1003</v>
          </cell>
          <cell r="D49" t="str">
            <v>Bloomsbury Borough (Hunterdon)</v>
          </cell>
        </row>
        <row r="50">
          <cell r="A50" t="str">
            <v>0204</v>
          </cell>
          <cell r="D50" t="str">
            <v>Bogota Borough (Bergen)</v>
          </cell>
        </row>
        <row r="51">
          <cell r="A51" t="str">
            <v>1401</v>
          </cell>
          <cell r="D51" t="str">
            <v>Boonton Town (Morris)</v>
          </cell>
        </row>
        <row r="52">
          <cell r="A52" t="str">
            <v>1402</v>
          </cell>
          <cell r="D52" t="str">
            <v>Boonton Township (Morris)</v>
          </cell>
        </row>
        <row r="53">
          <cell r="A53" t="str">
            <v>0303</v>
          </cell>
          <cell r="D53" t="str">
            <v>Bordentown City (Burlington)</v>
          </cell>
        </row>
        <row r="54">
          <cell r="A54" t="str">
            <v>0304</v>
          </cell>
          <cell r="D54" t="str">
            <v>Bordentown Township (Burlington)</v>
          </cell>
        </row>
        <row r="55">
          <cell r="A55" t="str">
            <v>1804</v>
          </cell>
          <cell r="D55" t="str">
            <v>Bound Brook Borough (Somerset)</v>
          </cell>
        </row>
        <row r="56">
          <cell r="A56" t="str">
            <v>1307</v>
          </cell>
          <cell r="D56" t="str">
            <v>Bradley Beach Borough (Monmouth)</v>
          </cell>
        </row>
        <row r="57">
          <cell r="A57" t="str">
            <v>1805</v>
          </cell>
          <cell r="D57" t="str">
            <v>Branchburg Township (Somerset)</v>
          </cell>
        </row>
        <row r="58">
          <cell r="A58" t="str">
            <v>1903</v>
          </cell>
          <cell r="D58" t="str">
            <v>Branchville Borough (Sussex)</v>
          </cell>
        </row>
        <row r="59">
          <cell r="A59" t="str">
            <v>1506</v>
          </cell>
          <cell r="D59" t="str">
            <v>Brick Township (Ocean)</v>
          </cell>
        </row>
        <row r="60">
          <cell r="A60" t="str">
            <v>0601</v>
          </cell>
          <cell r="D60" t="str">
            <v>Bridgeton City (Cumberland)</v>
          </cell>
        </row>
        <row r="61">
          <cell r="A61" t="str">
            <v>1806</v>
          </cell>
          <cell r="D61" t="str">
            <v>Bridgewater Township (Somerset)</v>
          </cell>
        </row>
        <row r="62">
          <cell r="A62" t="str">
            <v>1308</v>
          </cell>
          <cell r="D62" t="str">
            <v>Brielle Borough (Monmouth)</v>
          </cell>
        </row>
        <row r="63">
          <cell r="A63" t="str">
            <v>0103</v>
          </cell>
          <cell r="D63" t="str">
            <v>Brigantine City (Atlantic)</v>
          </cell>
        </row>
        <row r="64">
          <cell r="A64" t="str">
            <v>0407</v>
          </cell>
          <cell r="D64" t="str">
            <v>Brooklawn Borough (Camden)</v>
          </cell>
        </row>
        <row r="65">
          <cell r="A65" t="str">
            <v>0104</v>
          </cell>
          <cell r="D65" t="str">
            <v>Buena Borough (Atlantic)</v>
          </cell>
        </row>
        <row r="66">
          <cell r="A66" t="str">
            <v>0105</v>
          </cell>
          <cell r="D66" t="str">
            <v>Buena Vista Township (Atlantic)</v>
          </cell>
        </row>
        <row r="67">
          <cell r="A67" t="str">
            <v>0305</v>
          </cell>
          <cell r="D67" t="str">
            <v>Burlington City (Burlington)</v>
          </cell>
        </row>
        <row r="68">
          <cell r="A68" t="str">
            <v>0300</v>
          </cell>
          <cell r="D68" t="str">
            <v>Burlington County (Burlington)</v>
          </cell>
        </row>
        <row r="69">
          <cell r="A69" t="str">
            <v>0306</v>
          </cell>
          <cell r="D69" t="str">
            <v>Burlington Township (Burlington)</v>
          </cell>
        </row>
        <row r="70">
          <cell r="A70" t="str">
            <v>1403</v>
          </cell>
          <cell r="D70" t="str">
            <v>Butler Borough (Morris)</v>
          </cell>
        </row>
        <row r="71">
          <cell r="A71" t="str">
            <v>1904</v>
          </cell>
          <cell r="D71" t="str">
            <v>Byram Township (Sussex)</v>
          </cell>
        </row>
        <row r="72">
          <cell r="A72" t="str">
            <v>0703</v>
          </cell>
          <cell r="D72" t="str">
            <v>Caldwell Township (Essex)</v>
          </cell>
        </row>
        <row r="73">
          <cell r="A73" t="str">
            <v>1004</v>
          </cell>
          <cell r="D73" t="str">
            <v>Califon Borough (Hunterdon)</v>
          </cell>
        </row>
        <row r="74">
          <cell r="A74" t="str">
            <v>0408</v>
          </cell>
          <cell r="D74" t="str">
            <v>Camden City (Camden)</v>
          </cell>
        </row>
        <row r="75">
          <cell r="A75" t="str">
            <v>0400</v>
          </cell>
          <cell r="D75" t="str">
            <v>Camden County (Camden)</v>
          </cell>
        </row>
        <row r="76">
          <cell r="A76" t="str">
            <v>0502</v>
          </cell>
          <cell r="D76" t="str">
            <v>Cape May City (Cape May)</v>
          </cell>
        </row>
        <row r="77">
          <cell r="A77" t="str">
            <v>0500</v>
          </cell>
          <cell r="D77" t="str">
            <v>Cape May County (Cape May)</v>
          </cell>
        </row>
        <row r="78">
          <cell r="A78" t="str">
            <v>0503</v>
          </cell>
          <cell r="D78" t="str">
            <v>Cape May Point Borough (Cape May)</v>
          </cell>
        </row>
        <row r="79">
          <cell r="A79" t="str">
            <v>0205</v>
          </cell>
          <cell r="D79" t="str">
            <v>Carlstadt Borough (Bergen)</v>
          </cell>
        </row>
        <row r="80">
          <cell r="A80" t="str">
            <v>1713</v>
          </cell>
          <cell r="D80" t="str">
            <v>Carneys Point Township (Salem)</v>
          </cell>
        </row>
        <row r="81">
          <cell r="A81" t="str">
            <v>1201</v>
          </cell>
          <cell r="D81" t="str">
            <v>Carteret Borough (Middlesex)</v>
          </cell>
        </row>
        <row r="82">
          <cell r="A82" t="str">
            <v>0704</v>
          </cell>
          <cell r="D82" t="str">
            <v>Cedar Grove Township (Essex)</v>
          </cell>
        </row>
        <row r="83">
          <cell r="A83" t="str">
            <v>1404</v>
          </cell>
          <cell r="D83" t="str">
            <v>Chatham Borough (Morris)</v>
          </cell>
        </row>
        <row r="84">
          <cell r="A84" t="str">
            <v>1405</v>
          </cell>
          <cell r="D84" t="str">
            <v>Chatham Township (Morris)</v>
          </cell>
        </row>
        <row r="85">
          <cell r="A85" t="str">
            <v>0409</v>
          </cell>
          <cell r="D85" t="str">
            <v>Cherry Hill Township (Camden)</v>
          </cell>
        </row>
        <row r="86">
          <cell r="A86" t="str">
            <v>0410</v>
          </cell>
          <cell r="D86" t="str">
            <v>Chesilhurst Borough (Camden)</v>
          </cell>
        </row>
        <row r="87">
          <cell r="A87" t="str">
            <v>1406</v>
          </cell>
          <cell r="D87" t="str">
            <v>Chester Borough (Morris)</v>
          </cell>
        </row>
        <row r="88">
          <cell r="A88" t="str">
            <v>1407</v>
          </cell>
          <cell r="D88" t="str">
            <v>Chester Township (Morris)</v>
          </cell>
        </row>
        <row r="89">
          <cell r="A89" t="str">
            <v>0307</v>
          </cell>
          <cell r="D89" t="str">
            <v>Chesterfield Township (Burlington)</v>
          </cell>
        </row>
        <row r="90">
          <cell r="A90" t="str">
            <v>0308</v>
          </cell>
          <cell r="D90" t="str">
            <v>Cinnaminson Township (Burlington)</v>
          </cell>
        </row>
        <row r="91">
          <cell r="A91" t="str">
            <v>2002</v>
          </cell>
          <cell r="D91" t="str">
            <v>Clark Township (Union)</v>
          </cell>
        </row>
        <row r="92">
          <cell r="A92" t="str">
            <v>0801</v>
          </cell>
          <cell r="D92" t="str">
            <v>Clayton Borough (Gloucester)</v>
          </cell>
        </row>
        <row r="93">
          <cell r="A93" t="str">
            <v>0411</v>
          </cell>
          <cell r="D93" t="str">
            <v>Clementon Borough (Camden)</v>
          </cell>
        </row>
        <row r="94">
          <cell r="A94" t="str">
            <v>0206</v>
          </cell>
          <cell r="D94" t="str">
            <v>Cliffside Park Borough (Bergen)</v>
          </cell>
        </row>
        <row r="95">
          <cell r="A95" t="str">
            <v>1602</v>
          </cell>
          <cell r="D95" t="str">
            <v>Clifton City (Passaic)</v>
          </cell>
        </row>
        <row r="96">
          <cell r="A96" t="str">
            <v>1005</v>
          </cell>
          <cell r="D96" t="str">
            <v>Clinton Town (Hunterdon)</v>
          </cell>
        </row>
        <row r="97">
          <cell r="A97" t="str">
            <v>1006</v>
          </cell>
          <cell r="D97" t="str">
            <v>Clinton Township (Hunterdon)</v>
          </cell>
        </row>
        <row r="98">
          <cell r="A98" t="str">
            <v>0207</v>
          </cell>
          <cell r="D98" t="str">
            <v>Closter Borough (Bergen)</v>
          </cell>
        </row>
        <row r="99">
          <cell r="A99" t="str">
            <v>0412</v>
          </cell>
          <cell r="D99" t="str">
            <v>Collingswood Borough (Camden)</v>
          </cell>
        </row>
        <row r="100">
          <cell r="A100" t="str">
            <v>1309</v>
          </cell>
          <cell r="D100" t="str">
            <v>Colts Neck Township (Monmouth)</v>
          </cell>
        </row>
        <row r="101">
          <cell r="A101" t="str">
            <v>0602</v>
          </cell>
          <cell r="D101" t="str">
            <v>Commercial Township (Cumberland)</v>
          </cell>
        </row>
        <row r="102">
          <cell r="A102" t="str">
            <v>0106</v>
          </cell>
          <cell r="D102" t="str">
            <v>Corbin City (Atlantic)</v>
          </cell>
        </row>
        <row r="103">
          <cell r="A103" t="str">
            <v>1202</v>
          </cell>
          <cell r="D103" t="str">
            <v>Cranbury Township (Middlesex)</v>
          </cell>
        </row>
        <row r="104">
          <cell r="A104" t="str">
            <v>2003</v>
          </cell>
          <cell r="D104" t="str">
            <v>Cranford Township (Union)</v>
          </cell>
        </row>
        <row r="105">
          <cell r="A105" t="str">
            <v>0208</v>
          </cell>
          <cell r="D105" t="str">
            <v>Cresskill Borough (Bergen)</v>
          </cell>
        </row>
        <row r="106">
          <cell r="A106" t="str">
            <v>0600</v>
          </cell>
          <cell r="D106" t="str">
            <v>Cumberland County (Cumberland)</v>
          </cell>
        </row>
        <row r="107">
          <cell r="A107" t="str">
            <v>1310</v>
          </cell>
          <cell r="D107" t="str">
            <v>Deal Borough (Monmouth)</v>
          </cell>
        </row>
        <row r="108">
          <cell r="A108" t="str">
            <v>0603</v>
          </cell>
          <cell r="D108" t="str">
            <v>Deerfield Township (Cumberland)</v>
          </cell>
        </row>
        <row r="109">
          <cell r="A109" t="str">
            <v>0309</v>
          </cell>
          <cell r="D109" t="str">
            <v>Delanco Township (Burlington)</v>
          </cell>
        </row>
        <row r="110">
          <cell r="A110" t="str">
            <v>1007</v>
          </cell>
          <cell r="D110" t="str">
            <v>Delaware Township (Hunterdon)</v>
          </cell>
        </row>
        <row r="111">
          <cell r="A111" t="str">
            <v>0310</v>
          </cell>
          <cell r="D111" t="str">
            <v>Delran Township (Burlington)</v>
          </cell>
        </row>
        <row r="112">
          <cell r="A112" t="str">
            <v>0209</v>
          </cell>
          <cell r="D112" t="str">
            <v>Demarest Borough (Bergen)</v>
          </cell>
        </row>
        <row r="113">
          <cell r="A113" t="str">
            <v>0504</v>
          </cell>
          <cell r="D113" t="str">
            <v>Dennis Township (Cape May)</v>
          </cell>
        </row>
        <row r="114">
          <cell r="A114" t="str">
            <v>1408</v>
          </cell>
          <cell r="D114" t="str">
            <v>Denville Township (Morris)</v>
          </cell>
        </row>
        <row r="115">
          <cell r="A115" t="str">
            <v>0802</v>
          </cell>
          <cell r="D115" t="str">
            <v>Deptford Township (Gloucester)</v>
          </cell>
        </row>
        <row r="116">
          <cell r="A116" t="str">
            <v>1409</v>
          </cell>
          <cell r="D116" t="str">
            <v>Dover Town (Morris)</v>
          </cell>
        </row>
        <row r="117">
          <cell r="A117" t="str">
            <v>0604</v>
          </cell>
          <cell r="D117" t="str">
            <v>Downe Township (Cumberland)</v>
          </cell>
        </row>
        <row r="118">
          <cell r="A118" t="str">
            <v>0210</v>
          </cell>
          <cell r="D118" t="str">
            <v>Dumont Borough (Bergen)</v>
          </cell>
        </row>
        <row r="119">
          <cell r="A119" t="str">
            <v>1203</v>
          </cell>
          <cell r="D119" t="str">
            <v>Dunellen Borough (Middlesex)</v>
          </cell>
        </row>
        <row r="120">
          <cell r="A120" t="str">
            <v>1508</v>
          </cell>
          <cell r="D120" t="str">
            <v>Eagleswood Township (Ocean)</v>
          </cell>
        </row>
        <row r="121">
          <cell r="A121" t="str">
            <v>1008</v>
          </cell>
          <cell r="D121" t="str">
            <v>East Amwell Township (Hunterdon)</v>
          </cell>
        </row>
        <row r="122">
          <cell r="A122" t="str">
            <v>1204</v>
          </cell>
          <cell r="D122" t="str">
            <v>East Brunswick Township (Middlesex)</v>
          </cell>
        </row>
        <row r="123">
          <cell r="A123" t="str">
            <v>0803</v>
          </cell>
          <cell r="D123" t="str">
            <v>East Greenwich Township (Gloucester)</v>
          </cell>
        </row>
        <row r="124">
          <cell r="A124" t="str">
            <v>1410</v>
          </cell>
          <cell r="D124" t="str">
            <v>East Hanover Township (Morris)</v>
          </cell>
        </row>
        <row r="125">
          <cell r="A125" t="str">
            <v>0902</v>
          </cell>
          <cell r="D125" t="str">
            <v>East Newark Borough (Hudson)</v>
          </cell>
        </row>
        <row r="126">
          <cell r="A126" t="str">
            <v>0705</v>
          </cell>
          <cell r="D126" t="str">
            <v>East Orange City (Essex)</v>
          </cell>
        </row>
        <row r="127">
          <cell r="A127" t="str">
            <v>0212</v>
          </cell>
          <cell r="D127" t="str">
            <v>East Rutherford Borough (Bergen)</v>
          </cell>
        </row>
        <row r="128">
          <cell r="A128" t="str">
            <v>1101</v>
          </cell>
          <cell r="D128" t="str">
            <v>East Windsor Township (Mercer)</v>
          </cell>
        </row>
        <row r="129">
          <cell r="A129" t="str">
            <v>0311</v>
          </cell>
          <cell r="D129" t="str">
            <v>Eastampton Township (Burlington)</v>
          </cell>
        </row>
        <row r="130">
          <cell r="A130" t="str">
            <v>1311</v>
          </cell>
          <cell r="D130" t="str">
            <v>Eatontown Borough (Monmouth)</v>
          </cell>
        </row>
        <row r="131">
          <cell r="A131" t="str">
            <v>0213</v>
          </cell>
          <cell r="D131" t="str">
            <v>Edgewater Borough (Bergen)</v>
          </cell>
        </row>
        <row r="132">
          <cell r="A132" t="str">
            <v>0312</v>
          </cell>
          <cell r="D132" t="str">
            <v>Edgewater Park Township (Burlington)</v>
          </cell>
        </row>
        <row r="133">
          <cell r="A133" t="str">
            <v>1205</v>
          </cell>
          <cell r="D133" t="str">
            <v>Edison Township (Middlesex)</v>
          </cell>
        </row>
        <row r="134">
          <cell r="A134" t="str">
            <v>0107</v>
          </cell>
          <cell r="D134" t="str">
            <v>Egg Harbor City (Atlantic)</v>
          </cell>
        </row>
        <row r="135">
          <cell r="A135" t="str">
            <v>0108</v>
          </cell>
          <cell r="D135" t="str">
            <v>Egg Harbor Township (Atlantic)</v>
          </cell>
        </row>
        <row r="136">
          <cell r="A136" t="str">
            <v>2004</v>
          </cell>
          <cell r="D136" t="str">
            <v>Elizabeth City (Union)</v>
          </cell>
        </row>
        <row r="137">
          <cell r="A137" t="str">
            <v>0804</v>
          </cell>
          <cell r="D137" t="str">
            <v>Elk Township (Gloucester)</v>
          </cell>
        </row>
        <row r="138">
          <cell r="A138" t="str">
            <v>1702</v>
          </cell>
          <cell r="D138" t="str">
            <v>Elmer Borough (Salem)</v>
          </cell>
        </row>
        <row r="139">
          <cell r="A139" t="str">
            <v>0211</v>
          </cell>
          <cell r="D139" t="str">
            <v>Elmwood Park Borough (Bergen)</v>
          </cell>
        </row>
        <row r="140">
          <cell r="A140" t="str">
            <v>1703</v>
          </cell>
          <cell r="D140" t="str">
            <v>Elsinboro Township (Salem)</v>
          </cell>
        </row>
        <row r="141">
          <cell r="A141" t="str">
            <v>0214</v>
          </cell>
          <cell r="D141" t="str">
            <v>Emerson Borough (Bergen)</v>
          </cell>
        </row>
        <row r="142">
          <cell r="A142" t="str">
            <v>0215</v>
          </cell>
          <cell r="D142" t="str">
            <v>Englewood City (Bergen)</v>
          </cell>
        </row>
        <row r="143">
          <cell r="A143" t="str">
            <v>0216</v>
          </cell>
          <cell r="D143" t="str">
            <v>Englewood Cliffs Borough (Bergen)</v>
          </cell>
        </row>
        <row r="144">
          <cell r="A144" t="str">
            <v>1312</v>
          </cell>
          <cell r="D144" t="str">
            <v>Englishtown Borough (Monmouth)</v>
          </cell>
        </row>
        <row r="145">
          <cell r="A145" t="str">
            <v>0700</v>
          </cell>
          <cell r="D145" t="str">
            <v>Essex County (Essex)</v>
          </cell>
        </row>
        <row r="146">
          <cell r="A146" t="str">
            <v>0706</v>
          </cell>
          <cell r="D146" t="str">
            <v>Essex Fells Township (Essex)</v>
          </cell>
        </row>
        <row r="147">
          <cell r="A147" t="str">
            <v>0109</v>
          </cell>
          <cell r="D147" t="str">
            <v>Estell Manor City (Atlantic)</v>
          </cell>
        </row>
        <row r="148">
          <cell r="A148" t="str">
            <v>0313</v>
          </cell>
          <cell r="D148" t="str">
            <v>Evesham Township (Burlington)</v>
          </cell>
        </row>
        <row r="149">
          <cell r="A149" t="str">
            <v>1102</v>
          </cell>
          <cell r="D149" t="str">
            <v>Ewing Township (Mercer)</v>
          </cell>
        </row>
        <row r="150">
          <cell r="A150" t="str">
            <v>1313</v>
          </cell>
          <cell r="D150" t="str">
            <v>Fair Haven Borough (Monmouth)</v>
          </cell>
        </row>
        <row r="151">
          <cell r="A151" t="str">
            <v>0217</v>
          </cell>
          <cell r="D151" t="str">
            <v>Fair Lawn Borough (Bergen)</v>
          </cell>
        </row>
        <row r="152">
          <cell r="A152" t="str">
            <v>0605</v>
          </cell>
          <cell r="D152" t="str">
            <v>Fairfield Township (Cumberland)</v>
          </cell>
        </row>
        <row r="153">
          <cell r="A153" t="str">
            <v>0707</v>
          </cell>
          <cell r="D153" t="str">
            <v>Fairfield Township (Essex)</v>
          </cell>
        </row>
        <row r="154">
          <cell r="A154" t="str">
            <v>0218</v>
          </cell>
          <cell r="D154" t="str">
            <v>Fairview Borough (Bergen)</v>
          </cell>
        </row>
        <row r="155">
          <cell r="A155" t="str">
            <v>2005</v>
          </cell>
          <cell r="D155" t="str">
            <v>Fanwood Borough (Union)</v>
          </cell>
        </row>
        <row r="156">
          <cell r="A156" t="str">
            <v>1807</v>
          </cell>
          <cell r="D156" t="str">
            <v>Far Hills Borough (Somerset)</v>
          </cell>
        </row>
        <row r="157">
          <cell r="A157" t="str">
            <v>1314</v>
          </cell>
          <cell r="D157" t="str">
            <v>Farmingdale Borough (Monmouth)</v>
          </cell>
        </row>
        <row r="158">
          <cell r="A158" t="str">
            <v>0314</v>
          </cell>
          <cell r="D158" t="str">
            <v>Fieldsboro Borough (Burlington)</v>
          </cell>
        </row>
        <row r="159">
          <cell r="A159" t="str">
            <v>1009</v>
          </cell>
          <cell r="D159" t="str">
            <v>Flemington Borough (Hunterdon)</v>
          </cell>
        </row>
        <row r="160">
          <cell r="A160" t="str">
            <v>0315</v>
          </cell>
          <cell r="D160" t="str">
            <v>Florence Township (Burlington)</v>
          </cell>
        </row>
        <row r="161">
          <cell r="A161" t="str">
            <v>1411</v>
          </cell>
          <cell r="D161" t="str">
            <v>Florham Park Borough (Morris)</v>
          </cell>
        </row>
        <row r="162">
          <cell r="A162" t="str">
            <v>0110</v>
          </cell>
          <cell r="D162" t="str">
            <v>Folsom Borough (Atlantic)</v>
          </cell>
        </row>
        <row r="163">
          <cell r="A163" t="str">
            <v>0219</v>
          </cell>
          <cell r="D163" t="str">
            <v>Fort Lee Borough (Bergen)</v>
          </cell>
        </row>
        <row r="164">
          <cell r="A164" t="str">
            <v>1905</v>
          </cell>
          <cell r="D164" t="str">
            <v>Frankford Township (Sussex)</v>
          </cell>
        </row>
        <row r="165">
          <cell r="A165" t="str">
            <v>1906</v>
          </cell>
          <cell r="D165" t="str">
            <v>Franklin Borough (Sussex)</v>
          </cell>
        </row>
        <row r="166">
          <cell r="A166" t="str">
            <v>0220</v>
          </cell>
          <cell r="D166" t="str">
            <v>Franklin Lakes Borough (Bergen)</v>
          </cell>
        </row>
        <row r="167">
          <cell r="A167" t="str">
            <v>0805</v>
          </cell>
          <cell r="D167" t="str">
            <v>Franklin Township (Gloucester)</v>
          </cell>
        </row>
        <row r="168">
          <cell r="A168" t="str">
            <v>1010</v>
          </cell>
          <cell r="D168" t="str">
            <v>Franklin Township (Hunterdon)</v>
          </cell>
        </row>
        <row r="169">
          <cell r="A169" t="str">
            <v>1808</v>
          </cell>
          <cell r="D169" t="str">
            <v>Franklin Township (Somerset)</v>
          </cell>
        </row>
        <row r="170">
          <cell r="A170" t="str">
            <v>2105</v>
          </cell>
          <cell r="D170" t="str">
            <v>Franklin Township (Warren)</v>
          </cell>
        </row>
        <row r="171">
          <cell r="A171" t="str">
            <v>1907</v>
          </cell>
          <cell r="D171" t="str">
            <v>Fredon Township (Sussex)</v>
          </cell>
        </row>
        <row r="172">
          <cell r="A172" t="str">
            <v>1315</v>
          </cell>
          <cell r="D172" t="str">
            <v>Freehold Borough (Monmouth)</v>
          </cell>
        </row>
        <row r="173">
          <cell r="A173" t="str">
            <v>1316</v>
          </cell>
          <cell r="D173" t="str">
            <v>Freehold Township (Monmouth)</v>
          </cell>
        </row>
        <row r="174">
          <cell r="A174" t="str">
            <v>2106</v>
          </cell>
          <cell r="D174" t="str">
            <v>Frelinghuysen Township (Warren)</v>
          </cell>
        </row>
        <row r="175">
          <cell r="A175" t="str">
            <v>1011</v>
          </cell>
          <cell r="D175" t="str">
            <v>Frenchtown Borough (Hunterdon)</v>
          </cell>
        </row>
        <row r="176">
          <cell r="A176" t="str">
            <v>0111</v>
          </cell>
          <cell r="D176" t="str">
            <v>Galloway Township (Atlantic)</v>
          </cell>
        </row>
        <row r="177">
          <cell r="A177" t="str">
            <v>0221</v>
          </cell>
          <cell r="D177" t="str">
            <v>Garfield City (Bergen)</v>
          </cell>
        </row>
        <row r="178">
          <cell r="A178" t="str">
            <v>2006</v>
          </cell>
          <cell r="D178" t="str">
            <v>Garwood Borough (Union)</v>
          </cell>
        </row>
        <row r="179">
          <cell r="A179" t="str">
            <v>0413</v>
          </cell>
          <cell r="D179" t="str">
            <v>Gibbsboro Borough (Camden)</v>
          </cell>
        </row>
        <row r="180">
          <cell r="A180" t="str">
            <v>0806</v>
          </cell>
          <cell r="D180" t="str">
            <v>Glassboro Borough (Gloucester)</v>
          </cell>
        </row>
        <row r="181">
          <cell r="A181" t="str">
            <v>1012</v>
          </cell>
          <cell r="D181" t="str">
            <v>Glen Gardner Borough (Hunterdon)</v>
          </cell>
        </row>
        <row r="182">
          <cell r="A182" t="str">
            <v>0708</v>
          </cell>
          <cell r="D182" t="str">
            <v>Glen Ridge Borough (Essex)</v>
          </cell>
        </row>
        <row r="183">
          <cell r="A183" t="str">
            <v>0222</v>
          </cell>
          <cell r="D183" t="str">
            <v>Glen Rock Borough (Bergen)</v>
          </cell>
        </row>
        <row r="184">
          <cell r="A184" t="str">
            <v>0414</v>
          </cell>
          <cell r="D184" t="str">
            <v>Gloucester City City (Camden)</v>
          </cell>
        </row>
        <row r="185">
          <cell r="A185" t="str">
            <v>0800</v>
          </cell>
          <cell r="D185" t="str">
            <v>Gloucester County (Gloucester)</v>
          </cell>
        </row>
        <row r="186">
          <cell r="A186" t="str">
            <v>0415</v>
          </cell>
          <cell r="D186" t="str">
            <v>Gloucester Township (Camden)</v>
          </cell>
        </row>
        <row r="187">
          <cell r="A187" t="str">
            <v>1809</v>
          </cell>
          <cell r="D187" t="str">
            <v>Green Brook Township (Somerset)</v>
          </cell>
        </row>
        <row r="188">
          <cell r="A188" t="str">
            <v>1908</v>
          </cell>
          <cell r="D188" t="str">
            <v>Green Township (Sussex)</v>
          </cell>
        </row>
        <row r="189">
          <cell r="A189" t="str">
            <v>0606</v>
          </cell>
          <cell r="D189" t="str">
            <v>Greenwich Township (Cumberland)</v>
          </cell>
        </row>
        <row r="190">
          <cell r="A190" t="str">
            <v>0807</v>
          </cell>
          <cell r="D190" t="str">
            <v>Greenwich Township (Gloucester)</v>
          </cell>
        </row>
        <row r="191">
          <cell r="A191" t="str">
            <v>2107</v>
          </cell>
          <cell r="D191" t="str">
            <v>Greenwich Township (Warren)</v>
          </cell>
        </row>
        <row r="192">
          <cell r="A192" t="str">
            <v>0903</v>
          </cell>
          <cell r="D192" t="str">
            <v>Guttenberg Town (Hudson)</v>
          </cell>
        </row>
        <row r="193">
          <cell r="A193" t="str">
            <v>0223</v>
          </cell>
          <cell r="D193" t="str">
            <v>Hackensack City (Bergen)</v>
          </cell>
        </row>
        <row r="194">
          <cell r="A194" t="str">
            <v>2108</v>
          </cell>
          <cell r="D194" t="str">
            <v>Hackettstown Town (Warren)</v>
          </cell>
        </row>
        <row r="195">
          <cell r="A195" t="str">
            <v>0418</v>
          </cell>
          <cell r="D195" t="str">
            <v>Haddon Heights Borough (Camden)</v>
          </cell>
        </row>
        <row r="196">
          <cell r="A196" t="str">
            <v>0416</v>
          </cell>
          <cell r="D196" t="str">
            <v>Haddon Township (Camden)</v>
          </cell>
        </row>
        <row r="197">
          <cell r="A197" t="str">
            <v>0417</v>
          </cell>
          <cell r="D197" t="str">
            <v>Haddonfield Borough (Camden)</v>
          </cell>
        </row>
        <row r="198">
          <cell r="A198" t="str">
            <v>0316</v>
          </cell>
          <cell r="D198" t="str">
            <v>Hainesport Township (Burlington)</v>
          </cell>
        </row>
        <row r="199">
          <cell r="A199" t="str">
            <v>1603</v>
          </cell>
          <cell r="D199" t="str">
            <v>Haledon Borough (Passaic)</v>
          </cell>
        </row>
        <row r="200">
          <cell r="A200" t="str">
            <v>1909</v>
          </cell>
          <cell r="D200" t="str">
            <v>Hamburg Borough (Sussex)</v>
          </cell>
        </row>
        <row r="201">
          <cell r="A201" t="str">
            <v>0112</v>
          </cell>
          <cell r="D201" t="str">
            <v>Hamilton Township (Atlantic)</v>
          </cell>
        </row>
        <row r="202">
          <cell r="A202" t="str">
            <v>1103</v>
          </cell>
          <cell r="D202" t="str">
            <v>Hamilton Township (Mercer)</v>
          </cell>
        </row>
        <row r="203">
          <cell r="A203" t="str">
            <v>0113</v>
          </cell>
          <cell r="D203" t="str">
            <v>Hammonton Township (Atlantic)</v>
          </cell>
        </row>
        <row r="204">
          <cell r="A204" t="str">
            <v>1013</v>
          </cell>
          <cell r="D204" t="str">
            <v>Hampton Borough (Hunterdon)</v>
          </cell>
        </row>
        <row r="205">
          <cell r="A205" t="str">
            <v>1910</v>
          </cell>
          <cell r="D205" t="str">
            <v>Hampton Township (Sussex)</v>
          </cell>
        </row>
        <row r="206">
          <cell r="A206" t="str">
            <v>1412</v>
          </cell>
          <cell r="D206" t="str">
            <v>Hanover Township (Morris)</v>
          </cell>
        </row>
        <row r="207">
          <cell r="A207" t="str">
            <v>1413</v>
          </cell>
          <cell r="D207" t="str">
            <v>Harding Township (Morris)</v>
          </cell>
        </row>
        <row r="208">
          <cell r="A208" t="str">
            <v>2109</v>
          </cell>
          <cell r="D208" t="str">
            <v>Hardwick Township (Warren)</v>
          </cell>
        </row>
        <row r="209">
          <cell r="A209" t="str">
            <v>1911</v>
          </cell>
          <cell r="D209" t="str">
            <v>Hardyston Township (Sussex)</v>
          </cell>
        </row>
        <row r="210">
          <cell r="A210" t="str">
            <v>2110</v>
          </cell>
          <cell r="D210" t="str">
            <v>Harmony Township (Warren)</v>
          </cell>
        </row>
        <row r="211">
          <cell r="A211" t="str">
            <v>0224</v>
          </cell>
          <cell r="D211" t="str">
            <v>Harrington Park Borough (Bergen)</v>
          </cell>
        </row>
        <row r="212">
          <cell r="A212" t="str">
            <v>0904</v>
          </cell>
          <cell r="D212" t="str">
            <v>Harrison Town (Hudson)</v>
          </cell>
        </row>
        <row r="213">
          <cell r="A213" t="str">
            <v>0808</v>
          </cell>
          <cell r="D213" t="str">
            <v>Harrison Township (Gloucester)</v>
          </cell>
        </row>
        <row r="214">
          <cell r="A214" t="str">
            <v>1509</v>
          </cell>
          <cell r="D214" t="str">
            <v>Harvey Cedars Borough (Ocean)</v>
          </cell>
        </row>
        <row r="215">
          <cell r="A215" t="str">
            <v>0225</v>
          </cell>
          <cell r="D215" t="str">
            <v>Hasbrouck Heights Borough (Bergen)</v>
          </cell>
        </row>
        <row r="216">
          <cell r="A216" t="str">
            <v>0226</v>
          </cell>
          <cell r="D216" t="str">
            <v>Haworth Borough (Bergen)</v>
          </cell>
        </row>
        <row r="217">
          <cell r="A217" t="str">
            <v>1604</v>
          </cell>
          <cell r="D217" t="str">
            <v>Hawthorne Borough (Passaic)</v>
          </cell>
        </row>
        <row r="218">
          <cell r="A218" t="str">
            <v>1339</v>
          </cell>
          <cell r="D218" t="str">
            <v>Hazlet Township (Monmouth)</v>
          </cell>
        </row>
        <row r="219">
          <cell r="A219" t="str">
            <v>1206</v>
          </cell>
          <cell r="D219" t="str">
            <v>Helmetta Borough (Middlesex)</v>
          </cell>
        </row>
        <row r="220">
          <cell r="A220" t="str">
            <v>1014</v>
          </cell>
          <cell r="D220" t="str">
            <v>High Bridge Borough (Hunterdon)</v>
          </cell>
        </row>
        <row r="221">
          <cell r="A221" t="str">
            <v>1207</v>
          </cell>
          <cell r="D221" t="str">
            <v>Highland Park Borough (Middlesex)</v>
          </cell>
        </row>
        <row r="222">
          <cell r="A222" t="str">
            <v>1317</v>
          </cell>
          <cell r="D222" t="str">
            <v>Highlands Borough (Monmouth)</v>
          </cell>
        </row>
        <row r="223">
          <cell r="A223" t="str">
            <v>1104</v>
          </cell>
          <cell r="D223" t="str">
            <v>Hightstown Borough (Mercer)</v>
          </cell>
        </row>
        <row r="224">
          <cell r="A224" t="str">
            <v>1810</v>
          </cell>
          <cell r="D224" t="str">
            <v>Hillsborough Township (Somerset)</v>
          </cell>
        </row>
        <row r="225">
          <cell r="A225" t="str">
            <v>0227</v>
          </cell>
          <cell r="D225" t="str">
            <v>Hillsdale Borough (Bergen)</v>
          </cell>
        </row>
        <row r="226">
          <cell r="A226" t="str">
            <v>2007</v>
          </cell>
          <cell r="D226" t="str">
            <v>Hillside Township (Union)</v>
          </cell>
        </row>
        <row r="227">
          <cell r="A227" t="str">
            <v>0419</v>
          </cell>
          <cell r="D227" t="str">
            <v>Hi-nella Borough (Camden)</v>
          </cell>
        </row>
        <row r="228">
          <cell r="A228" t="str">
            <v>0905</v>
          </cell>
          <cell r="D228" t="str">
            <v>Hoboken City (Hudson)</v>
          </cell>
        </row>
        <row r="229">
          <cell r="A229" t="str">
            <v>0228</v>
          </cell>
          <cell r="D229" t="str">
            <v>Ho-Ho-Kus Borough (Bergen)</v>
          </cell>
        </row>
        <row r="230">
          <cell r="A230" t="str">
            <v>1015</v>
          </cell>
          <cell r="D230" t="str">
            <v>Holland Township (Hunterdon)</v>
          </cell>
        </row>
        <row r="231">
          <cell r="A231" t="str">
            <v>1318</v>
          </cell>
          <cell r="D231" t="str">
            <v>Holmdel Township (Monmouth)</v>
          </cell>
        </row>
        <row r="232">
          <cell r="A232" t="str">
            <v>1912</v>
          </cell>
          <cell r="D232" t="str">
            <v>Hopatcong Borough (Sussex)</v>
          </cell>
        </row>
        <row r="233">
          <cell r="A233" t="str">
            <v>2111</v>
          </cell>
          <cell r="D233" t="str">
            <v>Hope Township (Warren)</v>
          </cell>
        </row>
        <row r="234">
          <cell r="A234" t="str">
            <v>1105</v>
          </cell>
          <cell r="D234" t="str">
            <v>Hopewell Borough (Mercer)</v>
          </cell>
        </row>
        <row r="235">
          <cell r="A235" t="str">
            <v>0607</v>
          </cell>
          <cell r="D235" t="str">
            <v>Hopewell Township (Cumberland)</v>
          </cell>
        </row>
        <row r="236">
          <cell r="A236" t="str">
            <v>1106</v>
          </cell>
          <cell r="D236" t="str">
            <v>Hopewell Township (Mercer)</v>
          </cell>
        </row>
        <row r="237">
          <cell r="A237" t="str">
            <v>1319</v>
          </cell>
          <cell r="D237" t="str">
            <v>Howell Township (Monmouth)</v>
          </cell>
        </row>
        <row r="238">
          <cell r="A238" t="str">
            <v>0900</v>
          </cell>
          <cell r="D238" t="str">
            <v>Hudson County (Hudson)</v>
          </cell>
        </row>
        <row r="239">
          <cell r="A239" t="str">
            <v>1000</v>
          </cell>
          <cell r="D239" t="str">
            <v>Hunterdon County (Hunterdon)</v>
          </cell>
        </row>
        <row r="240">
          <cell r="A240" t="str">
            <v>2112</v>
          </cell>
          <cell r="D240" t="str">
            <v>Independence Township (Warren)</v>
          </cell>
        </row>
        <row r="241">
          <cell r="A241" t="str">
            <v>1320</v>
          </cell>
          <cell r="D241" t="str">
            <v>Interlaken Borough (Monmouth)</v>
          </cell>
        </row>
        <row r="242">
          <cell r="A242" t="str">
            <v>0709</v>
          </cell>
          <cell r="D242" t="str">
            <v>Irvington Township (Essex)</v>
          </cell>
        </row>
        <row r="243">
          <cell r="A243" t="str">
            <v>1510</v>
          </cell>
          <cell r="D243" t="str">
            <v>Island Heights Borough (Ocean)</v>
          </cell>
        </row>
        <row r="244">
          <cell r="A244" t="str">
            <v>1511</v>
          </cell>
          <cell r="D244" t="str">
            <v>Jackson Township (Ocean)</v>
          </cell>
        </row>
        <row r="245">
          <cell r="A245" t="str">
            <v>1208</v>
          </cell>
          <cell r="D245" t="str">
            <v>Jamesburg Borough (Middlesex)</v>
          </cell>
        </row>
        <row r="246">
          <cell r="A246" t="str">
            <v>1414</v>
          </cell>
          <cell r="D246" t="str">
            <v>Jefferson Township (Morris)</v>
          </cell>
        </row>
        <row r="247">
          <cell r="A247" t="str">
            <v>0906</v>
          </cell>
          <cell r="D247" t="str">
            <v>Jersey City City (Hudson)</v>
          </cell>
        </row>
        <row r="248">
          <cell r="A248" t="str">
            <v>1321</v>
          </cell>
          <cell r="D248" t="str">
            <v>Keansburg Borough (Monmouth)</v>
          </cell>
        </row>
        <row r="249">
          <cell r="A249" t="str">
            <v>0907</v>
          </cell>
          <cell r="D249" t="str">
            <v>Kearny Town (Hudson)</v>
          </cell>
        </row>
        <row r="250">
          <cell r="A250" t="str">
            <v>2008</v>
          </cell>
          <cell r="D250" t="str">
            <v>Kenilworth Borough (Union)</v>
          </cell>
        </row>
        <row r="251">
          <cell r="A251" t="str">
            <v>1322</v>
          </cell>
          <cell r="D251" t="str">
            <v>Keyport Borough (Monmouth)</v>
          </cell>
        </row>
        <row r="252">
          <cell r="A252" t="str">
            <v>1016</v>
          </cell>
          <cell r="D252" t="str">
            <v>Kingwood Township (Hunterdon)</v>
          </cell>
        </row>
        <row r="253">
          <cell r="A253" t="str">
            <v>1415</v>
          </cell>
          <cell r="D253" t="str">
            <v>Kinnelon Borough (Morris)</v>
          </cell>
        </row>
        <row r="254">
          <cell r="A254" t="str">
            <v>2113</v>
          </cell>
          <cell r="D254" t="str">
            <v>Knowlton Township (Warren)</v>
          </cell>
        </row>
        <row r="255">
          <cell r="A255" t="str">
            <v>1512</v>
          </cell>
          <cell r="D255" t="str">
            <v>Lacey Township (Ocean)</v>
          </cell>
        </row>
        <row r="256">
          <cell r="A256" t="str">
            <v>1913</v>
          </cell>
          <cell r="D256" t="str">
            <v>Lafayette Township (Sussex)</v>
          </cell>
        </row>
        <row r="257">
          <cell r="A257" t="str">
            <v>1347</v>
          </cell>
          <cell r="D257" t="str">
            <v>Lake Como Borough (South Belmar) (Monmouth)</v>
          </cell>
        </row>
        <row r="258">
          <cell r="A258" t="str">
            <v>1513</v>
          </cell>
          <cell r="D258" t="str">
            <v>Lakehurst Borough (Ocean)</v>
          </cell>
        </row>
        <row r="259">
          <cell r="A259" t="str">
            <v>1514</v>
          </cell>
          <cell r="D259" t="str">
            <v>Lakewood Township (Ocean)</v>
          </cell>
        </row>
        <row r="260">
          <cell r="A260" t="str">
            <v>1017</v>
          </cell>
          <cell r="D260" t="str">
            <v>Lambertville City (Hunterdon)</v>
          </cell>
        </row>
        <row r="261">
          <cell r="A261" t="str">
            <v>0420</v>
          </cell>
          <cell r="D261" t="str">
            <v>Laurel Springs Borough (Camden)</v>
          </cell>
        </row>
        <row r="262">
          <cell r="A262" t="str">
            <v>1515</v>
          </cell>
          <cell r="D262" t="str">
            <v>Lavallette Borough (Ocean)</v>
          </cell>
        </row>
        <row r="263">
          <cell r="A263" t="str">
            <v>0421</v>
          </cell>
          <cell r="D263" t="str">
            <v>Lawnside Borough (Camden)</v>
          </cell>
        </row>
        <row r="264">
          <cell r="A264" t="str">
            <v>0608</v>
          </cell>
          <cell r="D264" t="str">
            <v>Lawrence Township (Cumberland)</v>
          </cell>
        </row>
        <row r="265">
          <cell r="A265" t="str">
            <v>1107</v>
          </cell>
          <cell r="D265" t="str">
            <v>Lawrence Township (Mercer)</v>
          </cell>
        </row>
        <row r="266">
          <cell r="A266" t="str">
            <v>1018</v>
          </cell>
          <cell r="D266" t="str">
            <v>Lebanon Borough (Hunterdon)</v>
          </cell>
        </row>
        <row r="267">
          <cell r="A267" t="str">
            <v>1019</v>
          </cell>
          <cell r="D267" t="str">
            <v>Lebanon Township (Hunterdon)</v>
          </cell>
        </row>
        <row r="268">
          <cell r="A268" t="str">
            <v>0229</v>
          </cell>
          <cell r="D268" t="str">
            <v>Leonia Borough (Bergen)</v>
          </cell>
        </row>
        <row r="269">
          <cell r="A269" t="str">
            <v>2114</v>
          </cell>
          <cell r="D269" t="str">
            <v>Liberty Township (Warren)</v>
          </cell>
        </row>
        <row r="270">
          <cell r="A270" t="str">
            <v>1416</v>
          </cell>
          <cell r="D270" t="str">
            <v>Lincoln Park Borough (Morris)</v>
          </cell>
        </row>
        <row r="271">
          <cell r="A271" t="str">
            <v>2009</v>
          </cell>
          <cell r="D271" t="str">
            <v>Linden City (Union)</v>
          </cell>
        </row>
        <row r="272">
          <cell r="A272" t="str">
            <v>0422</v>
          </cell>
          <cell r="D272" t="str">
            <v>Lindenwold Borough (Camden)</v>
          </cell>
        </row>
        <row r="273">
          <cell r="A273" t="str">
            <v>0114</v>
          </cell>
          <cell r="D273" t="str">
            <v>Linwood City (Atlantic)</v>
          </cell>
        </row>
        <row r="274">
          <cell r="A274" t="str">
            <v>1516</v>
          </cell>
          <cell r="D274" t="str">
            <v>Little Egg Harbor Township (Ocean)</v>
          </cell>
        </row>
        <row r="275">
          <cell r="A275" t="str">
            <v>1605</v>
          </cell>
          <cell r="D275" t="str">
            <v>Little Falls Township (Passaic)</v>
          </cell>
        </row>
        <row r="276">
          <cell r="A276" t="str">
            <v>0230</v>
          </cell>
          <cell r="D276" t="str">
            <v>Little Ferry Borough (Bergen)</v>
          </cell>
        </row>
        <row r="277">
          <cell r="A277" t="str">
            <v>1323</v>
          </cell>
          <cell r="D277" t="str">
            <v>Little Silver Borough (Monmouth)</v>
          </cell>
        </row>
        <row r="278">
          <cell r="A278" t="str">
            <v>0710</v>
          </cell>
          <cell r="D278" t="str">
            <v>Livingston Township (Essex)</v>
          </cell>
        </row>
        <row r="279">
          <cell r="A279" t="str">
            <v>1324</v>
          </cell>
          <cell r="D279" t="str">
            <v>Loch Arbour Village (Monmouth)</v>
          </cell>
        </row>
        <row r="280">
          <cell r="A280" t="str">
            <v>0231</v>
          </cell>
          <cell r="D280" t="str">
            <v>Lodi Borough (Bergen)</v>
          </cell>
        </row>
        <row r="281">
          <cell r="A281" t="str">
            <v>0809</v>
          </cell>
          <cell r="D281" t="str">
            <v>Logan Township (Gloucester)</v>
          </cell>
        </row>
        <row r="282">
          <cell r="A282" t="str">
            <v>1517</v>
          </cell>
          <cell r="D282" t="str">
            <v>Long Beach Township (Ocean)</v>
          </cell>
        </row>
        <row r="283">
          <cell r="A283" t="str">
            <v>1325</v>
          </cell>
          <cell r="D283" t="str">
            <v>Long Branch City (Monmouth)</v>
          </cell>
        </row>
        <row r="284">
          <cell r="A284" t="str">
            <v>1430</v>
          </cell>
          <cell r="D284" t="str">
            <v>Long Hill Township (Morris)</v>
          </cell>
        </row>
        <row r="285">
          <cell r="A285" t="str">
            <v>0115</v>
          </cell>
          <cell r="D285" t="str">
            <v>Longport Borough (Atlantic)</v>
          </cell>
        </row>
        <row r="286">
          <cell r="A286" t="str">
            <v>2115</v>
          </cell>
          <cell r="D286" t="str">
            <v>Lopatcong Township (Warren)</v>
          </cell>
        </row>
        <row r="287">
          <cell r="A287" t="str">
            <v>1704</v>
          </cell>
          <cell r="D287" t="str">
            <v>Lower Alloways Creek Township (Salem)</v>
          </cell>
        </row>
        <row r="288">
          <cell r="A288" t="str">
            <v>0505</v>
          </cell>
          <cell r="D288" t="str">
            <v>Lower Township (Cape May)</v>
          </cell>
        </row>
        <row r="289">
          <cell r="A289" t="str">
            <v>0317</v>
          </cell>
          <cell r="D289" t="str">
            <v>Lumberton Township (Burlington)</v>
          </cell>
        </row>
        <row r="290">
          <cell r="A290" t="str">
            <v>0232</v>
          </cell>
          <cell r="D290" t="str">
            <v>Lyndhurst Township (Bergen)</v>
          </cell>
        </row>
        <row r="291">
          <cell r="A291" t="str">
            <v>1417</v>
          </cell>
          <cell r="D291" t="str">
            <v>Madison Borough (Morris)</v>
          </cell>
        </row>
        <row r="292">
          <cell r="A292" t="str">
            <v>0423</v>
          </cell>
          <cell r="D292" t="str">
            <v>Magnolia Borough (Camden)</v>
          </cell>
        </row>
        <row r="293">
          <cell r="A293" t="str">
            <v>0233</v>
          </cell>
          <cell r="D293" t="str">
            <v>Mahwah Township (Bergen)</v>
          </cell>
        </row>
        <row r="294">
          <cell r="A294" t="str">
            <v>1326</v>
          </cell>
          <cell r="D294" t="str">
            <v>Manalapan Township (Monmouth)</v>
          </cell>
        </row>
        <row r="295">
          <cell r="A295" t="str">
            <v>1327</v>
          </cell>
          <cell r="D295" t="str">
            <v>Manasquan Borough (Monmouth)</v>
          </cell>
        </row>
        <row r="296">
          <cell r="A296" t="str">
            <v>1518</v>
          </cell>
          <cell r="D296" t="str">
            <v>Manchester Township (Ocean)</v>
          </cell>
        </row>
        <row r="297">
          <cell r="A297" t="str">
            <v>1705</v>
          </cell>
          <cell r="D297" t="str">
            <v>Mannington Township (Salem)</v>
          </cell>
        </row>
        <row r="298">
          <cell r="A298" t="str">
            <v>0318</v>
          </cell>
          <cell r="D298" t="str">
            <v>Mansfield Township (Burlington)</v>
          </cell>
        </row>
        <row r="299">
          <cell r="A299" t="str">
            <v>2116</v>
          </cell>
          <cell r="D299" t="str">
            <v>Mansfield Township (Warren)</v>
          </cell>
        </row>
        <row r="300">
          <cell r="A300" t="str">
            <v>1519</v>
          </cell>
          <cell r="D300" t="str">
            <v>Mantoloking Borough (Ocean)</v>
          </cell>
        </row>
        <row r="301">
          <cell r="A301" t="str">
            <v>0810</v>
          </cell>
          <cell r="D301" t="str">
            <v>Mantua Township (Gloucester)</v>
          </cell>
        </row>
        <row r="302">
          <cell r="A302" t="str">
            <v>1811</v>
          </cell>
          <cell r="D302" t="str">
            <v>Manville Borough (Somerset)</v>
          </cell>
        </row>
        <row r="303">
          <cell r="A303" t="str">
            <v>0319</v>
          </cell>
          <cell r="D303" t="str">
            <v>Maple Shade Borough (Burlington)</v>
          </cell>
        </row>
        <row r="304">
          <cell r="A304" t="str">
            <v>0711</v>
          </cell>
          <cell r="D304" t="str">
            <v>Maplewood Township (Essex)</v>
          </cell>
        </row>
        <row r="305">
          <cell r="A305" t="str">
            <v>0116</v>
          </cell>
          <cell r="D305" t="str">
            <v>Margate City (Atlantic)</v>
          </cell>
        </row>
        <row r="306">
          <cell r="A306" t="str">
            <v>1328</v>
          </cell>
          <cell r="D306" t="str">
            <v>Marlboro Township (Monmouth)</v>
          </cell>
        </row>
        <row r="307">
          <cell r="A307" t="str">
            <v>1329</v>
          </cell>
          <cell r="D307" t="str">
            <v>Matawan Borough (Monmouth)</v>
          </cell>
        </row>
        <row r="308">
          <cell r="A308" t="str">
            <v>0609</v>
          </cell>
          <cell r="D308" t="str">
            <v>Maurice River Township (Cumberland)</v>
          </cell>
        </row>
        <row r="309">
          <cell r="A309" t="str">
            <v>0234</v>
          </cell>
          <cell r="D309" t="str">
            <v>Maywood Borough (Bergen)</v>
          </cell>
        </row>
        <row r="310">
          <cell r="A310" t="str">
            <v>0321</v>
          </cell>
          <cell r="D310" t="str">
            <v>Medford Lakes Borough (Burlington)</v>
          </cell>
        </row>
        <row r="311">
          <cell r="A311" t="str">
            <v>0320</v>
          </cell>
          <cell r="D311" t="str">
            <v>Medford Township (Burlington)</v>
          </cell>
        </row>
        <row r="312">
          <cell r="A312" t="str">
            <v>1418</v>
          </cell>
          <cell r="D312" t="str">
            <v>Mendham Borough (Morris)</v>
          </cell>
        </row>
        <row r="313">
          <cell r="A313" t="str">
            <v>1419</v>
          </cell>
          <cell r="D313" t="str">
            <v>Mendham Township (Morris)</v>
          </cell>
        </row>
        <row r="314">
          <cell r="A314" t="str">
            <v>1100</v>
          </cell>
          <cell r="D314" t="str">
            <v>Mercer County (Mercer)</v>
          </cell>
        </row>
        <row r="315">
          <cell r="A315" t="str">
            <v>0424</v>
          </cell>
          <cell r="D315" t="str">
            <v>Merchantville Borough (Camden)</v>
          </cell>
        </row>
        <row r="316">
          <cell r="A316" t="str">
            <v>1210</v>
          </cell>
          <cell r="D316" t="str">
            <v>Metuchen Borough (Middlesex)</v>
          </cell>
        </row>
        <row r="317">
          <cell r="A317" t="str">
            <v>0506</v>
          </cell>
          <cell r="D317" t="str">
            <v>Middle Township (Cape May)</v>
          </cell>
        </row>
        <row r="318">
          <cell r="A318" t="str">
            <v>1211</v>
          </cell>
          <cell r="D318" t="str">
            <v>Middlesex Borough (Middlesex)</v>
          </cell>
        </row>
        <row r="319">
          <cell r="A319" t="str">
            <v>1200</v>
          </cell>
          <cell r="D319" t="str">
            <v>Middlesex County (Middlesex)</v>
          </cell>
        </row>
        <row r="320">
          <cell r="A320" t="str">
            <v>1331</v>
          </cell>
          <cell r="D320" t="str">
            <v>Middletown Township (Monmouth)</v>
          </cell>
        </row>
        <row r="321">
          <cell r="A321" t="str">
            <v>0235</v>
          </cell>
          <cell r="D321" t="str">
            <v>Midland Park Borough (Bergen)</v>
          </cell>
        </row>
        <row r="322">
          <cell r="A322" t="str">
            <v>1020</v>
          </cell>
          <cell r="D322" t="str">
            <v>Milford Borough (Hunterdon)</v>
          </cell>
        </row>
        <row r="323">
          <cell r="A323" t="str">
            <v>0712</v>
          </cell>
          <cell r="D323" t="str">
            <v>Millburn Township (Essex)</v>
          </cell>
        </row>
        <row r="324">
          <cell r="A324" t="str">
            <v>1812</v>
          </cell>
          <cell r="D324" t="str">
            <v>Millstone Borough (Somerset)</v>
          </cell>
        </row>
        <row r="325">
          <cell r="A325" t="str">
            <v>1332</v>
          </cell>
          <cell r="D325" t="str">
            <v>Millstone Township (Monmouth)</v>
          </cell>
        </row>
        <row r="326">
          <cell r="A326" t="str">
            <v>1212</v>
          </cell>
          <cell r="D326" t="str">
            <v>Milltown Borough (Middlesex)</v>
          </cell>
        </row>
        <row r="327">
          <cell r="A327" t="str">
            <v>0610</v>
          </cell>
          <cell r="D327" t="str">
            <v>Millville City (Cumberland)</v>
          </cell>
        </row>
        <row r="328">
          <cell r="A328" t="str">
            <v>1420</v>
          </cell>
          <cell r="D328" t="str">
            <v>Mine Hill Township (Morris)</v>
          </cell>
        </row>
        <row r="329">
          <cell r="A329" t="str">
            <v>1333</v>
          </cell>
          <cell r="D329" t="str">
            <v>Monmouth Beach Borough (Monmouth)</v>
          </cell>
        </row>
        <row r="330">
          <cell r="A330" t="str">
            <v>1300</v>
          </cell>
          <cell r="D330" t="str">
            <v>Monmouth County (Monmouth)</v>
          </cell>
        </row>
        <row r="331">
          <cell r="A331" t="str">
            <v>0811</v>
          </cell>
          <cell r="D331" t="str">
            <v>Monroe Township (Gloucester)</v>
          </cell>
        </row>
        <row r="332">
          <cell r="A332" t="str">
            <v>1213</v>
          </cell>
          <cell r="D332" t="str">
            <v>Monroe Township (Middlesex)</v>
          </cell>
        </row>
        <row r="333">
          <cell r="A333" t="str">
            <v>1914</v>
          </cell>
          <cell r="D333" t="str">
            <v>Montague Township (Sussex)</v>
          </cell>
        </row>
        <row r="334">
          <cell r="A334" t="str">
            <v>0713</v>
          </cell>
          <cell r="D334" t="str">
            <v>Montclair Township (Essex)</v>
          </cell>
        </row>
        <row r="335">
          <cell r="A335" t="str">
            <v>1813</v>
          </cell>
          <cell r="D335" t="str">
            <v>Montgomery Township (Somerset)</v>
          </cell>
        </row>
        <row r="336">
          <cell r="A336" t="str">
            <v>0236</v>
          </cell>
          <cell r="D336" t="str">
            <v>Montvale Borough (Bergen)</v>
          </cell>
        </row>
        <row r="337">
          <cell r="A337" t="str">
            <v>1421</v>
          </cell>
          <cell r="D337" t="str">
            <v>Montville Township (Morris)</v>
          </cell>
        </row>
        <row r="338">
          <cell r="A338" t="str">
            <v>0237</v>
          </cell>
          <cell r="D338" t="str">
            <v>Moonachie Borough (Bergen)</v>
          </cell>
        </row>
        <row r="339">
          <cell r="A339" t="str">
            <v>0322</v>
          </cell>
          <cell r="D339" t="str">
            <v>Moorestown Township (Burlington)</v>
          </cell>
        </row>
        <row r="340">
          <cell r="A340" t="str">
            <v>1400</v>
          </cell>
          <cell r="D340" t="str">
            <v>Morris County (Morris)</v>
          </cell>
        </row>
        <row r="341">
          <cell r="A341" t="str">
            <v>1423</v>
          </cell>
          <cell r="D341" t="str">
            <v>Morris Plains Borough (Morris)</v>
          </cell>
        </row>
        <row r="342">
          <cell r="A342" t="str">
            <v>1422</v>
          </cell>
          <cell r="D342" t="str">
            <v>Morris Township (Morris)</v>
          </cell>
        </row>
        <row r="343">
          <cell r="A343" t="str">
            <v>1424</v>
          </cell>
          <cell r="D343" t="str">
            <v>Morristown Town (Morris)</v>
          </cell>
        </row>
        <row r="344">
          <cell r="A344" t="str">
            <v>1426</v>
          </cell>
          <cell r="D344" t="str">
            <v>Mount Arlington Borough (Morris)</v>
          </cell>
        </row>
        <row r="345">
          <cell r="A345" t="str">
            <v>0425</v>
          </cell>
          <cell r="D345" t="str">
            <v>Mount Ephraim Borough (Camden)</v>
          </cell>
        </row>
        <row r="346">
          <cell r="A346" t="str">
            <v>0323</v>
          </cell>
          <cell r="D346" t="str">
            <v>Mount Holly Township (Burlington)</v>
          </cell>
        </row>
        <row r="347">
          <cell r="A347" t="str">
            <v>0324</v>
          </cell>
          <cell r="D347" t="str">
            <v>Mount Laurel Township (Burlington)</v>
          </cell>
        </row>
        <row r="348">
          <cell r="A348" t="str">
            <v>1427</v>
          </cell>
          <cell r="D348" t="str">
            <v>Mount Olive Township (Morris)</v>
          </cell>
        </row>
        <row r="349">
          <cell r="A349" t="str">
            <v>1425</v>
          </cell>
          <cell r="D349" t="str">
            <v>Mountain Lakes Borough (Morris)</v>
          </cell>
        </row>
        <row r="350">
          <cell r="A350" t="str">
            <v>2010</v>
          </cell>
          <cell r="D350" t="str">
            <v>Mountainside Borough (Union)</v>
          </cell>
        </row>
        <row r="351">
          <cell r="A351" t="str">
            <v>0117</v>
          </cell>
          <cell r="D351" t="str">
            <v>Mullica Township (Atlantic)</v>
          </cell>
        </row>
        <row r="352">
          <cell r="A352" t="str">
            <v>0812</v>
          </cell>
          <cell r="D352" t="str">
            <v>National Park Borough (Gloucester)</v>
          </cell>
        </row>
        <row r="353">
          <cell r="A353" t="str">
            <v>1335</v>
          </cell>
          <cell r="D353" t="str">
            <v>Neptune City Borough (Monmouth)</v>
          </cell>
        </row>
        <row r="354">
          <cell r="A354" t="str">
            <v>1334</v>
          </cell>
          <cell r="D354" t="str">
            <v>Neptune Township (Monmouth)</v>
          </cell>
        </row>
        <row r="355">
          <cell r="A355" t="str">
            <v>1428</v>
          </cell>
          <cell r="D355" t="str">
            <v>Netcong Borough (Morris)</v>
          </cell>
        </row>
        <row r="356">
          <cell r="A356" t="str">
            <v>1214</v>
          </cell>
          <cell r="D356" t="str">
            <v>New Brunswick City (Middlesex)</v>
          </cell>
        </row>
        <row r="357">
          <cell r="A357" t="str">
            <v>0325</v>
          </cell>
          <cell r="D357" t="str">
            <v>New Hanover Township (Burlington)</v>
          </cell>
        </row>
        <row r="358">
          <cell r="A358" t="str">
            <v>0238</v>
          </cell>
          <cell r="D358" t="str">
            <v>New Milford Borough (Bergen)</v>
          </cell>
        </row>
        <row r="359">
          <cell r="A359" t="str">
            <v>2011</v>
          </cell>
          <cell r="D359" t="str">
            <v>New Providence Borough (Union)</v>
          </cell>
        </row>
        <row r="360">
          <cell r="A360" t="str">
            <v>0714</v>
          </cell>
          <cell r="D360" t="str">
            <v>Newark City (Essex)</v>
          </cell>
        </row>
        <row r="361">
          <cell r="A361" t="str">
            <v>0813</v>
          </cell>
          <cell r="D361" t="str">
            <v>Newfield Borough (Gloucester)</v>
          </cell>
        </row>
        <row r="362">
          <cell r="A362" t="str">
            <v>1915</v>
          </cell>
          <cell r="D362" t="str">
            <v>Newton Town (Sussex)</v>
          </cell>
        </row>
        <row r="363">
          <cell r="A363" t="str">
            <v>0239</v>
          </cell>
          <cell r="D363" t="str">
            <v>North Arlington Borough (Bergen)</v>
          </cell>
        </row>
        <row r="364">
          <cell r="A364" t="str">
            <v>0908</v>
          </cell>
          <cell r="D364" t="str">
            <v>North Bergen Township (Hudson)</v>
          </cell>
        </row>
        <row r="365">
          <cell r="A365" t="str">
            <v>1215</v>
          </cell>
          <cell r="D365" t="str">
            <v>North Brunswick Township (Middlesex)</v>
          </cell>
        </row>
        <row r="366">
          <cell r="A366" t="str">
            <v>0715</v>
          </cell>
          <cell r="D366" t="str">
            <v>North Caldwell Borough (Essex)</v>
          </cell>
        </row>
        <row r="367">
          <cell r="A367" t="str">
            <v>1606</v>
          </cell>
          <cell r="D367" t="str">
            <v>North Haledon Borough (Passaic)</v>
          </cell>
        </row>
        <row r="368">
          <cell r="A368" t="str">
            <v>0326</v>
          </cell>
          <cell r="D368" t="str">
            <v>North Hanover Township (Burlington)</v>
          </cell>
        </row>
        <row r="369">
          <cell r="A369" t="str">
            <v>1814</v>
          </cell>
          <cell r="D369" t="str">
            <v>North Plainfield Borough (Somerset)</v>
          </cell>
        </row>
        <row r="370">
          <cell r="A370" t="str">
            <v>0507</v>
          </cell>
          <cell r="D370" t="str">
            <v>North Wildwood City (Cape May)</v>
          </cell>
        </row>
        <row r="371">
          <cell r="A371" t="str">
            <v>0118</v>
          </cell>
          <cell r="D371" t="str">
            <v>Northfield City (Atlantic)</v>
          </cell>
        </row>
        <row r="372">
          <cell r="A372" t="str">
            <v>0240</v>
          </cell>
          <cell r="D372" t="str">
            <v>Northvale Borough (Bergen)</v>
          </cell>
        </row>
        <row r="373">
          <cell r="A373" t="str">
            <v>0241</v>
          </cell>
          <cell r="D373" t="str">
            <v>Norwood Borough (Bergen)</v>
          </cell>
        </row>
        <row r="374">
          <cell r="A374" t="str">
            <v>0716</v>
          </cell>
          <cell r="D374" t="str">
            <v>Nutley Township (Essex)</v>
          </cell>
        </row>
        <row r="375">
          <cell r="A375" t="str">
            <v>0242</v>
          </cell>
          <cell r="D375" t="str">
            <v>Oakland Borough (Bergen)</v>
          </cell>
        </row>
        <row r="376">
          <cell r="A376" t="str">
            <v>0426</v>
          </cell>
          <cell r="D376" t="str">
            <v>Oaklyn Borough (Camden)</v>
          </cell>
        </row>
        <row r="377">
          <cell r="A377" t="str">
            <v>0508</v>
          </cell>
          <cell r="D377" t="str">
            <v>Ocean City City (Cape May)</v>
          </cell>
        </row>
        <row r="378">
          <cell r="A378" t="str">
            <v>1500</v>
          </cell>
          <cell r="D378" t="str">
            <v>Ocean County (Ocean)</v>
          </cell>
        </row>
        <row r="379">
          <cell r="A379" t="str">
            <v>1521</v>
          </cell>
          <cell r="D379" t="str">
            <v>Ocean Gate Borough (Ocean)</v>
          </cell>
        </row>
        <row r="380">
          <cell r="A380" t="str">
            <v>1337</v>
          </cell>
          <cell r="D380" t="str">
            <v>Ocean Township (Monmouth)</v>
          </cell>
        </row>
        <row r="381">
          <cell r="A381" t="str">
            <v>1520</v>
          </cell>
          <cell r="D381" t="str">
            <v>Ocean Township (Ocean)</v>
          </cell>
        </row>
        <row r="382">
          <cell r="A382" t="str">
            <v>1338</v>
          </cell>
          <cell r="D382" t="str">
            <v>Oceanport Borough (Monmouth)</v>
          </cell>
        </row>
        <row r="383">
          <cell r="A383" t="str">
            <v>1916</v>
          </cell>
          <cell r="D383" t="str">
            <v>Ogdensburg Borough (Sussex)</v>
          </cell>
        </row>
        <row r="384">
          <cell r="A384" t="str">
            <v>1209</v>
          </cell>
          <cell r="D384" t="str">
            <v>Old Bridge Township (Middlesex)</v>
          </cell>
        </row>
        <row r="385">
          <cell r="A385" t="str">
            <v>0243</v>
          </cell>
          <cell r="D385" t="str">
            <v>Old Tappan Borough (Bergen)</v>
          </cell>
        </row>
        <row r="386">
          <cell r="A386" t="str">
            <v>1706</v>
          </cell>
          <cell r="D386" t="str">
            <v>Oldmans Township (Salem)</v>
          </cell>
        </row>
        <row r="387">
          <cell r="A387" t="str">
            <v>0244</v>
          </cell>
          <cell r="D387" t="str">
            <v>Oradell Borough (Bergen)</v>
          </cell>
        </row>
        <row r="388">
          <cell r="A388" t="str">
            <v>0717</v>
          </cell>
          <cell r="D388" t="str">
            <v>Orange City (Essex)</v>
          </cell>
        </row>
        <row r="389">
          <cell r="A389" t="str">
            <v>2117</v>
          </cell>
          <cell r="D389" t="str">
            <v>Oxford Township (Warren)</v>
          </cell>
        </row>
        <row r="390">
          <cell r="A390" t="str">
            <v>0245</v>
          </cell>
          <cell r="D390" t="str">
            <v>Palisades Park Borough (Bergen)</v>
          </cell>
        </row>
        <row r="391">
          <cell r="A391" t="str">
            <v>0327</v>
          </cell>
          <cell r="D391" t="str">
            <v>Palmyra Borough (Burlington)</v>
          </cell>
        </row>
        <row r="392">
          <cell r="A392" t="str">
            <v>0246</v>
          </cell>
          <cell r="D392" t="str">
            <v>Paramus Borough (Bergen)</v>
          </cell>
        </row>
        <row r="393">
          <cell r="A393" t="str">
            <v>0247</v>
          </cell>
          <cell r="D393" t="str">
            <v>Park Ridge Borough (Bergen)</v>
          </cell>
        </row>
        <row r="394">
          <cell r="A394" t="str">
            <v>1429</v>
          </cell>
          <cell r="D394" t="str">
            <v>Parsippany-Troy Hills Township (Morris)</v>
          </cell>
        </row>
        <row r="395">
          <cell r="A395" t="str">
            <v>1607</v>
          </cell>
          <cell r="D395" t="str">
            <v>Passaic City (Passaic)</v>
          </cell>
        </row>
        <row r="396">
          <cell r="A396" t="str">
            <v>1600</v>
          </cell>
          <cell r="D396" t="str">
            <v>Passaic County (Passaic)</v>
          </cell>
        </row>
        <row r="397">
          <cell r="A397" t="str">
            <v>1608</v>
          </cell>
          <cell r="D397" t="str">
            <v>Paterson City (Passaic)</v>
          </cell>
        </row>
        <row r="398">
          <cell r="A398" t="str">
            <v>0814</v>
          </cell>
          <cell r="D398" t="str">
            <v>Paulsboro Borough (Gloucester)</v>
          </cell>
        </row>
        <row r="399">
          <cell r="A399" t="str">
            <v>1815</v>
          </cell>
          <cell r="D399" t="str">
            <v>Peapack-Gladstone Borough (Somerset)</v>
          </cell>
        </row>
        <row r="400">
          <cell r="A400" t="str">
            <v>0328</v>
          </cell>
          <cell r="D400" t="str">
            <v>Pemberton Borough (Burlington)</v>
          </cell>
        </row>
        <row r="401">
          <cell r="A401" t="str">
            <v>0329</v>
          </cell>
          <cell r="D401" t="str">
            <v>Pemberton Township (Burlington)</v>
          </cell>
        </row>
        <row r="402">
          <cell r="A402" t="str">
            <v>1108</v>
          </cell>
          <cell r="D402" t="str">
            <v>Pennington Borough (Mercer)</v>
          </cell>
        </row>
        <row r="403">
          <cell r="A403" t="str">
            <v>1707</v>
          </cell>
          <cell r="D403" t="str">
            <v>Penns Grove Borough (Salem)</v>
          </cell>
        </row>
        <row r="404">
          <cell r="A404" t="str">
            <v>0427</v>
          </cell>
          <cell r="D404" t="str">
            <v>Pennsauken Township (Camden)</v>
          </cell>
        </row>
        <row r="405">
          <cell r="A405" t="str">
            <v>1708</v>
          </cell>
          <cell r="D405" t="str">
            <v>Pennsville Township (Salem)</v>
          </cell>
        </row>
        <row r="406">
          <cell r="A406" t="str">
            <v>1431</v>
          </cell>
          <cell r="D406" t="str">
            <v>Pequannock Township (Morris)</v>
          </cell>
        </row>
        <row r="407">
          <cell r="A407" t="str">
            <v>1216</v>
          </cell>
          <cell r="D407" t="str">
            <v>Perth Amboy City (Middlesex)</v>
          </cell>
        </row>
        <row r="408">
          <cell r="A408" t="str">
            <v>2119</v>
          </cell>
          <cell r="D408" t="str">
            <v>Phillipsburg Town (Warren)</v>
          </cell>
        </row>
        <row r="409">
          <cell r="A409" t="str">
            <v>1709</v>
          </cell>
          <cell r="D409" t="str">
            <v>Pilesgrove Township (Salem)</v>
          </cell>
        </row>
        <row r="410">
          <cell r="A410" t="str">
            <v>1522</v>
          </cell>
          <cell r="D410" t="str">
            <v>Pine Beach Borough (Ocean)</v>
          </cell>
        </row>
        <row r="411">
          <cell r="A411" t="str">
            <v>0428</v>
          </cell>
          <cell r="D411" t="str">
            <v>Pine Hill Borough (Camden)</v>
          </cell>
        </row>
        <row r="412">
          <cell r="A412" t="str">
            <v>0429</v>
          </cell>
          <cell r="D412" t="str">
            <v>Pine Valley Borough (Camden)</v>
          </cell>
        </row>
        <row r="413">
          <cell r="A413" t="str">
            <v>1217</v>
          </cell>
          <cell r="D413" t="str">
            <v>Piscataway Township (Middlesex)</v>
          </cell>
        </row>
        <row r="414">
          <cell r="A414" t="str">
            <v>0815</v>
          </cell>
          <cell r="D414" t="str">
            <v>Pitman Borough (Gloucester)</v>
          </cell>
        </row>
        <row r="415">
          <cell r="A415" t="str">
            <v>1710</v>
          </cell>
          <cell r="D415" t="str">
            <v>Pittsgrove Township (Salem)</v>
          </cell>
        </row>
        <row r="416">
          <cell r="A416" t="str">
            <v>2012</v>
          </cell>
          <cell r="D416" t="str">
            <v>Plainfield City (Union)</v>
          </cell>
        </row>
        <row r="417">
          <cell r="A417" t="str">
            <v>1218</v>
          </cell>
          <cell r="D417" t="str">
            <v>Plainsboro Township (Middlesex)</v>
          </cell>
        </row>
        <row r="418">
          <cell r="A418" t="str">
            <v>0119</v>
          </cell>
          <cell r="D418" t="str">
            <v>Pleasantville City (Atlantic)</v>
          </cell>
        </row>
        <row r="419">
          <cell r="A419" t="str">
            <v>1523</v>
          </cell>
          <cell r="D419" t="str">
            <v>Plumsted Township (Ocean)</v>
          </cell>
        </row>
        <row r="420">
          <cell r="A420" t="str">
            <v>2120</v>
          </cell>
          <cell r="D420" t="str">
            <v>Pohatcong Township (Warren)</v>
          </cell>
        </row>
        <row r="421">
          <cell r="A421" t="str">
            <v>1525</v>
          </cell>
          <cell r="D421" t="str">
            <v>Point Pleasant Beach Borough (Ocean)</v>
          </cell>
        </row>
        <row r="422">
          <cell r="A422" t="str">
            <v>1524</v>
          </cell>
          <cell r="D422" t="str">
            <v>Point Pleasant Borough (Ocean)</v>
          </cell>
        </row>
        <row r="423">
          <cell r="A423" t="str">
            <v>1609</v>
          </cell>
          <cell r="D423" t="str">
            <v>Pompton Lakes Borough (Passaic)</v>
          </cell>
        </row>
        <row r="424">
          <cell r="A424" t="str">
            <v>0120</v>
          </cell>
          <cell r="D424" t="str">
            <v>Port Republic City (Atlantic)</v>
          </cell>
        </row>
        <row r="425">
          <cell r="A425" t="str">
            <v>1109</v>
          </cell>
          <cell r="D425" t="str">
            <v>Princeton Borough (Mercer)</v>
          </cell>
        </row>
        <row r="426">
          <cell r="A426" t="str">
            <v>1110</v>
          </cell>
          <cell r="D426" t="str">
            <v>Princeton Township (Mercer)</v>
          </cell>
        </row>
        <row r="427">
          <cell r="A427" t="str">
            <v>1610</v>
          </cell>
          <cell r="D427" t="str">
            <v>Prospect Park Borough (Passaic)</v>
          </cell>
        </row>
        <row r="428">
          <cell r="A428" t="str">
            <v>1711</v>
          </cell>
          <cell r="D428" t="str">
            <v>Quinton Township (Salem)</v>
          </cell>
        </row>
        <row r="429">
          <cell r="A429" t="str">
            <v>2013</v>
          </cell>
          <cell r="D429" t="str">
            <v>Rahway City (Union)</v>
          </cell>
        </row>
        <row r="430">
          <cell r="A430" t="str">
            <v>0248</v>
          </cell>
          <cell r="D430" t="str">
            <v>Ramsey Borough (Bergen)</v>
          </cell>
        </row>
        <row r="431">
          <cell r="A431" t="str">
            <v>1432</v>
          </cell>
          <cell r="D431" t="str">
            <v>Randolph Township (Morris)</v>
          </cell>
        </row>
        <row r="432">
          <cell r="A432" t="str">
            <v>1816</v>
          </cell>
          <cell r="D432" t="str">
            <v>Raritan Borough (Somerset)</v>
          </cell>
        </row>
        <row r="433">
          <cell r="A433" t="str">
            <v>1021</v>
          </cell>
          <cell r="D433" t="str">
            <v>Raritan Township (Hunterdon)</v>
          </cell>
        </row>
        <row r="434">
          <cell r="A434" t="str">
            <v>1022</v>
          </cell>
          <cell r="D434" t="str">
            <v>Readington Township (Hunterdon)</v>
          </cell>
        </row>
        <row r="435">
          <cell r="A435" t="str">
            <v>1340</v>
          </cell>
          <cell r="D435" t="str">
            <v>Red Bank Borough (Monmouth)</v>
          </cell>
        </row>
        <row r="436">
          <cell r="A436" t="str">
            <v>0249</v>
          </cell>
          <cell r="D436" t="str">
            <v>Ridgefield Borough (Bergen)</v>
          </cell>
        </row>
        <row r="437">
          <cell r="A437" t="str">
            <v>0250</v>
          </cell>
          <cell r="D437" t="str">
            <v>Ridgefield Park Village (Bergen)</v>
          </cell>
        </row>
        <row r="438">
          <cell r="A438" t="str">
            <v>0251</v>
          </cell>
          <cell r="D438" t="str">
            <v>Ridgewood Village (Bergen)</v>
          </cell>
        </row>
        <row r="439">
          <cell r="A439" t="str">
            <v>1611</v>
          </cell>
          <cell r="D439" t="str">
            <v>Ringwood Borough (Passaic)</v>
          </cell>
        </row>
        <row r="440">
          <cell r="A440" t="str">
            <v>0252</v>
          </cell>
          <cell r="D440" t="str">
            <v>River Edge Borough (Bergen)</v>
          </cell>
        </row>
        <row r="441">
          <cell r="A441" t="str">
            <v>0253</v>
          </cell>
          <cell r="D441" t="str">
            <v>River Vale Township (Bergen)</v>
          </cell>
        </row>
        <row r="442">
          <cell r="A442" t="str">
            <v>1433</v>
          </cell>
          <cell r="D442" t="str">
            <v>Riverdale Borough (Morris)</v>
          </cell>
        </row>
        <row r="443">
          <cell r="A443" t="str">
            <v>0330</v>
          </cell>
          <cell r="D443" t="str">
            <v>Riverside Township (Burlington)</v>
          </cell>
        </row>
        <row r="444">
          <cell r="A444" t="str">
            <v>0331</v>
          </cell>
          <cell r="D444" t="str">
            <v>Riverton Borough (Burlington)</v>
          </cell>
        </row>
        <row r="445">
          <cell r="A445" t="str">
            <v>1112</v>
          </cell>
          <cell r="D445" t="str">
            <v>Robbinsville Township (Mercer)</v>
          </cell>
        </row>
        <row r="446">
          <cell r="A446" t="str">
            <v>0254</v>
          </cell>
          <cell r="D446" t="str">
            <v>Rochelle Park Township (Bergen)</v>
          </cell>
        </row>
        <row r="447">
          <cell r="A447" t="str">
            <v>1434</v>
          </cell>
          <cell r="D447" t="str">
            <v>Rockaway Borough (Morris)</v>
          </cell>
        </row>
        <row r="448">
          <cell r="A448" t="str">
            <v>1435</v>
          </cell>
          <cell r="D448" t="str">
            <v>Rockaway Township (Morris)</v>
          </cell>
        </row>
        <row r="449">
          <cell r="A449" t="str">
            <v>0255</v>
          </cell>
          <cell r="D449" t="str">
            <v>Rockleigh Borough (Bergen)</v>
          </cell>
        </row>
        <row r="450">
          <cell r="A450" t="str">
            <v>1817</v>
          </cell>
          <cell r="D450" t="str">
            <v>Rocky Hill Borough (Somerset)</v>
          </cell>
        </row>
        <row r="451">
          <cell r="A451" t="str">
            <v>1341</v>
          </cell>
          <cell r="D451" t="str">
            <v>Roosevelt Borough (Monmouth)</v>
          </cell>
        </row>
        <row r="452">
          <cell r="A452" t="str">
            <v>0718</v>
          </cell>
          <cell r="D452" t="str">
            <v>Roseland Borough (Essex)</v>
          </cell>
        </row>
        <row r="453">
          <cell r="A453" t="str">
            <v>2014</v>
          </cell>
          <cell r="D453" t="str">
            <v>Roselle Borough (Union)</v>
          </cell>
        </row>
        <row r="454">
          <cell r="A454" t="str">
            <v>2015</v>
          </cell>
          <cell r="D454" t="str">
            <v>Roselle Park Borough (Union)</v>
          </cell>
        </row>
        <row r="455">
          <cell r="A455" t="str">
            <v>1436</v>
          </cell>
          <cell r="D455" t="str">
            <v>Roxbury Township (Morris)</v>
          </cell>
        </row>
        <row r="456">
          <cell r="A456" t="str">
            <v>1342</v>
          </cell>
          <cell r="D456" t="str">
            <v>Rumson Borough (Monmouth)</v>
          </cell>
        </row>
        <row r="457">
          <cell r="A457" t="str">
            <v>0430</v>
          </cell>
          <cell r="D457" t="str">
            <v>Runnemede Borough (Camden)</v>
          </cell>
        </row>
        <row r="458">
          <cell r="A458" t="str">
            <v>0256</v>
          </cell>
          <cell r="D458" t="str">
            <v>Rutherford Borough (Bergen)</v>
          </cell>
        </row>
        <row r="459">
          <cell r="A459" t="str">
            <v>0257</v>
          </cell>
          <cell r="D459" t="str">
            <v>Saddle Brook Township (Bergen)</v>
          </cell>
        </row>
        <row r="460">
          <cell r="A460" t="str">
            <v>0258</v>
          </cell>
          <cell r="D460" t="str">
            <v>Saddle River Borough (Bergen)</v>
          </cell>
        </row>
        <row r="461">
          <cell r="A461" t="str">
            <v>1712</v>
          </cell>
          <cell r="D461" t="str">
            <v>Salem City (Salem)</v>
          </cell>
        </row>
        <row r="462">
          <cell r="A462" t="str">
            <v>1700</v>
          </cell>
          <cell r="D462" t="str">
            <v>Salem County (Salem)</v>
          </cell>
        </row>
        <row r="463">
          <cell r="A463" t="str">
            <v>1917</v>
          </cell>
          <cell r="D463" t="str">
            <v>Sandyston Township (Sussex)</v>
          </cell>
        </row>
        <row r="464">
          <cell r="A464" t="str">
            <v>1219</v>
          </cell>
          <cell r="D464" t="str">
            <v>Sayreville Borough (Middlesex)</v>
          </cell>
        </row>
        <row r="465">
          <cell r="A465" t="str">
            <v>2016</v>
          </cell>
          <cell r="D465" t="str">
            <v>Scotch Plains Township (Union)</v>
          </cell>
        </row>
        <row r="466">
          <cell r="A466" t="str">
            <v>1343</v>
          </cell>
          <cell r="D466" t="str">
            <v>Sea Bright Borough (Monmouth)</v>
          </cell>
        </row>
        <row r="467">
          <cell r="A467" t="str">
            <v>1344</v>
          </cell>
          <cell r="D467" t="str">
            <v>Sea Girt Borough (Monmouth)</v>
          </cell>
        </row>
        <row r="468">
          <cell r="A468" t="str">
            <v>0509</v>
          </cell>
          <cell r="D468" t="str">
            <v>Sea Isle City (Cape May)</v>
          </cell>
        </row>
        <row r="469">
          <cell r="A469" t="str">
            <v>1526</v>
          </cell>
          <cell r="D469" t="str">
            <v>Seaside Heights Borough (Ocean)</v>
          </cell>
        </row>
        <row r="470">
          <cell r="A470" t="str">
            <v>1527</v>
          </cell>
          <cell r="D470" t="str">
            <v>Seaside Park Borough (Ocean)</v>
          </cell>
        </row>
        <row r="471">
          <cell r="A471" t="str">
            <v>0909</v>
          </cell>
          <cell r="D471" t="str">
            <v>Secaucus Town (Hudson)</v>
          </cell>
        </row>
        <row r="472">
          <cell r="A472" t="str">
            <v>0332</v>
          </cell>
          <cell r="D472" t="str">
            <v>Shamong Township (Burlington)</v>
          </cell>
        </row>
        <row r="473">
          <cell r="A473" t="str">
            <v>0611</v>
          </cell>
          <cell r="D473" t="str">
            <v>Shiloh Borough (Cumberland)</v>
          </cell>
        </row>
        <row r="474">
          <cell r="A474" t="str">
            <v>1528</v>
          </cell>
          <cell r="D474" t="str">
            <v>Ship Bottom Borough (Ocean)</v>
          </cell>
        </row>
        <row r="475">
          <cell r="A475" t="str">
            <v>1345</v>
          </cell>
          <cell r="D475" t="str">
            <v>Shrewsbury Borough (Monmouth)</v>
          </cell>
        </row>
        <row r="476">
          <cell r="A476" t="str">
            <v>1346</v>
          </cell>
          <cell r="D476" t="str">
            <v>Shrewsbury Township (Monmouth)</v>
          </cell>
        </row>
        <row r="477">
          <cell r="A477" t="str">
            <v>0431</v>
          </cell>
          <cell r="D477" t="str">
            <v>Somerdale Borough (Camden)</v>
          </cell>
        </row>
        <row r="478">
          <cell r="A478" t="str">
            <v>0121</v>
          </cell>
          <cell r="D478" t="str">
            <v>Somers Point City (Atlantic)</v>
          </cell>
        </row>
        <row r="479">
          <cell r="A479" t="str">
            <v>1800</v>
          </cell>
          <cell r="D479" t="str">
            <v>Somerset County (Somerset)</v>
          </cell>
        </row>
        <row r="480">
          <cell r="A480" t="str">
            <v>1818</v>
          </cell>
          <cell r="D480" t="str">
            <v>Somerville Borough (Somerset)</v>
          </cell>
        </row>
        <row r="481">
          <cell r="A481" t="str">
            <v>1220</v>
          </cell>
          <cell r="D481" t="str">
            <v>South Amboy City (Middlesex)</v>
          </cell>
        </row>
        <row r="482">
          <cell r="A482" t="str">
            <v>1819</v>
          </cell>
          <cell r="D482" t="str">
            <v>South Bound Brook Borough (Somerset)</v>
          </cell>
        </row>
        <row r="483">
          <cell r="A483" t="str">
            <v>1221</v>
          </cell>
          <cell r="D483" t="str">
            <v>South Brunswick Township (Middlesex)</v>
          </cell>
        </row>
        <row r="484">
          <cell r="A484" t="str">
            <v>0259</v>
          </cell>
          <cell r="D484" t="str">
            <v>South Hackensack Township (Bergen)</v>
          </cell>
        </row>
        <row r="485">
          <cell r="A485" t="str">
            <v>0816</v>
          </cell>
          <cell r="D485" t="str">
            <v>South Harrison Township (Gloucester)</v>
          </cell>
        </row>
        <row r="486">
          <cell r="A486" t="str">
            <v>0719</v>
          </cell>
          <cell r="D486" t="str">
            <v>South Orange Village (Essex)</v>
          </cell>
        </row>
        <row r="487">
          <cell r="A487" t="str">
            <v>1222</v>
          </cell>
          <cell r="D487" t="str">
            <v>South Plainfield Borough (Middlesex)</v>
          </cell>
        </row>
        <row r="488">
          <cell r="A488" t="str">
            <v>1223</v>
          </cell>
          <cell r="D488" t="str">
            <v>South River Borough (Middlesex)</v>
          </cell>
        </row>
        <row r="489">
          <cell r="A489" t="str">
            <v>1529</v>
          </cell>
          <cell r="D489" t="str">
            <v>South Toms River Borough (Ocean)</v>
          </cell>
        </row>
        <row r="490">
          <cell r="A490" t="str">
            <v>0333</v>
          </cell>
          <cell r="D490" t="str">
            <v>Southampton Township (Burlington)</v>
          </cell>
        </row>
        <row r="491">
          <cell r="A491" t="str">
            <v>1918</v>
          </cell>
          <cell r="D491" t="str">
            <v>Sparta Township (Sussex)</v>
          </cell>
        </row>
        <row r="492">
          <cell r="A492" t="str">
            <v>1224</v>
          </cell>
          <cell r="D492" t="str">
            <v>Spotswood Borough (Middlesex)</v>
          </cell>
        </row>
        <row r="493">
          <cell r="A493" t="str">
            <v>1348</v>
          </cell>
          <cell r="D493" t="str">
            <v>Spring Lake Borough (Monmouth)</v>
          </cell>
        </row>
        <row r="494">
          <cell r="A494" t="str">
            <v>1349</v>
          </cell>
          <cell r="D494" t="str">
            <v>Spring Lake Heights Borough (Monmouth)</v>
          </cell>
        </row>
        <row r="495">
          <cell r="A495" t="str">
            <v>0334</v>
          </cell>
          <cell r="D495" t="str">
            <v>Springfield Township (Burlington)</v>
          </cell>
        </row>
        <row r="496">
          <cell r="A496" t="str">
            <v>2017</v>
          </cell>
          <cell r="D496" t="str">
            <v>Springfield Township (Union)</v>
          </cell>
        </row>
        <row r="497">
          <cell r="A497" t="str">
            <v>1530</v>
          </cell>
          <cell r="D497" t="str">
            <v>Stafford Township (Ocean)</v>
          </cell>
        </row>
        <row r="498">
          <cell r="A498" t="str">
            <v>1919</v>
          </cell>
          <cell r="D498" t="str">
            <v>Stanhope Borough (Sussex)</v>
          </cell>
        </row>
        <row r="499">
          <cell r="A499" t="str">
            <v>1920</v>
          </cell>
          <cell r="D499" t="str">
            <v>Stillwater Township (Sussex)</v>
          </cell>
        </row>
        <row r="500">
          <cell r="A500" t="str">
            <v>1023</v>
          </cell>
          <cell r="D500" t="str">
            <v>Stockton Borough (Hunterdon)</v>
          </cell>
        </row>
        <row r="501">
          <cell r="A501" t="str">
            <v>0510</v>
          </cell>
          <cell r="D501" t="str">
            <v>Stone Harbor Borough (Cape May)</v>
          </cell>
        </row>
        <row r="502">
          <cell r="A502" t="str">
            <v>0612</v>
          </cell>
          <cell r="D502" t="str">
            <v>Stow Creek Township (Cumberland)</v>
          </cell>
        </row>
        <row r="503">
          <cell r="A503" t="str">
            <v>0432</v>
          </cell>
          <cell r="D503" t="str">
            <v>Stratford Borough (Camden)</v>
          </cell>
        </row>
        <row r="504">
          <cell r="A504" t="str">
            <v>2018</v>
          </cell>
          <cell r="D504" t="str">
            <v>Summit City (Union)</v>
          </cell>
        </row>
        <row r="505">
          <cell r="A505" t="str">
            <v>1531</v>
          </cell>
          <cell r="D505" t="str">
            <v>Surf City Borough (Ocean)</v>
          </cell>
        </row>
        <row r="506">
          <cell r="A506" t="str">
            <v>1921</v>
          </cell>
          <cell r="D506" t="str">
            <v>Sussex Borough (Sussex)</v>
          </cell>
        </row>
        <row r="507">
          <cell r="A507" t="str">
            <v>1900</v>
          </cell>
          <cell r="D507" t="str">
            <v>Sussex County (Sussex)</v>
          </cell>
        </row>
        <row r="508">
          <cell r="A508" t="str">
            <v>0817</v>
          </cell>
          <cell r="D508" t="str">
            <v>Swedesboro Borough (Gloucester)</v>
          </cell>
        </row>
        <row r="509">
          <cell r="A509" t="str">
            <v>0335</v>
          </cell>
          <cell r="D509" t="str">
            <v>Tabernacle Township (Burlington)</v>
          </cell>
        </row>
        <row r="510">
          <cell r="A510" t="str">
            <v>0433</v>
          </cell>
          <cell r="D510" t="str">
            <v>Tavistock Borough (Camden)</v>
          </cell>
        </row>
        <row r="511">
          <cell r="A511" t="str">
            <v>0260</v>
          </cell>
          <cell r="D511" t="str">
            <v>Teaneck Township (Bergen)</v>
          </cell>
        </row>
        <row r="512">
          <cell r="A512" t="str">
            <v>0261</v>
          </cell>
          <cell r="D512" t="str">
            <v>Tenafly Borough (Bergen)</v>
          </cell>
        </row>
        <row r="513">
          <cell r="A513" t="str">
            <v>0262</v>
          </cell>
          <cell r="D513" t="str">
            <v>Teterboro Borough (Bergen)</v>
          </cell>
        </row>
        <row r="514">
          <cell r="A514" t="str">
            <v>1024</v>
          </cell>
          <cell r="D514" t="str">
            <v>Tewksbury Township (Hunterdon)</v>
          </cell>
        </row>
        <row r="515">
          <cell r="A515" t="str">
            <v>1336</v>
          </cell>
          <cell r="D515" t="str">
            <v>Tinton Falls Borough (Monmouth)</v>
          </cell>
        </row>
        <row r="516">
          <cell r="A516" t="str">
            <v>1507</v>
          </cell>
          <cell r="D516" t="str">
            <v>Toms River Township (Ocean)</v>
          </cell>
        </row>
        <row r="517">
          <cell r="A517" t="str">
            <v>1612</v>
          </cell>
          <cell r="D517" t="str">
            <v>Totowa Borough (Passaic)</v>
          </cell>
        </row>
        <row r="518">
          <cell r="A518" t="str">
            <v>1111</v>
          </cell>
          <cell r="D518" t="str">
            <v>Trenton City (Mercer)</v>
          </cell>
        </row>
        <row r="519">
          <cell r="A519" t="str">
            <v>1532</v>
          </cell>
          <cell r="D519" t="str">
            <v>Tuckerton Borough (Ocean)</v>
          </cell>
        </row>
        <row r="520">
          <cell r="A520" t="str">
            <v>1350</v>
          </cell>
          <cell r="D520" t="str">
            <v>Union Beach Borough (Monmouth)</v>
          </cell>
        </row>
        <row r="521">
          <cell r="A521" t="str">
            <v>0910</v>
          </cell>
          <cell r="D521" t="str">
            <v>Union City City (Hudson)</v>
          </cell>
        </row>
        <row r="522">
          <cell r="A522" t="str">
            <v>2000</v>
          </cell>
          <cell r="D522" t="str">
            <v>Union County (Union)</v>
          </cell>
        </row>
        <row r="523">
          <cell r="A523" t="str">
            <v>1025</v>
          </cell>
          <cell r="D523" t="str">
            <v>Union Township (Hunterdon)</v>
          </cell>
        </row>
        <row r="524">
          <cell r="A524" t="str">
            <v>2019</v>
          </cell>
          <cell r="D524" t="str">
            <v>Union Township (Union)</v>
          </cell>
        </row>
        <row r="525">
          <cell r="A525" t="str">
            <v>0613</v>
          </cell>
          <cell r="D525" t="str">
            <v>Upper Deerfield Township (Cumberland)</v>
          </cell>
        </row>
        <row r="526">
          <cell r="A526" t="str">
            <v>1351</v>
          </cell>
          <cell r="D526" t="str">
            <v>Upper Freehold Township (Monmouth)</v>
          </cell>
        </row>
        <row r="527">
          <cell r="A527" t="str">
            <v>1714</v>
          </cell>
          <cell r="D527" t="str">
            <v>Upper Pittsgrove Township (Salem)</v>
          </cell>
        </row>
        <row r="528">
          <cell r="A528" t="str">
            <v>0263</v>
          </cell>
          <cell r="D528" t="str">
            <v>Upper Saddle River Borough (Bergen)</v>
          </cell>
        </row>
        <row r="529">
          <cell r="A529" t="str">
            <v>0511</v>
          </cell>
          <cell r="D529" t="str">
            <v>Upper Township (Cape May)</v>
          </cell>
        </row>
        <row r="530">
          <cell r="A530" t="str">
            <v>0122</v>
          </cell>
          <cell r="D530" t="str">
            <v>Ventnor City (Atlantic)</v>
          </cell>
        </row>
        <row r="531">
          <cell r="A531" t="str">
            <v>1922</v>
          </cell>
          <cell r="D531" t="str">
            <v>Vernon Township (Sussex)</v>
          </cell>
        </row>
        <row r="532">
          <cell r="A532" t="str">
            <v>0720</v>
          </cell>
          <cell r="D532" t="str">
            <v>Verona Township (Essex)</v>
          </cell>
        </row>
        <row r="533">
          <cell r="A533" t="str">
            <v>1437</v>
          </cell>
          <cell r="D533" t="str">
            <v>Victory Gardens Borough (Morris)</v>
          </cell>
        </row>
        <row r="534">
          <cell r="A534" t="str">
            <v>0614</v>
          </cell>
          <cell r="D534" t="str">
            <v>Vineland City (Cumberland)</v>
          </cell>
        </row>
        <row r="535">
          <cell r="A535" t="str">
            <v>0434</v>
          </cell>
          <cell r="D535" t="str">
            <v>Voorhees Township (Camden)</v>
          </cell>
        </row>
        <row r="536">
          <cell r="A536" t="str">
            <v>0264</v>
          </cell>
          <cell r="D536" t="str">
            <v>Waldwick Borough (Bergen)</v>
          </cell>
        </row>
        <row r="537">
          <cell r="A537" t="str">
            <v>1352</v>
          </cell>
          <cell r="D537" t="str">
            <v>Wall Township (Monmouth)</v>
          </cell>
        </row>
        <row r="538">
          <cell r="A538" t="str">
            <v>0265</v>
          </cell>
          <cell r="D538" t="str">
            <v>Wallington Borough (Bergen)</v>
          </cell>
        </row>
        <row r="539">
          <cell r="A539" t="str">
            <v>1923</v>
          </cell>
          <cell r="D539" t="str">
            <v>Walpack Township (Sussex)</v>
          </cell>
        </row>
        <row r="540">
          <cell r="A540" t="str">
            <v>1613</v>
          </cell>
          <cell r="D540" t="str">
            <v>Wanaque Borough (Passaic)</v>
          </cell>
        </row>
        <row r="541">
          <cell r="A541" t="str">
            <v>1924</v>
          </cell>
          <cell r="D541" t="str">
            <v>Wantage Township (Sussex)</v>
          </cell>
        </row>
        <row r="542">
          <cell r="A542" t="str">
            <v>2100</v>
          </cell>
          <cell r="D542" t="str">
            <v>Warren County (Warren)</v>
          </cell>
        </row>
        <row r="543">
          <cell r="A543" t="str">
            <v>1820</v>
          </cell>
          <cell r="D543" t="str">
            <v>Warren Township (Somerset)</v>
          </cell>
        </row>
        <row r="544">
          <cell r="A544" t="str">
            <v>2121</v>
          </cell>
          <cell r="D544" t="str">
            <v>Washington Borough (Warren)</v>
          </cell>
        </row>
        <row r="545">
          <cell r="A545" t="str">
            <v>0266</v>
          </cell>
          <cell r="D545" t="str">
            <v>Washington Township (Bergen)</v>
          </cell>
        </row>
        <row r="546">
          <cell r="A546" t="str">
            <v>0336</v>
          </cell>
          <cell r="D546" t="str">
            <v>Washington Township (Burlington)</v>
          </cell>
        </row>
        <row r="547">
          <cell r="A547" t="str">
            <v>0818</v>
          </cell>
          <cell r="D547" t="str">
            <v>Washington Township (Gloucester)</v>
          </cell>
        </row>
        <row r="548">
          <cell r="A548" t="str">
            <v>1438</v>
          </cell>
          <cell r="D548" t="str">
            <v>Washington Township (Morris)</v>
          </cell>
        </row>
        <row r="549">
          <cell r="A549" t="str">
            <v>2122</v>
          </cell>
          <cell r="D549" t="str">
            <v>Washington Township (Warren)</v>
          </cell>
        </row>
        <row r="550">
          <cell r="A550" t="str">
            <v>1821</v>
          </cell>
          <cell r="D550" t="str">
            <v>Watchung Borough (Somerset)</v>
          </cell>
        </row>
        <row r="551">
          <cell r="A551" t="str">
            <v>0435</v>
          </cell>
          <cell r="D551" t="str">
            <v>Waterford Township (Camden)</v>
          </cell>
        </row>
        <row r="552">
          <cell r="A552" t="str">
            <v>1614</v>
          </cell>
          <cell r="D552" t="str">
            <v>Wayne Township (Passaic)</v>
          </cell>
        </row>
        <row r="553">
          <cell r="A553" t="str">
            <v>0911</v>
          </cell>
          <cell r="D553" t="str">
            <v>Weehawken Township (Hudson)</v>
          </cell>
        </row>
        <row r="554">
          <cell r="A554" t="str">
            <v>0819</v>
          </cell>
          <cell r="D554" t="str">
            <v>Wenonah Borough (Gloucester)</v>
          </cell>
        </row>
        <row r="555">
          <cell r="A555" t="str">
            <v>1026</v>
          </cell>
          <cell r="D555" t="str">
            <v>West Amwell Township (Hunterdon)</v>
          </cell>
        </row>
        <row r="556">
          <cell r="A556" t="str">
            <v>0721</v>
          </cell>
          <cell r="D556" t="str">
            <v>West Caldwell Township (Essex)</v>
          </cell>
        </row>
        <row r="557">
          <cell r="A557" t="str">
            <v>0512</v>
          </cell>
          <cell r="D557" t="str">
            <v>West Cape May Borough (Cape May)</v>
          </cell>
        </row>
        <row r="558">
          <cell r="A558" t="str">
            <v>0820</v>
          </cell>
          <cell r="D558" t="str">
            <v>West Deptford Township (Gloucester)</v>
          </cell>
        </row>
        <row r="559">
          <cell r="A559" t="str">
            <v>1353</v>
          </cell>
          <cell r="D559" t="str">
            <v>West Long Branch Borough (Monmouth)</v>
          </cell>
        </row>
        <row r="560">
          <cell r="A560" t="str">
            <v>1615</v>
          </cell>
          <cell r="D560" t="str">
            <v>West Milford Township (Passaic)</v>
          </cell>
        </row>
        <row r="561">
          <cell r="A561" t="str">
            <v>0912</v>
          </cell>
          <cell r="D561" t="str">
            <v>West New York Town (Hudson)</v>
          </cell>
        </row>
        <row r="562">
          <cell r="A562" t="str">
            <v>0722</v>
          </cell>
          <cell r="D562" t="str">
            <v>West Orange Township (Essex)</v>
          </cell>
        </row>
        <row r="563">
          <cell r="A563" t="str">
            <v>0513</v>
          </cell>
          <cell r="D563" t="str">
            <v>West Wildwood Borough (Cape May)</v>
          </cell>
        </row>
        <row r="564">
          <cell r="A564" t="str">
            <v>1113</v>
          </cell>
          <cell r="D564" t="str">
            <v>West Windsor Township (Mercer)</v>
          </cell>
        </row>
        <row r="565">
          <cell r="A565" t="str">
            <v>0337</v>
          </cell>
          <cell r="D565" t="str">
            <v>Westampton Township (Burlington)</v>
          </cell>
        </row>
        <row r="566">
          <cell r="A566" t="str">
            <v>2020</v>
          </cell>
          <cell r="D566" t="str">
            <v>Westfield Town (Union)</v>
          </cell>
        </row>
        <row r="567">
          <cell r="A567" t="str">
            <v>0821</v>
          </cell>
          <cell r="D567" t="str">
            <v>Westville Borough (Gloucester)</v>
          </cell>
        </row>
        <row r="568">
          <cell r="A568" t="str">
            <v>0267</v>
          </cell>
          <cell r="D568" t="str">
            <v>Westwood Borough (Bergen)</v>
          </cell>
        </row>
        <row r="569">
          <cell r="A569" t="str">
            <v>0123</v>
          </cell>
          <cell r="D569" t="str">
            <v>Weymouth Township (Atlantic)</v>
          </cell>
        </row>
        <row r="570">
          <cell r="A570" t="str">
            <v>1439</v>
          </cell>
          <cell r="D570" t="str">
            <v>Wharton Borough (Morris)</v>
          </cell>
        </row>
        <row r="571">
          <cell r="A571" t="str">
            <v>2123</v>
          </cell>
          <cell r="D571" t="str">
            <v>White Township (Warren)</v>
          </cell>
        </row>
        <row r="572">
          <cell r="A572" t="str">
            <v>0514</v>
          </cell>
          <cell r="D572" t="str">
            <v>Wildwood City (Cape May)</v>
          </cell>
        </row>
        <row r="573">
          <cell r="A573" t="str">
            <v>0515</v>
          </cell>
          <cell r="D573" t="str">
            <v>Wildwood Crest Borough (Cape May)</v>
          </cell>
        </row>
        <row r="574">
          <cell r="A574" t="str">
            <v>0338</v>
          </cell>
          <cell r="D574" t="str">
            <v>Willingboro Township (Burlington)</v>
          </cell>
        </row>
        <row r="575">
          <cell r="A575" t="str">
            <v>2021</v>
          </cell>
          <cell r="D575" t="str">
            <v>Winfield Township (Union)</v>
          </cell>
        </row>
        <row r="576">
          <cell r="A576" t="str">
            <v>0436</v>
          </cell>
          <cell r="D576" t="str">
            <v>Winslow Township (Camden)</v>
          </cell>
        </row>
        <row r="577">
          <cell r="A577" t="str">
            <v>0516</v>
          </cell>
          <cell r="D577" t="str">
            <v>Woodbine Borough (Cape May)</v>
          </cell>
        </row>
        <row r="578">
          <cell r="A578" t="str">
            <v>1225</v>
          </cell>
          <cell r="D578" t="str">
            <v>Woodbridge Township (Middlesex)</v>
          </cell>
        </row>
        <row r="579">
          <cell r="A579" t="str">
            <v>0822</v>
          </cell>
          <cell r="D579" t="str">
            <v>Woodbury City (Gloucester)</v>
          </cell>
        </row>
        <row r="580">
          <cell r="A580" t="str">
            <v>0823</v>
          </cell>
          <cell r="D580" t="str">
            <v>Woodbury Heights Borough (Gloucester)</v>
          </cell>
        </row>
        <row r="581">
          <cell r="A581" t="str">
            <v>0268</v>
          </cell>
          <cell r="D581" t="str">
            <v>Woodcliff Lake Borough (Bergen)</v>
          </cell>
        </row>
        <row r="582">
          <cell r="A582" t="str">
            <v>1616</v>
          </cell>
          <cell r="D582" t="str">
            <v>Woodland Park Borough (Passaic)</v>
          </cell>
        </row>
        <row r="583">
          <cell r="A583" t="str">
            <v>0339</v>
          </cell>
          <cell r="D583" t="str">
            <v>Woodland Township (Burlington)</v>
          </cell>
        </row>
        <row r="584">
          <cell r="A584" t="str">
            <v>0437</v>
          </cell>
          <cell r="D584" t="str">
            <v>Woodlynne Borough (Camden)</v>
          </cell>
        </row>
        <row r="585">
          <cell r="A585" t="str">
            <v>0269</v>
          </cell>
          <cell r="D585" t="str">
            <v>Wood-Ridge Borough (Bergen)</v>
          </cell>
        </row>
        <row r="586">
          <cell r="A586" t="str">
            <v>1715</v>
          </cell>
          <cell r="D586" t="str">
            <v>Woodstown Borough (Salem)</v>
          </cell>
        </row>
        <row r="587">
          <cell r="A587" t="str">
            <v>0824</v>
          </cell>
          <cell r="D587" t="str">
            <v>Woolwich Township (Gloucester)</v>
          </cell>
        </row>
        <row r="588">
          <cell r="A588" t="str">
            <v>0340</v>
          </cell>
          <cell r="D588" t="str">
            <v>Wrightstown Borough (Burlington)</v>
          </cell>
        </row>
        <row r="589">
          <cell r="A589" t="str">
            <v>0270</v>
          </cell>
          <cell r="D589" t="str">
            <v>Wyckoff Township (Bergen)</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Info"/>
      <sheetName val="Reserve"/>
      <sheetName val="Summary"/>
      <sheetName val="Tax Rate"/>
      <sheetName val="Test"/>
      <sheetName val="Sheet A"/>
      <sheetName val="1"/>
      <sheetName val="1a"/>
      <sheetName val="2"/>
      <sheetName val="3"/>
      <sheetName val="3a"/>
      <sheetName val="3b"/>
      <sheetName val="3c Cap Cal"/>
      <sheetName val="3d"/>
      <sheetName val="3e"/>
      <sheetName val="Revenues"/>
      <sheetName val="12"/>
      <sheetName val="13"/>
      <sheetName val="14"/>
      <sheetName val="15"/>
      <sheetName val="15a"/>
      <sheetName val="15b"/>
      <sheetName val="15c"/>
      <sheetName val="15d"/>
      <sheetName val="15e"/>
      <sheetName val="15f"/>
      <sheetName val="15g"/>
      <sheetName val="16"/>
      <sheetName val="17"/>
      <sheetName val="18"/>
      <sheetName val="19"/>
      <sheetName val="20"/>
      <sheetName val="20a"/>
      <sheetName val="21"/>
      <sheetName val="22"/>
      <sheetName val="23"/>
      <sheetName val="24"/>
      <sheetName val="24a"/>
      <sheetName val="25"/>
      <sheetName val="26"/>
      <sheetName val="26a"/>
      <sheetName val="27"/>
      <sheetName val="28"/>
      <sheetName val="29"/>
      <sheetName val="30"/>
      <sheetName val="31"/>
      <sheetName val="32"/>
      <sheetName val="33"/>
      <sheetName val="34"/>
      <sheetName val="35"/>
      <sheetName val="36"/>
      <sheetName val="37"/>
      <sheetName val="38"/>
      <sheetName val="39"/>
      <sheetName val="40"/>
      <sheetName val="40a"/>
      <sheetName val="40b"/>
      <sheetName val="40c"/>
      <sheetName val="40d"/>
      <sheetName val="41"/>
      <sheetName val="4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7">
          <cell r="F17">
            <v>60000</v>
          </cell>
          <cell r="H17">
            <v>60000</v>
          </cell>
          <cell r="L17">
            <v>60000</v>
          </cell>
          <cell r="N17">
            <v>60000</v>
          </cell>
          <cell r="P17">
            <v>0</v>
          </cell>
        </row>
        <row r="18">
          <cell r="F18">
            <v>15000</v>
          </cell>
          <cell r="H18">
            <v>15000</v>
          </cell>
          <cell r="L18">
            <v>15000</v>
          </cell>
          <cell r="N18">
            <v>15000</v>
          </cell>
          <cell r="P18">
            <v>0</v>
          </cell>
        </row>
        <row r="20">
          <cell r="F20">
            <v>65119</v>
          </cell>
          <cell r="H20">
            <v>56051</v>
          </cell>
          <cell r="L20">
            <v>56051</v>
          </cell>
          <cell r="N20">
            <v>56051</v>
          </cell>
          <cell r="P20">
            <v>0</v>
          </cell>
        </row>
        <row r="23">
          <cell r="F23">
            <v>5606.01</v>
          </cell>
          <cell r="H23">
            <v>16173.74</v>
          </cell>
          <cell r="L23">
            <v>16173.74</v>
          </cell>
          <cell r="N23">
            <v>16173.74</v>
          </cell>
          <cell r="P23">
            <v>0</v>
          </cell>
        </row>
      </sheetData>
      <sheetData sheetId="38">
        <row r="14">
          <cell r="F14">
            <v>15000</v>
          </cell>
          <cell r="L14">
            <v>15000</v>
          </cell>
          <cell r="P14">
            <v>0</v>
          </cell>
        </row>
        <row r="16">
          <cell r="L16">
            <v>125000</v>
          </cell>
          <cell r="P16">
            <v>0</v>
          </cell>
        </row>
        <row r="17">
          <cell r="L17">
            <v>40000</v>
          </cell>
          <cell r="P17">
            <v>0</v>
          </cell>
        </row>
        <row r="19">
          <cell r="L19">
            <v>17700</v>
          </cell>
          <cell r="P19">
            <v>0</v>
          </cell>
        </row>
        <row r="20">
          <cell r="L20">
            <v>5900</v>
          </cell>
          <cell r="P20">
            <v>0</v>
          </cell>
        </row>
        <row r="22">
          <cell r="L22">
            <v>80000</v>
          </cell>
          <cell r="P22">
            <v>0</v>
          </cell>
        </row>
        <row r="23">
          <cell r="L23">
            <v>4196.04</v>
          </cell>
          <cell r="P23">
            <v>0</v>
          </cell>
        </row>
      </sheetData>
      <sheetData sheetId="39">
        <row r="15">
          <cell r="H15">
            <v>67500</v>
          </cell>
          <cell r="L15">
            <v>67500</v>
          </cell>
          <cell r="P15">
            <v>0</v>
          </cell>
        </row>
        <row r="16">
          <cell r="L16">
            <v>7500</v>
          </cell>
          <cell r="P16">
            <v>0</v>
          </cell>
        </row>
        <row r="22">
          <cell r="L22">
            <v>4500</v>
          </cell>
          <cell r="P22">
            <v>0</v>
          </cell>
        </row>
        <row r="24">
          <cell r="L24">
            <v>549229.32999999996</v>
          </cell>
          <cell r="P24">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Info"/>
      <sheetName val="Reserve"/>
      <sheetName val="Summary"/>
      <sheetName val="Tax Rate"/>
      <sheetName val="Test"/>
      <sheetName val="Sheet A"/>
      <sheetName val="1"/>
      <sheetName val="1a"/>
      <sheetName val="2"/>
      <sheetName val="3"/>
      <sheetName val="3a"/>
      <sheetName val="3b"/>
      <sheetName val="3c Cap Cal"/>
      <sheetName val="3d"/>
      <sheetName val="3e"/>
      <sheetName val="Revenues"/>
      <sheetName val="12"/>
      <sheetName val="13"/>
      <sheetName val="14"/>
      <sheetName val="15"/>
      <sheetName val="15a"/>
      <sheetName val="15b"/>
      <sheetName val="15c"/>
      <sheetName val="15d"/>
      <sheetName val="15e"/>
      <sheetName val="15f"/>
      <sheetName val="15g"/>
      <sheetName val="16"/>
      <sheetName val="17"/>
      <sheetName val="18"/>
      <sheetName val="19"/>
      <sheetName val="20"/>
      <sheetName val="20a"/>
      <sheetName val="21"/>
      <sheetName val="22"/>
      <sheetName val="23"/>
      <sheetName val="24"/>
      <sheetName val="24a"/>
      <sheetName val="25"/>
      <sheetName val="26"/>
      <sheetName val="26a"/>
      <sheetName val="27"/>
      <sheetName val="28"/>
      <sheetName val="29"/>
      <sheetName val="30"/>
      <sheetName val="31"/>
      <sheetName val="32"/>
      <sheetName val="33"/>
      <sheetName val="34"/>
      <sheetName val="35"/>
      <sheetName val="36"/>
      <sheetName val="37"/>
      <sheetName val="38"/>
      <sheetName val="39"/>
      <sheetName val="40"/>
      <sheetName val="40a"/>
      <sheetName val="40b"/>
      <sheetName val="40c"/>
      <sheetName val="40d"/>
      <sheetName val="41"/>
      <sheetName val="4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7">
          <cell r="F17">
            <v>60000</v>
          </cell>
          <cell r="H17">
            <v>60000</v>
          </cell>
          <cell r="L17">
            <v>60000</v>
          </cell>
          <cell r="N17">
            <v>60000</v>
          </cell>
          <cell r="P17">
            <v>0</v>
          </cell>
        </row>
        <row r="18">
          <cell r="F18">
            <v>15000</v>
          </cell>
          <cell r="H18">
            <v>15000</v>
          </cell>
          <cell r="L18">
            <v>15000</v>
          </cell>
          <cell r="N18">
            <v>15000</v>
          </cell>
          <cell r="P18">
            <v>0</v>
          </cell>
        </row>
        <row r="20">
          <cell r="F20">
            <v>65119</v>
          </cell>
          <cell r="H20">
            <v>56051</v>
          </cell>
          <cell r="L20">
            <v>56051</v>
          </cell>
          <cell r="N20">
            <v>56051</v>
          </cell>
          <cell r="P20">
            <v>0</v>
          </cell>
        </row>
        <row r="23">
          <cell r="F23">
            <v>5606.01</v>
          </cell>
          <cell r="H23">
            <v>16173.74</v>
          </cell>
          <cell r="L23">
            <v>16173.74</v>
          </cell>
          <cell r="N23">
            <v>16173.74</v>
          </cell>
          <cell r="P23">
            <v>0</v>
          </cell>
        </row>
      </sheetData>
      <sheetData sheetId="38">
        <row r="14">
          <cell r="F14">
            <v>15000</v>
          </cell>
          <cell r="P14">
            <v>0</v>
          </cell>
        </row>
        <row r="16">
          <cell r="P16">
            <v>0</v>
          </cell>
        </row>
        <row r="17">
          <cell r="P17">
            <v>0</v>
          </cell>
        </row>
        <row r="19">
          <cell r="P19">
            <v>0</v>
          </cell>
        </row>
        <row r="20">
          <cell r="P20">
            <v>0</v>
          </cell>
        </row>
        <row r="22">
          <cell r="P22">
            <v>0</v>
          </cell>
        </row>
        <row r="23">
          <cell r="P23">
            <v>0</v>
          </cell>
        </row>
      </sheetData>
      <sheetData sheetId="39">
        <row r="15">
          <cell r="H15">
            <v>67500</v>
          </cell>
          <cell r="P15">
            <v>0</v>
          </cell>
        </row>
        <row r="16">
          <cell r="P16">
            <v>0</v>
          </cell>
        </row>
        <row r="22">
          <cell r="P22">
            <v>0</v>
          </cell>
        </row>
        <row r="24">
          <cell r="J24">
            <v>0</v>
          </cell>
          <cell r="P24">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icipal Data Sheet"/>
      <sheetName val="Certification - Approved Budget"/>
      <sheetName val="UFB Narrative"/>
      <sheetName val="UFB-1 Tax Impact"/>
      <sheetName val="UFB-2 Revenue Summary"/>
      <sheetName val="UFB-3 Appropriation Summary"/>
      <sheetName val="UFB-4 Structural Imbalances"/>
      <sheetName val="UFB-5 Tax Assessments"/>
      <sheetName val="UFB-6 Tax Abatements"/>
      <sheetName val="UFB-7 Personnel Costs"/>
      <sheetName val="UFB-8 Health Benefits"/>
      <sheetName val="UFB-9 Accum. Absence Liability"/>
      <sheetName val="UFB-10 Debt"/>
      <sheetName val="UFB-11 Shared Services"/>
      <sheetName val="Data Lists"/>
      <sheetName val="CB-1 Capital Budget Explanation"/>
      <sheetName val="CB-2 Capital Program Narrative"/>
      <sheetName val="CB-3 Capital Budget Current Yr"/>
      <sheetName val="CB-4 Proj. Sched &amp; Funding"/>
      <sheetName val="CB-5 Capital Budget Summary"/>
      <sheetName val="SF Anticipated Revenues 1"/>
      <sheetName val="SF Anticipated Revenues 2"/>
      <sheetName val="SF Anticipated Revenues 3"/>
      <sheetName val="SF Anticipated Revenues 4"/>
      <sheetName val="SF Anticipated Revenues 5"/>
      <sheetName val="SF Anticipated Revenues 6"/>
      <sheetName val="SF Anticipated Revenues 7"/>
      <sheetName val="SF Anticipated Revenues 8"/>
      <sheetName val="SF Anticipated Revenues 9"/>
      <sheetName val="SF Anticipated Revenues 10"/>
      <sheetName val="SF Anticipated Revenues 11"/>
      <sheetName val="SF Appropriations 1"/>
      <sheetName val="SF Appropriations 2"/>
      <sheetName val="SF Appropriations 3"/>
      <sheetName val="SF Appropriations 4"/>
      <sheetName val="SF Appropriations 5"/>
      <sheetName val="SF Appropriations 6"/>
      <sheetName val="SF Appropriations 7"/>
      <sheetName val="SF Appropriations 8"/>
      <sheetName val="SF Appropriations 9"/>
      <sheetName val="SF Appropriations 10"/>
      <sheetName val="SF Appropriations 11"/>
      <sheetName val="SF Appropriations 12"/>
      <sheetName val="SF Appropriations 13"/>
      <sheetName val="SF Appropriations 14"/>
      <sheetName val="SF Appropriations 15"/>
      <sheetName val="SF Appropriations 16"/>
      <sheetName val="SF Appropriations 17"/>
      <sheetName val="SF Appropriations 18"/>
      <sheetName val="SF Appropriations 19"/>
      <sheetName val="SF Appropriations 20"/>
      <sheetName val="SF Appropriations 21"/>
      <sheetName val="Water Utility Budget 1"/>
      <sheetName val="Water Utility Budget 2"/>
      <sheetName val="Water Utiity Budget 3"/>
      <sheetName val="Budget - Other Utilities 1"/>
      <sheetName val="Budget - Other Utilities 2"/>
      <sheetName val="Budget - Other Utilities 3"/>
      <sheetName val="Assessment Budget 1"/>
      <sheetName val="Assessment Budget 2"/>
      <sheetName val="Appendix to Budget Statement"/>
      <sheetName val="Trust Funds - Open Space et al."/>
      <sheetName val="Change Orders"/>
      <sheetName val="Resolution of Adopted Budget 1"/>
      <sheetName val="Resolution of Adopted Budge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A11" t="str">
            <v>YES</v>
          </cell>
        </row>
        <row r="12">
          <cell r="A12" t="str">
            <v>NO</v>
          </cell>
        </row>
        <row r="14">
          <cell r="A14" t="str">
            <v>Receiving</v>
          </cell>
        </row>
        <row r="15">
          <cell r="A15" t="str">
            <v>Providing</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j.gov/dca/divisions/dlgs/pdf/Fire%20District%20MuniCodes.pdf" TargetMode="External"/><Relationship Id="rId2" Type="http://schemas.openxmlformats.org/officeDocument/2006/relationships/hyperlink" Target="https://www.nj.gov/dca/divisions/dlgs/pdf/Fire%20District%20MuniCodes.pdf" TargetMode="External"/><Relationship Id="rId1" Type="http://schemas.openxmlformats.org/officeDocument/2006/relationships/hyperlink" Target="https://www.nj.gov/dca/divisions/dlgs/pdf/FAST%20Fire%20Budget%20User%20Guide.pdf" TargetMode="External"/><Relationship Id="rId4"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8.bin"/><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5C36A-CE02-40CE-95D6-EBC2A87E8B51}">
  <sheetPr codeName="Sheet2">
    <tabColor rgb="FF92D050"/>
  </sheetPr>
  <dimension ref="A1:H173"/>
  <sheetViews>
    <sheetView workbookViewId="0">
      <selection activeCell="E28" sqref="E28"/>
    </sheetView>
  </sheetViews>
  <sheetFormatPr defaultColWidth="9.140625" defaultRowHeight="15" x14ac:dyDescent="0.25"/>
  <cols>
    <col min="1" max="1" width="4.42578125" style="77" bestFit="1" customWidth="1"/>
    <col min="2" max="2" width="42" style="74" customWidth="1"/>
    <col min="3" max="3" width="14" style="74" customWidth="1"/>
    <col min="4" max="16384" width="9.140625" style="73"/>
  </cols>
  <sheetData>
    <row r="1" spans="1:8" x14ac:dyDescent="0.25">
      <c r="A1" s="76"/>
      <c r="B1" s="75" t="s">
        <v>675</v>
      </c>
      <c r="C1" s="75" t="s">
        <v>475</v>
      </c>
    </row>
    <row r="2" spans="1:8" x14ac:dyDescent="0.25">
      <c r="B2" s="446" t="s">
        <v>921</v>
      </c>
      <c r="C2" s="446"/>
    </row>
    <row r="3" spans="1:8" x14ac:dyDescent="0.25">
      <c r="B3" s="74" t="s">
        <v>660</v>
      </c>
      <c r="C3" s="74" t="s">
        <v>666</v>
      </c>
    </row>
    <row r="4" spans="1:8" x14ac:dyDescent="0.25">
      <c r="B4" s="74" t="s">
        <v>659</v>
      </c>
      <c r="C4" s="74" t="s">
        <v>666</v>
      </c>
    </row>
    <row r="5" spans="1:8" x14ac:dyDescent="0.25">
      <c r="B5" s="74" t="s">
        <v>658</v>
      </c>
      <c r="C5" s="74" t="s">
        <v>662</v>
      </c>
    </row>
    <row r="6" spans="1:8" x14ac:dyDescent="0.25">
      <c r="B6" s="74" t="s">
        <v>657</v>
      </c>
      <c r="C6" s="74" t="s">
        <v>477</v>
      </c>
    </row>
    <row r="7" spans="1:8" x14ac:dyDescent="0.25">
      <c r="B7" s="74" t="s">
        <v>656</v>
      </c>
      <c r="C7" s="74" t="s">
        <v>477</v>
      </c>
    </row>
    <row r="8" spans="1:8" x14ac:dyDescent="0.25">
      <c r="B8" s="74" t="s">
        <v>655</v>
      </c>
      <c r="C8" s="74" t="s">
        <v>477</v>
      </c>
    </row>
    <row r="9" spans="1:8" x14ac:dyDescent="0.25">
      <c r="B9" s="74" t="s">
        <v>654</v>
      </c>
      <c r="C9" s="74" t="s">
        <v>668</v>
      </c>
    </row>
    <row r="10" spans="1:8" x14ac:dyDescent="0.25">
      <c r="B10" s="74" t="s">
        <v>653</v>
      </c>
      <c r="C10" s="74" t="s">
        <v>668</v>
      </c>
      <c r="H10" s="447"/>
    </row>
    <row r="11" spans="1:8" x14ac:dyDescent="0.25">
      <c r="B11" s="74" t="s">
        <v>652</v>
      </c>
      <c r="C11" s="74" t="s">
        <v>668</v>
      </c>
    </row>
    <row r="12" spans="1:8" x14ac:dyDescent="0.25">
      <c r="B12" s="74" t="s">
        <v>651</v>
      </c>
      <c r="C12" s="74" t="s">
        <v>672</v>
      </c>
    </row>
    <row r="13" spans="1:8" x14ac:dyDescent="0.25">
      <c r="B13" s="74" t="s">
        <v>650</v>
      </c>
      <c r="C13" s="74" t="s">
        <v>672</v>
      </c>
    </row>
    <row r="14" spans="1:8" x14ac:dyDescent="0.25">
      <c r="B14" s="74" t="s">
        <v>649</v>
      </c>
      <c r="C14" s="74" t="s">
        <v>672</v>
      </c>
    </row>
    <row r="15" spans="1:8" x14ac:dyDescent="0.25">
      <c r="B15" s="74" t="s">
        <v>648</v>
      </c>
      <c r="C15" s="74" t="s">
        <v>672</v>
      </c>
    </row>
    <row r="16" spans="1:8" x14ac:dyDescent="0.25">
      <c r="B16" s="74" t="s">
        <v>647</v>
      </c>
      <c r="C16" s="74" t="s">
        <v>663</v>
      </c>
    </row>
    <row r="17" spans="2:3" x14ac:dyDescent="0.25">
      <c r="B17" s="74" t="s">
        <v>646</v>
      </c>
      <c r="C17" s="74" t="s">
        <v>663</v>
      </c>
    </row>
    <row r="18" spans="2:3" x14ac:dyDescent="0.25">
      <c r="B18" s="74" t="s">
        <v>645</v>
      </c>
      <c r="C18" s="74" t="s">
        <v>663</v>
      </c>
    </row>
    <row r="19" spans="2:3" x14ac:dyDescent="0.25">
      <c r="B19" s="74" t="s">
        <v>644</v>
      </c>
      <c r="C19" s="74" t="s">
        <v>663</v>
      </c>
    </row>
    <row r="20" spans="2:3" x14ac:dyDescent="0.25">
      <c r="B20" s="74" t="s">
        <v>643</v>
      </c>
      <c r="C20" s="74" t="s">
        <v>663</v>
      </c>
    </row>
    <row r="21" spans="2:3" x14ac:dyDescent="0.25">
      <c r="B21" s="74" t="s">
        <v>642</v>
      </c>
      <c r="C21" s="74" t="s">
        <v>663</v>
      </c>
    </row>
    <row r="22" spans="2:3" x14ac:dyDescent="0.25">
      <c r="B22" s="74" t="s">
        <v>641</v>
      </c>
      <c r="C22" s="74" t="s">
        <v>477</v>
      </c>
    </row>
    <row r="23" spans="2:3" x14ac:dyDescent="0.25">
      <c r="B23" s="74" t="s">
        <v>640</v>
      </c>
      <c r="C23" s="74" t="s">
        <v>662</v>
      </c>
    </row>
    <row r="24" spans="2:3" x14ac:dyDescent="0.25">
      <c r="B24" s="74" t="s">
        <v>910</v>
      </c>
      <c r="C24" s="74" t="s">
        <v>477</v>
      </c>
    </row>
    <row r="25" spans="2:3" x14ac:dyDescent="0.25">
      <c r="B25" s="74" t="s">
        <v>639</v>
      </c>
      <c r="C25" s="74" t="s">
        <v>477</v>
      </c>
    </row>
    <row r="26" spans="2:3" x14ac:dyDescent="0.25">
      <c r="B26" s="74" t="s">
        <v>638</v>
      </c>
      <c r="C26" s="74" t="s">
        <v>673</v>
      </c>
    </row>
    <row r="27" spans="2:3" x14ac:dyDescent="0.25">
      <c r="B27" s="74" t="s">
        <v>637</v>
      </c>
      <c r="C27" s="74" t="s">
        <v>673</v>
      </c>
    </row>
    <row r="28" spans="2:3" x14ac:dyDescent="0.25">
      <c r="B28" s="74" t="s">
        <v>636</v>
      </c>
      <c r="C28" s="74" t="s">
        <v>673</v>
      </c>
    </row>
    <row r="29" spans="2:3" x14ac:dyDescent="0.25">
      <c r="B29" s="74" t="s">
        <v>635</v>
      </c>
      <c r="C29" s="74" t="s">
        <v>477</v>
      </c>
    </row>
    <row r="30" spans="2:3" x14ac:dyDescent="0.25">
      <c r="B30" s="74" t="s">
        <v>634</v>
      </c>
      <c r="C30" s="74" t="s">
        <v>477</v>
      </c>
    </row>
    <row r="31" spans="2:3" x14ac:dyDescent="0.25">
      <c r="B31" s="74" t="s">
        <v>633</v>
      </c>
      <c r="C31" s="74" t="s">
        <v>667</v>
      </c>
    </row>
    <row r="32" spans="2:3" x14ac:dyDescent="0.25">
      <c r="B32" s="74" t="s">
        <v>632</v>
      </c>
      <c r="C32" s="74" t="s">
        <v>667</v>
      </c>
    </row>
    <row r="33" spans="2:3" x14ac:dyDescent="0.25">
      <c r="B33" s="74" t="s">
        <v>631</v>
      </c>
      <c r="C33" s="74" t="s">
        <v>667</v>
      </c>
    </row>
    <row r="34" spans="2:3" x14ac:dyDescent="0.25">
      <c r="B34" s="74" t="s">
        <v>630</v>
      </c>
      <c r="C34" s="74" t="s">
        <v>664</v>
      </c>
    </row>
    <row r="35" spans="2:3" x14ac:dyDescent="0.25">
      <c r="B35" s="74" t="s">
        <v>629</v>
      </c>
      <c r="C35" s="74" t="s">
        <v>673</v>
      </c>
    </row>
    <row r="36" spans="2:3" x14ac:dyDescent="0.25">
      <c r="B36" s="74" t="s">
        <v>628</v>
      </c>
      <c r="C36" s="74" t="s">
        <v>673</v>
      </c>
    </row>
    <row r="37" spans="2:3" x14ac:dyDescent="0.25">
      <c r="B37" s="74" t="s">
        <v>627</v>
      </c>
      <c r="C37" s="74" t="s">
        <v>674</v>
      </c>
    </row>
    <row r="38" spans="2:3" x14ac:dyDescent="0.25">
      <c r="B38" s="74" t="s">
        <v>626</v>
      </c>
      <c r="C38" s="74" t="s">
        <v>661</v>
      </c>
    </row>
    <row r="39" spans="2:3" x14ac:dyDescent="0.25">
      <c r="B39" s="74" t="s">
        <v>625</v>
      </c>
      <c r="C39" s="74" t="s">
        <v>661</v>
      </c>
    </row>
    <row r="40" spans="2:3" x14ac:dyDescent="0.25">
      <c r="B40" s="74" t="s">
        <v>624</v>
      </c>
      <c r="C40" s="74" t="s">
        <v>661</v>
      </c>
    </row>
    <row r="41" spans="2:3" x14ac:dyDescent="0.25">
      <c r="B41" s="74" t="s">
        <v>623</v>
      </c>
      <c r="C41" s="74" t="s">
        <v>477</v>
      </c>
    </row>
    <row r="42" spans="2:3" x14ac:dyDescent="0.25">
      <c r="B42" s="74" t="s">
        <v>622</v>
      </c>
      <c r="C42" s="74" t="s">
        <v>477</v>
      </c>
    </row>
    <row r="43" spans="2:3" x14ac:dyDescent="0.25">
      <c r="B43" s="74" t="s">
        <v>621</v>
      </c>
      <c r="C43" s="74" t="s">
        <v>666</v>
      </c>
    </row>
    <row r="44" spans="2:3" x14ac:dyDescent="0.25">
      <c r="B44" s="74" t="s">
        <v>620</v>
      </c>
      <c r="C44" s="74" t="s">
        <v>477</v>
      </c>
    </row>
    <row r="45" spans="2:3" x14ac:dyDescent="0.25">
      <c r="B45" s="74" t="s">
        <v>619</v>
      </c>
      <c r="C45" s="74" t="s">
        <v>477</v>
      </c>
    </row>
    <row r="46" spans="2:3" x14ac:dyDescent="0.25">
      <c r="B46" s="74" t="s">
        <v>618</v>
      </c>
      <c r="C46" s="74" t="s">
        <v>664</v>
      </c>
    </row>
    <row r="47" spans="2:3" x14ac:dyDescent="0.25">
      <c r="B47" s="74" t="s">
        <v>617</v>
      </c>
      <c r="C47" s="74" t="s">
        <v>674</v>
      </c>
    </row>
    <row r="48" spans="2:3" x14ac:dyDescent="0.25">
      <c r="B48" s="74" t="s">
        <v>616</v>
      </c>
      <c r="C48" s="74" t="s">
        <v>672</v>
      </c>
    </row>
    <row r="49" spans="2:3" x14ac:dyDescent="0.25">
      <c r="B49" s="74" t="s">
        <v>615</v>
      </c>
      <c r="C49" s="74" t="s">
        <v>664</v>
      </c>
    </row>
    <row r="50" spans="2:3" x14ac:dyDescent="0.25">
      <c r="B50" s="74" t="s">
        <v>614</v>
      </c>
      <c r="C50" s="74" t="s">
        <v>672</v>
      </c>
    </row>
    <row r="51" spans="2:3" x14ac:dyDescent="0.25">
      <c r="B51" s="74" t="s">
        <v>613</v>
      </c>
      <c r="C51" s="74" t="s">
        <v>664</v>
      </c>
    </row>
    <row r="52" spans="2:3" x14ac:dyDescent="0.25">
      <c r="B52" s="74" t="s">
        <v>612</v>
      </c>
      <c r="C52" s="74" t="s">
        <v>672</v>
      </c>
    </row>
    <row r="53" spans="2:3" x14ac:dyDescent="0.25">
      <c r="B53" s="74" t="s">
        <v>611</v>
      </c>
      <c r="C53" s="74" t="s">
        <v>664</v>
      </c>
    </row>
    <row r="54" spans="2:3" x14ac:dyDescent="0.25">
      <c r="B54" s="74" t="s">
        <v>610</v>
      </c>
      <c r="C54" s="74" t="s">
        <v>672</v>
      </c>
    </row>
    <row r="55" spans="2:3" x14ac:dyDescent="0.25">
      <c r="B55" s="74" t="s">
        <v>609</v>
      </c>
      <c r="C55" s="74" t="s">
        <v>664</v>
      </c>
    </row>
    <row r="56" spans="2:3" x14ac:dyDescent="0.25">
      <c r="B56" s="74" t="s">
        <v>608</v>
      </c>
      <c r="C56" s="74" t="s">
        <v>666</v>
      </c>
    </row>
    <row r="57" spans="2:3" x14ac:dyDescent="0.25">
      <c r="B57" s="74" t="s">
        <v>607</v>
      </c>
      <c r="C57" s="74" t="s">
        <v>666</v>
      </c>
    </row>
    <row r="58" spans="2:3" x14ac:dyDescent="0.25">
      <c r="B58" s="74" t="s">
        <v>606</v>
      </c>
      <c r="C58" s="74" t="s">
        <v>662</v>
      </c>
    </row>
    <row r="59" spans="2:3" x14ac:dyDescent="0.25">
      <c r="B59" s="74" t="s">
        <v>605</v>
      </c>
      <c r="C59" s="74" t="s">
        <v>662</v>
      </c>
    </row>
    <row r="60" spans="2:3" x14ac:dyDescent="0.25">
      <c r="B60" s="74" t="s">
        <v>604</v>
      </c>
      <c r="C60" s="74" t="s">
        <v>662</v>
      </c>
    </row>
    <row r="61" spans="2:3" x14ac:dyDescent="0.25">
      <c r="B61" s="74" t="s">
        <v>603</v>
      </c>
      <c r="C61" s="74" t="s">
        <v>662</v>
      </c>
    </row>
    <row r="62" spans="2:3" x14ac:dyDescent="0.25">
      <c r="B62" s="74" t="s">
        <v>602</v>
      </c>
      <c r="C62" s="74" t="s">
        <v>662</v>
      </c>
    </row>
    <row r="63" spans="2:3" x14ac:dyDescent="0.25">
      <c r="B63" s="74" t="s">
        <v>601</v>
      </c>
      <c r="C63" s="74" t="s">
        <v>662</v>
      </c>
    </row>
    <row r="64" spans="2:3" x14ac:dyDescent="0.25">
      <c r="B64" s="74" t="s">
        <v>600</v>
      </c>
      <c r="C64" s="74" t="s">
        <v>662</v>
      </c>
    </row>
    <row r="65" spans="2:3" x14ac:dyDescent="0.25">
      <c r="B65" s="74" t="s">
        <v>599</v>
      </c>
      <c r="C65" s="74" t="s">
        <v>662</v>
      </c>
    </row>
    <row r="66" spans="2:3" x14ac:dyDescent="0.25">
      <c r="B66" s="74" t="s">
        <v>598</v>
      </c>
      <c r="C66" s="74" t="s">
        <v>662</v>
      </c>
    </row>
    <row r="67" spans="2:3" x14ac:dyDescent="0.25">
      <c r="B67" s="74" t="s">
        <v>597</v>
      </c>
      <c r="C67" s="74" t="s">
        <v>671</v>
      </c>
    </row>
    <row r="68" spans="2:3" x14ac:dyDescent="0.25">
      <c r="B68" s="74" t="s">
        <v>596</v>
      </c>
      <c r="C68" s="74" t="s">
        <v>671</v>
      </c>
    </row>
    <row r="69" spans="2:3" x14ac:dyDescent="0.25">
      <c r="B69" s="74" t="s">
        <v>595</v>
      </c>
      <c r="C69" s="74" t="s">
        <v>664</v>
      </c>
    </row>
    <row r="70" spans="2:3" x14ac:dyDescent="0.25">
      <c r="B70" s="74" t="s">
        <v>594</v>
      </c>
      <c r="C70" s="74" t="s">
        <v>666</v>
      </c>
    </row>
    <row r="71" spans="2:3" x14ac:dyDescent="0.25">
      <c r="B71" s="74" t="s">
        <v>593</v>
      </c>
      <c r="C71" s="74" t="s">
        <v>672</v>
      </c>
    </row>
    <row r="72" spans="2:3" x14ac:dyDescent="0.25">
      <c r="B72" s="74" t="s">
        <v>592</v>
      </c>
      <c r="C72" s="74" t="s">
        <v>670</v>
      </c>
    </row>
    <row r="73" spans="2:3" x14ac:dyDescent="0.25">
      <c r="B73" s="74" t="s">
        <v>591</v>
      </c>
      <c r="C73" s="74" t="s">
        <v>670</v>
      </c>
    </row>
    <row r="74" spans="2:3" x14ac:dyDescent="0.25">
      <c r="B74" s="74" t="s">
        <v>590</v>
      </c>
      <c r="C74" s="74" t="s">
        <v>666</v>
      </c>
    </row>
    <row r="75" spans="2:3" x14ac:dyDescent="0.25">
      <c r="B75" s="74" t="s">
        <v>589</v>
      </c>
      <c r="C75" s="74" t="s">
        <v>666</v>
      </c>
    </row>
    <row r="76" spans="2:3" x14ac:dyDescent="0.25">
      <c r="B76" s="74" t="s">
        <v>588</v>
      </c>
      <c r="C76" s="74" t="s">
        <v>666</v>
      </c>
    </row>
    <row r="77" spans="2:3" x14ac:dyDescent="0.25">
      <c r="B77" s="74" t="s">
        <v>587</v>
      </c>
      <c r="C77" s="74" t="s">
        <v>666</v>
      </c>
    </row>
    <row r="78" spans="2:3" x14ac:dyDescent="0.25">
      <c r="B78" s="74" t="s">
        <v>586</v>
      </c>
      <c r="C78" s="74" t="s">
        <v>666</v>
      </c>
    </row>
    <row r="79" spans="2:3" x14ac:dyDescent="0.25">
      <c r="B79" s="74" t="s">
        <v>585</v>
      </c>
      <c r="C79" s="74" t="s">
        <v>668</v>
      </c>
    </row>
    <row r="80" spans="2:3" x14ac:dyDescent="0.25">
      <c r="B80" s="74" t="s">
        <v>584</v>
      </c>
      <c r="C80" s="74" t="s">
        <v>668</v>
      </c>
    </row>
    <row r="81" spans="2:3" x14ac:dyDescent="0.25">
      <c r="B81" s="74" t="s">
        <v>583</v>
      </c>
      <c r="C81" s="74" t="s">
        <v>668</v>
      </c>
    </row>
    <row r="82" spans="2:3" x14ac:dyDescent="0.25">
      <c r="B82" s="74" t="s">
        <v>582</v>
      </c>
      <c r="C82" s="74" t="s">
        <v>661</v>
      </c>
    </row>
    <row r="83" spans="2:3" x14ac:dyDescent="0.25">
      <c r="B83" s="74" t="s">
        <v>581</v>
      </c>
      <c r="C83" s="74" t="s">
        <v>668</v>
      </c>
    </row>
    <row r="84" spans="2:3" x14ac:dyDescent="0.25">
      <c r="B84" s="74" t="s">
        <v>580</v>
      </c>
      <c r="C84" s="74" t="s">
        <v>674</v>
      </c>
    </row>
    <row r="85" spans="2:3" x14ac:dyDescent="0.25">
      <c r="B85" s="74" t="s">
        <v>579</v>
      </c>
      <c r="C85" s="74" t="s">
        <v>662</v>
      </c>
    </row>
    <row r="86" spans="2:3" x14ac:dyDescent="0.25">
      <c r="B86" s="74" t="s">
        <v>578</v>
      </c>
      <c r="C86" s="74" t="s">
        <v>668</v>
      </c>
    </row>
    <row r="87" spans="2:3" x14ac:dyDescent="0.25">
      <c r="B87" s="74" t="s">
        <v>577</v>
      </c>
      <c r="C87" s="74" t="s">
        <v>668</v>
      </c>
    </row>
    <row r="88" spans="2:3" x14ac:dyDescent="0.25">
      <c r="B88" s="74" t="s">
        <v>576</v>
      </c>
      <c r="C88" s="74" t="s">
        <v>668</v>
      </c>
    </row>
    <row r="89" spans="2:3" x14ac:dyDescent="0.25">
      <c r="B89" s="74" t="s">
        <v>575</v>
      </c>
      <c r="C89" s="74" t="s">
        <v>667</v>
      </c>
    </row>
    <row r="90" spans="2:3" x14ac:dyDescent="0.25">
      <c r="B90" s="74" t="s">
        <v>574</v>
      </c>
      <c r="C90" s="74" t="s">
        <v>667</v>
      </c>
    </row>
    <row r="91" spans="2:3" x14ac:dyDescent="0.25">
      <c r="B91" s="74" t="s">
        <v>573</v>
      </c>
      <c r="C91" s="74" t="s">
        <v>667</v>
      </c>
    </row>
    <row r="92" spans="2:3" x14ac:dyDescent="0.25">
      <c r="B92" s="74" t="s">
        <v>572</v>
      </c>
      <c r="C92" s="74" t="s">
        <v>666</v>
      </c>
    </row>
    <row r="93" spans="2:3" x14ac:dyDescent="0.25">
      <c r="B93" s="74" t="s">
        <v>571</v>
      </c>
      <c r="C93" s="74" t="s">
        <v>666</v>
      </c>
    </row>
    <row r="94" spans="2:3" x14ac:dyDescent="0.25">
      <c r="B94" s="74" t="s">
        <v>570</v>
      </c>
      <c r="C94" s="74" t="s">
        <v>666</v>
      </c>
    </row>
    <row r="95" spans="2:3" x14ac:dyDescent="0.25">
      <c r="B95" s="74" t="s">
        <v>569</v>
      </c>
      <c r="C95" s="74" t="s">
        <v>664</v>
      </c>
    </row>
    <row r="96" spans="2:3" x14ac:dyDescent="0.25">
      <c r="B96" s="74" t="s">
        <v>568</v>
      </c>
      <c r="C96" s="74" t="s">
        <v>666</v>
      </c>
    </row>
    <row r="97" spans="2:3" x14ac:dyDescent="0.25">
      <c r="B97" s="74" t="s">
        <v>567</v>
      </c>
      <c r="C97" s="74" t="s">
        <v>666</v>
      </c>
    </row>
    <row r="98" spans="2:3" x14ac:dyDescent="0.25">
      <c r="B98" s="74" t="s">
        <v>566</v>
      </c>
      <c r="C98" s="74" t="s">
        <v>666</v>
      </c>
    </row>
    <row r="99" spans="2:3" x14ac:dyDescent="0.25">
      <c r="B99" s="74" t="s">
        <v>565</v>
      </c>
      <c r="C99" s="74" t="s">
        <v>673</v>
      </c>
    </row>
    <row r="100" spans="2:3" x14ac:dyDescent="0.25">
      <c r="B100" s="74" t="s">
        <v>564</v>
      </c>
      <c r="C100" s="74" t="s">
        <v>673</v>
      </c>
    </row>
    <row r="101" spans="2:3" x14ac:dyDescent="0.25">
      <c r="B101" s="74" t="s">
        <v>563</v>
      </c>
      <c r="C101" s="74" t="s">
        <v>673</v>
      </c>
    </row>
    <row r="102" spans="2:3" x14ac:dyDescent="0.25">
      <c r="B102" s="74" t="s">
        <v>562</v>
      </c>
      <c r="C102" s="74" t="s">
        <v>673</v>
      </c>
    </row>
    <row r="103" spans="2:3" x14ac:dyDescent="0.25">
      <c r="B103" s="74" t="s">
        <v>561</v>
      </c>
      <c r="C103" s="74" t="s">
        <v>667</v>
      </c>
    </row>
    <row r="104" spans="2:3" x14ac:dyDescent="0.25">
      <c r="B104" s="74" t="s">
        <v>560</v>
      </c>
      <c r="C104" s="74" t="s">
        <v>667</v>
      </c>
    </row>
    <row r="105" spans="2:3" x14ac:dyDescent="0.25">
      <c r="B105" s="74" t="s">
        <v>559</v>
      </c>
      <c r="C105" s="74" t="s">
        <v>667</v>
      </c>
    </row>
    <row r="106" spans="2:3" x14ac:dyDescent="0.25">
      <c r="B106" s="74" t="s">
        <v>558</v>
      </c>
      <c r="C106" s="74" t="s">
        <v>667</v>
      </c>
    </row>
    <row r="107" spans="2:3" x14ac:dyDescent="0.25">
      <c r="B107" s="74" t="s">
        <v>557</v>
      </c>
      <c r="C107" s="74" t="s">
        <v>666</v>
      </c>
    </row>
    <row r="108" spans="2:3" x14ac:dyDescent="0.25">
      <c r="B108" s="74" t="s">
        <v>556</v>
      </c>
      <c r="C108" s="74" t="s">
        <v>661</v>
      </c>
    </row>
    <row r="109" spans="2:3" x14ac:dyDescent="0.25">
      <c r="B109" s="74" t="s">
        <v>555</v>
      </c>
      <c r="C109" s="74" t="s">
        <v>661</v>
      </c>
    </row>
    <row r="110" spans="2:3" x14ac:dyDescent="0.25">
      <c r="B110" s="74" t="s">
        <v>554</v>
      </c>
      <c r="C110" s="74" t="s">
        <v>661</v>
      </c>
    </row>
    <row r="111" spans="2:3" x14ac:dyDescent="0.25">
      <c r="B111" s="74" t="s">
        <v>553</v>
      </c>
      <c r="C111" s="74" t="s">
        <v>672</v>
      </c>
    </row>
    <row r="112" spans="2:3" x14ac:dyDescent="0.25">
      <c r="B112" s="74" t="s">
        <v>552</v>
      </c>
      <c r="C112" s="74" t="s">
        <v>672</v>
      </c>
    </row>
    <row r="113" spans="2:3" x14ac:dyDescent="0.25">
      <c r="B113" s="74" t="s">
        <v>551</v>
      </c>
      <c r="C113" s="74" t="s">
        <v>671</v>
      </c>
    </row>
    <row r="114" spans="2:3" x14ac:dyDescent="0.25">
      <c r="B114" s="74" t="s">
        <v>550</v>
      </c>
      <c r="C114" s="74" t="s">
        <v>671</v>
      </c>
    </row>
    <row r="115" spans="2:3" x14ac:dyDescent="0.25">
      <c r="B115" s="74" t="s">
        <v>549</v>
      </c>
      <c r="C115" s="74" t="s">
        <v>671</v>
      </c>
    </row>
    <row r="116" spans="2:3" x14ac:dyDescent="0.25">
      <c r="B116" s="74" t="s">
        <v>548</v>
      </c>
      <c r="C116" s="74" t="s">
        <v>477</v>
      </c>
    </row>
    <row r="117" spans="2:3" x14ac:dyDescent="0.25">
      <c r="B117" s="74" t="s">
        <v>547</v>
      </c>
      <c r="C117" s="74" t="s">
        <v>477</v>
      </c>
    </row>
    <row r="118" spans="2:3" x14ac:dyDescent="0.25">
      <c r="B118" s="74" t="s">
        <v>546</v>
      </c>
      <c r="C118" s="74" t="s">
        <v>477</v>
      </c>
    </row>
    <row r="119" spans="2:3" x14ac:dyDescent="0.25">
      <c r="B119" s="74" t="s">
        <v>545</v>
      </c>
      <c r="C119" s="74" t="s">
        <v>477</v>
      </c>
    </row>
    <row r="120" spans="2:3" x14ac:dyDescent="0.25">
      <c r="B120" s="74" t="s">
        <v>544</v>
      </c>
      <c r="C120" s="74" t="s">
        <v>666</v>
      </c>
    </row>
    <row r="121" spans="2:3" x14ac:dyDescent="0.25">
      <c r="B121" s="74" t="s">
        <v>543</v>
      </c>
      <c r="C121" s="74" t="s">
        <v>666</v>
      </c>
    </row>
    <row r="122" spans="2:3" x14ac:dyDescent="0.25">
      <c r="B122" s="74" t="s">
        <v>542</v>
      </c>
      <c r="C122" s="74" t="s">
        <v>666</v>
      </c>
    </row>
    <row r="123" spans="2:3" x14ac:dyDescent="0.25">
      <c r="B123" s="74" t="s">
        <v>541</v>
      </c>
      <c r="C123" s="74" t="s">
        <v>666</v>
      </c>
    </row>
    <row r="124" spans="2:3" x14ac:dyDescent="0.25">
      <c r="B124" s="74" t="s">
        <v>540</v>
      </c>
      <c r="C124" s="74" t="s">
        <v>661</v>
      </c>
    </row>
    <row r="125" spans="2:3" x14ac:dyDescent="0.25">
      <c r="B125" s="74" t="s">
        <v>539</v>
      </c>
      <c r="C125" s="74" t="s">
        <v>661</v>
      </c>
    </row>
    <row r="126" spans="2:3" x14ac:dyDescent="0.25">
      <c r="B126" s="74" t="s">
        <v>538</v>
      </c>
      <c r="C126" s="74" t="s">
        <v>661</v>
      </c>
    </row>
    <row r="127" spans="2:3" x14ac:dyDescent="0.25">
      <c r="B127" s="74" t="s">
        <v>537</v>
      </c>
      <c r="C127" s="74" t="s">
        <v>661</v>
      </c>
    </row>
    <row r="128" spans="2:3" x14ac:dyDescent="0.25">
      <c r="B128" s="74" t="s">
        <v>536</v>
      </c>
      <c r="C128" s="74" t="s">
        <v>671</v>
      </c>
    </row>
    <row r="129" spans="2:3" x14ac:dyDescent="0.25">
      <c r="B129" s="74" t="s">
        <v>535</v>
      </c>
      <c r="C129" s="74" t="s">
        <v>671</v>
      </c>
    </row>
    <row r="130" spans="2:3" x14ac:dyDescent="0.25">
      <c r="B130" s="74" t="s">
        <v>534</v>
      </c>
      <c r="C130" s="74" t="s">
        <v>671</v>
      </c>
    </row>
    <row r="131" spans="2:3" x14ac:dyDescent="0.25">
      <c r="B131" s="74" t="s">
        <v>533</v>
      </c>
      <c r="C131" s="74" t="s">
        <v>671</v>
      </c>
    </row>
    <row r="132" spans="2:3" x14ac:dyDescent="0.25">
      <c r="B132" s="74" t="s">
        <v>532</v>
      </c>
      <c r="C132" s="74" t="s">
        <v>671</v>
      </c>
    </row>
    <row r="133" spans="2:3" x14ac:dyDescent="0.25">
      <c r="B133" s="74" t="s">
        <v>531</v>
      </c>
      <c r="C133" s="74" t="s">
        <v>671</v>
      </c>
    </row>
    <row r="134" spans="2:3" x14ac:dyDescent="0.25">
      <c r="B134" s="74" t="s">
        <v>530</v>
      </c>
      <c r="C134" s="74" t="s">
        <v>670</v>
      </c>
    </row>
    <row r="135" spans="2:3" x14ac:dyDescent="0.25">
      <c r="B135" s="74" t="s">
        <v>529</v>
      </c>
      <c r="C135" s="74" t="s">
        <v>662</v>
      </c>
    </row>
    <row r="136" spans="2:3" x14ac:dyDescent="0.25">
      <c r="B136" s="74" t="s">
        <v>528</v>
      </c>
      <c r="C136" s="74" t="s">
        <v>661</v>
      </c>
    </row>
    <row r="137" spans="2:3" x14ac:dyDescent="0.25">
      <c r="B137" s="74" t="s">
        <v>527</v>
      </c>
      <c r="C137" s="74" t="s">
        <v>661</v>
      </c>
    </row>
    <row r="138" spans="2:3" x14ac:dyDescent="0.25">
      <c r="B138" s="74" t="s">
        <v>526</v>
      </c>
      <c r="C138" s="74" t="s">
        <v>661</v>
      </c>
    </row>
    <row r="139" spans="2:3" x14ac:dyDescent="0.25">
      <c r="B139" s="74" t="s">
        <v>525</v>
      </c>
      <c r="C139" s="74" t="s">
        <v>661</v>
      </c>
    </row>
    <row r="140" spans="2:3" x14ac:dyDescent="0.25">
      <c r="B140" s="74" t="s">
        <v>524</v>
      </c>
      <c r="C140" s="74" t="s">
        <v>669</v>
      </c>
    </row>
    <row r="141" spans="2:3" x14ac:dyDescent="0.25">
      <c r="B141" s="74" t="s">
        <v>523</v>
      </c>
      <c r="C141" s="74" t="s">
        <v>669</v>
      </c>
    </row>
    <row r="142" spans="2:3" x14ac:dyDescent="0.25">
      <c r="B142" s="74" t="s">
        <v>522</v>
      </c>
      <c r="C142" s="74" t="s">
        <v>669</v>
      </c>
    </row>
    <row r="143" spans="2:3" x14ac:dyDescent="0.25">
      <c r="B143" s="74" t="s">
        <v>521</v>
      </c>
      <c r="C143" s="74" t="s">
        <v>661</v>
      </c>
    </row>
    <row r="144" spans="2:3" x14ac:dyDescent="0.25">
      <c r="B144" s="74" t="s">
        <v>520</v>
      </c>
      <c r="C144" s="74" t="s">
        <v>668</v>
      </c>
    </row>
    <row r="145" spans="2:3" x14ac:dyDescent="0.25">
      <c r="B145" s="74" t="s">
        <v>519</v>
      </c>
      <c r="C145" s="74" t="s">
        <v>477</v>
      </c>
    </row>
    <row r="146" spans="2:3" x14ac:dyDescent="0.25">
      <c r="B146" s="74" t="s">
        <v>518</v>
      </c>
      <c r="C146" s="74" t="s">
        <v>661</v>
      </c>
    </row>
    <row r="147" spans="2:3" x14ac:dyDescent="0.25">
      <c r="B147" s="74" t="s">
        <v>517</v>
      </c>
      <c r="C147" s="74" t="s">
        <v>661</v>
      </c>
    </row>
    <row r="148" spans="2:3" x14ac:dyDescent="0.25">
      <c r="B148" s="74" t="s">
        <v>516</v>
      </c>
      <c r="C148" s="74" t="s">
        <v>661</v>
      </c>
    </row>
    <row r="149" spans="2:3" x14ac:dyDescent="0.25">
      <c r="B149" s="74" t="s">
        <v>515</v>
      </c>
      <c r="C149" s="74" t="s">
        <v>666</v>
      </c>
    </row>
    <row r="150" spans="2:3" x14ac:dyDescent="0.25">
      <c r="B150" s="74" t="s">
        <v>514</v>
      </c>
      <c r="C150" s="74" t="s">
        <v>666</v>
      </c>
    </row>
    <row r="151" spans="2:3" x14ac:dyDescent="0.25">
      <c r="B151" s="74" t="s">
        <v>513</v>
      </c>
      <c r="C151" s="74" t="s">
        <v>668</v>
      </c>
    </row>
    <row r="152" spans="2:3" x14ac:dyDescent="0.25">
      <c r="B152" s="74" t="s">
        <v>512</v>
      </c>
      <c r="C152" s="74" t="s">
        <v>668</v>
      </c>
    </row>
    <row r="153" spans="2:3" x14ac:dyDescent="0.25">
      <c r="B153" s="74" t="s">
        <v>511</v>
      </c>
      <c r="C153" s="74" t="s">
        <v>667</v>
      </c>
    </row>
    <row r="154" spans="2:3" x14ac:dyDescent="0.25">
      <c r="B154" s="74" t="s">
        <v>510</v>
      </c>
      <c r="C154" s="74" t="s">
        <v>667</v>
      </c>
    </row>
    <row r="155" spans="2:3" x14ac:dyDescent="0.25">
      <c r="B155" s="74" t="s">
        <v>509</v>
      </c>
      <c r="C155" s="74" t="s">
        <v>667</v>
      </c>
    </row>
    <row r="156" spans="2:3" x14ac:dyDescent="0.25">
      <c r="B156" s="74" t="s">
        <v>508</v>
      </c>
      <c r="C156" s="74" t="s">
        <v>667</v>
      </c>
    </row>
    <row r="157" spans="2:3" x14ac:dyDescent="0.25">
      <c r="B157" s="74" t="s">
        <v>507</v>
      </c>
      <c r="C157" s="74" t="s">
        <v>666</v>
      </c>
    </row>
    <row r="158" spans="2:3" x14ac:dyDescent="0.25">
      <c r="B158" s="74" t="s">
        <v>506</v>
      </c>
      <c r="C158" s="74" t="s">
        <v>666</v>
      </c>
    </row>
    <row r="159" spans="2:3" x14ac:dyDescent="0.25">
      <c r="B159" s="74" t="s">
        <v>505</v>
      </c>
      <c r="C159" s="74" t="s">
        <v>666</v>
      </c>
    </row>
    <row r="160" spans="2:3" x14ac:dyDescent="0.25">
      <c r="B160" s="74" t="s">
        <v>504</v>
      </c>
      <c r="C160" s="74" t="s">
        <v>664</v>
      </c>
    </row>
    <row r="161" spans="2:3" x14ac:dyDescent="0.25">
      <c r="B161" s="74" t="s">
        <v>503</v>
      </c>
      <c r="C161" s="74" t="s">
        <v>665</v>
      </c>
    </row>
    <row r="162" spans="2:3" x14ac:dyDescent="0.25">
      <c r="B162" s="74" t="s">
        <v>502</v>
      </c>
      <c r="C162" s="74" t="s">
        <v>664</v>
      </c>
    </row>
    <row r="163" spans="2:3" x14ac:dyDescent="0.25">
      <c r="B163" s="74" t="s">
        <v>501</v>
      </c>
      <c r="C163" s="74" t="s">
        <v>663</v>
      </c>
    </row>
    <row r="164" spans="2:3" x14ac:dyDescent="0.25">
      <c r="B164" s="74" t="s">
        <v>500</v>
      </c>
      <c r="C164" s="74" t="s">
        <v>662</v>
      </c>
    </row>
    <row r="165" spans="2:3" x14ac:dyDescent="0.25">
      <c r="B165" s="74" t="s">
        <v>499</v>
      </c>
      <c r="C165" s="74" t="s">
        <v>661</v>
      </c>
    </row>
    <row r="166" spans="2:3" x14ac:dyDescent="0.25">
      <c r="B166" s="74" t="s">
        <v>498</v>
      </c>
      <c r="C166" s="74" t="s">
        <v>661</v>
      </c>
    </row>
    <row r="167" spans="2:3" x14ac:dyDescent="0.25">
      <c r="B167" s="74" t="s">
        <v>497</v>
      </c>
      <c r="C167" s="74" t="s">
        <v>661</v>
      </c>
    </row>
    <row r="168" spans="2:3" x14ac:dyDescent="0.25">
      <c r="B168" s="74" t="s">
        <v>496</v>
      </c>
      <c r="C168" s="74" t="s">
        <v>661</v>
      </c>
    </row>
    <row r="169" spans="2:3" x14ac:dyDescent="0.25">
      <c r="B169" s="74" t="s">
        <v>495</v>
      </c>
      <c r="C169" s="74" t="s">
        <v>661</v>
      </c>
    </row>
    <row r="170" spans="2:3" x14ac:dyDescent="0.25">
      <c r="B170" s="74" t="s">
        <v>494</v>
      </c>
      <c r="C170" s="74" t="s">
        <v>661</v>
      </c>
    </row>
    <row r="171" spans="2:3" x14ac:dyDescent="0.25">
      <c r="B171" s="74" t="s">
        <v>493</v>
      </c>
      <c r="C171" s="74" t="s">
        <v>661</v>
      </c>
    </row>
    <row r="172" spans="2:3" x14ac:dyDescent="0.25">
      <c r="B172" s="74" t="s">
        <v>492</v>
      </c>
      <c r="C172" s="74" t="s">
        <v>661</v>
      </c>
    </row>
    <row r="173" spans="2:3" x14ac:dyDescent="0.25">
      <c r="B173" s="74" t="s">
        <v>491</v>
      </c>
      <c r="C173" s="74" t="s">
        <v>661</v>
      </c>
    </row>
  </sheetData>
  <dataValidations xWindow="51" yWindow="512" count="3">
    <dataValidation type="textLength" operator="lessThanOrEqual" allowBlank="1" showInputMessage="1" showErrorMessage="1" errorTitle="Length Exceeded" error="This value must be less than or equal to 50 characters long." promptTitle="Text" prompt="Maximum Length: 50 characters." sqref="C3:C1048576" xr:uid="{00000000-0002-0000-0000-000005000000}">
      <formula1>50</formula1>
    </dataValidation>
    <dataValidation type="textLength" operator="lessThanOrEqual" showInputMessage="1" showErrorMessage="1" errorTitle="Length Exceeded" error="This value must be less than or equal to 160 characters long." promptTitle="Text (required)" prompt="Maximum Length: 160 characters." sqref="B3:B1048576" xr:uid="{00000000-0002-0000-0000-000001000000}">
      <formula1>160</formula1>
    </dataValidation>
    <dataValidation type="date" operator="greaterThanOrEqual" allowBlank="1" showInputMessage="1" showErrorMessage="1" errorTitle="Invalid Date" error="(Do Not Modify) Modified On must be in the correct date and time format." promptTitle="Date and time" prompt=" " sqref="A3:A1048576" xr:uid="{00000000-0002-0000-0000-000000000000}">
      <formula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595E-FD22-49B1-90AA-58BC8580A6E9}">
  <sheetPr codeName="Sheet8">
    <tabColor rgb="FF00B0F0"/>
  </sheetPr>
  <dimension ref="A1:I43"/>
  <sheetViews>
    <sheetView showZeros="0" view="pageLayout" zoomScaleNormal="100" workbookViewId="0">
      <selection activeCell="D21" sqref="D21:F21"/>
    </sheetView>
  </sheetViews>
  <sheetFormatPr defaultColWidth="9.140625" defaultRowHeight="12.75" x14ac:dyDescent="0.25"/>
  <cols>
    <col min="1" max="1" width="20.5703125" style="71" customWidth="1"/>
    <col min="2" max="2" width="2.85546875" style="71" customWidth="1"/>
    <col min="3" max="3" width="24.140625" style="71" customWidth="1"/>
    <col min="4" max="4" width="15.42578125" style="71" customWidth="1"/>
    <col min="5" max="5" width="1.5703125" style="71" customWidth="1"/>
    <col min="6" max="6" width="17.140625" style="71" customWidth="1"/>
    <col min="7" max="7" width="3" style="71" hidden="1" customWidth="1"/>
    <col min="8" max="8" width="1.42578125" style="71" hidden="1" customWidth="1"/>
    <col min="9" max="9" width="15.85546875" style="71" customWidth="1"/>
    <col min="10" max="16384" width="9.140625" style="71"/>
  </cols>
  <sheetData>
    <row r="1" spans="1:9" ht="24.95" customHeight="1" x14ac:dyDescent="0.25">
      <c r="A1" s="591" t="str">
        <f>'Preparer Cert.'!A1:I1</f>
        <v>2025 PREPARER'S CERTIFICATION</v>
      </c>
      <c r="B1" s="591"/>
      <c r="C1" s="591"/>
      <c r="D1" s="591"/>
      <c r="E1" s="591"/>
      <c r="F1" s="591"/>
      <c r="G1" s="591"/>
      <c r="H1" s="591"/>
      <c r="I1" s="591"/>
    </row>
    <row r="2" spans="1:9" ht="22.5" x14ac:dyDescent="0.25">
      <c r="A2" s="620" t="s">
        <v>358</v>
      </c>
      <c r="B2" s="620"/>
      <c r="C2" s="620"/>
      <c r="D2" s="620"/>
      <c r="E2" s="620"/>
      <c r="F2" s="620"/>
      <c r="G2" s="620"/>
      <c r="H2" s="620"/>
      <c r="I2" s="620"/>
    </row>
    <row r="3" spans="1:9" ht="19.350000000000001" customHeight="1" x14ac:dyDescent="0.25"/>
    <row r="4" spans="1:9" ht="20.100000000000001" customHeight="1" x14ac:dyDescent="0.25">
      <c r="A4" s="601" t="str">
        <f>'Preparer Cert.'!A3:I3</f>
        <v>Weymouth Township FD No. 1</v>
      </c>
      <c r="B4" s="601"/>
      <c r="C4" s="601"/>
      <c r="D4" s="601"/>
      <c r="E4" s="601"/>
      <c r="F4" s="601"/>
      <c r="G4" s="601"/>
      <c r="H4" s="601"/>
      <c r="I4" s="601"/>
    </row>
    <row r="5" spans="1:9" ht="10.7" customHeight="1" x14ac:dyDescent="0.25">
      <c r="A5" s="83"/>
      <c r="B5" s="83"/>
      <c r="C5" s="83"/>
      <c r="D5" s="83"/>
      <c r="E5" s="83"/>
      <c r="F5" s="83"/>
      <c r="G5" s="83"/>
      <c r="H5" s="83"/>
      <c r="I5" s="83"/>
    </row>
    <row r="6" spans="1:9" ht="24.95" customHeight="1" x14ac:dyDescent="0.25">
      <c r="A6" s="591" t="s">
        <v>338</v>
      </c>
      <c r="B6" s="591"/>
      <c r="C6" s="591"/>
      <c r="D6" s="591"/>
      <c r="E6" s="591"/>
      <c r="F6" s="591"/>
      <c r="G6" s="591"/>
      <c r="H6" s="591"/>
      <c r="I6" s="591"/>
    </row>
    <row r="7" spans="1:9" ht="10.7" customHeight="1" x14ac:dyDescent="0.25">
      <c r="A7" s="84"/>
      <c r="B7" s="84"/>
      <c r="C7" s="84"/>
      <c r="D7" s="84"/>
      <c r="E7" s="84"/>
      <c r="F7" s="84"/>
      <c r="G7" s="84"/>
      <c r="H7" s="84"/>
      <c r="I7" s="84"/>
    </row>
    <row r="8" spans="1:9" ht="15.75" x14ac:dyDescent="0.25">
      <c r="A8" s="616" t="str">
        <f>'Preparer Cert.'!A7:I7</f>
        <v>FISCAL YEAR: January 1, 2025 to December 31, 2025</v>
      </c>
      <c r="B8" s="616"/>
      <c r="C8" s="616"/>
      <c r="D8" s="616"/>
      <c r="E8" s="616"/>
      <c r="F8" s="616"/>
      <c r="G8" s="616"/>
      <c r="H8" s="616"/>
      <c r="I8" s="616"/>
    </row>
    <row r="9" spans="1:9" ht="15.75" x14ac:dyDescent="0.25">
      <c r="A9" s="89"/>
      <c r="B9" s="89"/>
      <c r="C9" s="89"/>
      <c r="D9" s="89"/>
      <c r="E9" s="89"/>
      <c r="F9" s="89"/>
      <c r="G9" s="89"/>
      <c r="H9" s="89"/>
      <c r="I9" s="89"/>
    </row>
    <row r="10" spans="1:9" ht="15.75" x14ac:dyDescent="0.25">
      <c r="A10" s="615" t="s">
        <v>707</v>
      </c>
      <c r="B10" s="615"/>
      <c r="C10" s="615"/>
      <c r="D10" s="615"/>
      <c r="E10" s="615"/>
      <c r="F10" s="615"/>
      <c r="G10" s="615"/>
      <c r="H10" s="615"/>
      <c r="I10" s="615"/>
    </row>
    <row r="11" spans="1:9" ht="15.75" x14ac:dyDescent="0.25">
      <c r="A11" s="615" t="s">
        <v>981</v>
      </c>
      <c r="B11" s="615"/>
      <c r="C11" s="615"/>
      <c r="D11" s="615"/>
      <c r="E11" s="615"/>
      <c r="F11" s="615"/>
      <c r="G11" s="615"/>
      <c r="H11" s="615"/>
      <c r="I11" s="615"/>
    </row>
    <row r="12" spans="1:9" ht="15.75" x14ac:dyDescent="0.25">
      <c r="A12" s="615" t="s">
        <v>357</v>
      </c>
      <c r="B12" s="615"/>
      <c r="C12" s="615"/>
      <c r="D12" s="615"/>
      <c r="E12" s="615"/>
      <c r="F12" s="615"/>
      <c r="G12" s="615"/>
      <c r="H12" s="615"/>
      <c r="I12" s="615"/>
    </row>
    <row r="13" spans="1:9" ht="15.75" x14ac:dyDescent="0.25">
      <c r="A13" s="615" t="s">
        <v>356</v>
      </c>
      <c r="B13" s="615"/>
      <c r="C13" s="615"/>
      <c r="D13" s="615"/>
      <c r="E13" s="615"/>
      <c r="F13" s="615"/>
      <c r="G13" s="615"/>
      <c r="H13" s="615"/>
      <c r="I13" s="615"/>
    </row>
    <row r="14" spans="1:9" ht="15.75" x14ac:dyDescent="0.25">
      <c r="A14" s="615" t="s">
        <v>355</v>
      </c>
      <c r="B14" s="615"/>
      <c r="C14" s="615"/>
      <c r="D14" s="615"/>
      <c r="E14" s="615"/>
      <c r="F14" s="615"/>
      <c r="G14" s="615"/>
      <c r="H14" s="615"/>
      <c r="I14" s="615"/>
    </row>
    <row r="15" spans="1:9" ht="15.75" x14ac:dyDescent="0.25">
      <c r="A15" s="615"/>
      <c r="B15" s="615"/>
      <c r="C15" s="615"/>
      <c r="D15" s="615"/>
      <c r="E15" s="615"/>
      <c r="F15" s="615"/>
      <c r="G15" s="615"/>
      <c r="H15" s="615"/>
      <c r="I15" s="615"/>
    </row>
    <row r="16" spans="1:9" ht="15.75" x14ac:dyDescent="0.25">
      <c r="A16" s="618" t="s">
        <v>708</v>
      </c>
      <c r="B16" s="618"/>
      <c r="C16" s="618"/>
      <c r="D16" s="618"/>
      <c r="E16" s="618"/>
      <c r="F16" s="618"/>
      <c r="G16" s="618"/>
      <c r="H16" s="618"/>
      <c r="I16" s="618"/>
    </row>
    <row r="17" spans="1:9" ht="15.75" x14ac:dyDescent="0.25">
      <c r="A17" s="618" t="s">
        <v>792</v>
      </c>
      <c r="B17" s="618"/>
      <c r="C17" s="618"/>
      <c r="D17" s="618"/>
      <c r="E17" s="618"/>
      <c r="F17" s="618"/>
      <c r="G17" s="618"/>
      <c r="H17" s="618"/>
      <c r="I17" s="618"/>
    </row>
    <row r="18" spans="1:9" ht="17.100000000000001" customHeight="1" x14ac:dyDescent="0.25">
      <c r="A18" s="619" t="s">
        <v>354</v>
      </c>
      <c r="B18" s="619"/>
      <c r="C18" s="619"/>
      <c r="D18" s="619"/>
      <c r="E18" s="619"/>
      <c r="F18" s="619"/>
      <c r="G18" s="619"/>
      <c r="H18" s="619"/>
      <c r="I18" s="619"/>
    </row>
    <row r="19" spans="1:9" ht="17.100000000000001" customHeight="1" x14ac:dyDescent="0.25">
      <c r="A19" s="619" t="s">
        <v>353</v>
      </c>
      <c r="B19" s="619"/>
      <c r="C19" s="619"/>
      <c r="D19" s="619"/>
      <c r="E19" s="619"/>
      <c r="F19" s="619"/>
      <c r="G19" s="619"/>
      <c r="H19" s="619"/>
      <c r="I19" s="619"/>
    </row>
    <row r="20" spans="1:9" ht="17.100000000000001" customHeight="1" x14ac:dyDescent="0.25">
      <c r="A20" s="614"/>
      <c r="B20" s="614"/>
      <c r="C20" s="614"/>
      <c r="D20" s="614"/>
      <c r="E20" s="614"/>
      <c r="F20" s="614"/>
      <c r="G20" s="614"/>
      <c r="H20" s="614"/>
      <c r="I20" s="614"/>
    </row>
    <row r="21" spans="1:9" ht="15.75" customHeight="1" x14ac:dyDescent="0.25">
      <c r="A21" s="90"/>
      <c r="B21" s="609" t="s">
        <v>346</v>
      </c>
      <c r="C21" s="610"/>
      <c r="D21" s="611" t="s">
        <v>1017</v>
      </c>
      <c r="E21" s="612"/>
      <c r="F21" s="613"/>
    </row>
    <row r="22" spans="1:9" ht="15.75" customHeight="1" x14ac:dyDescent="0.25">
      <c r="A22" s="90"/>
      <c r="B22" s="604" t="s">
        <v>345</v>
      </c>
      <c r="C22" s="604"/>
      <c r="D22" s="617" t="str">
        <f>'KEY INPUTS'!B10</f>
        <v>Cheryl Sayers</v>
      </c>
      <c r="E22" s="617"/>
      <c r="F22" s="617"/>
    </row>
    <row r="23" spans="1:9" ht="15.75" customHeight="1" x14ac:dyDescent="0.25">
      <c r="A23" s="90"/>
      <c r="B23" s="604" t="s">
        <v>344</v>
      </c>
      <c r="C23" s="604"/>
      <c r="D23" s="617" t="str">
        <f>'KEY INPUTS'!B11</f>
        <v>Accountant</v>
      </c>
      <c r="E23" s="617"/>
      <c r="F23" s="617"/>
    </row>
    <row r="24" spans="1:9" ht="15.75" customHeight="1" x14ac:dyDescent="0.25">
      <c r="A24" s="90"/>
      <c r="B24" s="604" t="s">
        <v>343</v>
      </c>
      <c r="C24" s="604"/>
      <c r="D24" s="617" t="str">
        <f>'KEY INPUTS'!B12</f>
        <v>PO Box 1193, Marmora, NJ 08223</v>
      </c>
      <c r="E24" s="617"/>
      <c r="F24" s="617"/>
    </row>
    <row r="25" spans="1:9" ht="15.75" customHeight="1" x14ac:dyDescent="0.25">
      <c r="A25" s="90"/>
      <c r="B25" s="604" t="s">
        <v>342</v>
      </c>
      <c r="C25" s="604"/>
      <c r="D25" s="617" t="str">
        <f>'KEY INPUTS'!B13</f>
        <v>609-390-0600</v>
      </c>
      <c r="E25" s="617"/>
      <c r="F25" s="617"/>
    </row>
    <row r="26" spans="1:9" ht="15.75" customHeight="1" x14ac:dyDescent="0.25">
      <c r="A26" s="90"/>
      <c r="B26" s="604" t="s">
        <v>341</v>
      </c>
      <c r="C26" s="604"/>
      <c r="D26" s="617" t="str">
        <f>'KEY INPUTS'!B14</f>
        <v>609-390-7931</v>
      </c>
      <c r="E26" s="617"/>
      <c r="F26" s="617"/>
    </row>
    <row r="27" spans="1:9" ht="15.75" customHeight="1" x14ac:dyDescent="0.25">
      <c r="A27" s="88"/>
      <c r="B27" s="605" t="s">
        <v>340</v>
      </c>
      <c r="C27" s="605"/>
      <c r="D27" s="617" t="str">
        <f>'KEY INPUTS'!B15</f>
        <v>cheryl@csayerscpa.com</v>
      </c>
      <c r="E27" s="617"/>
      <c r="F27" s="617"/>
    </row>
    <row r="43" spans="1:9" x14ac:dyDescent="0.25">
      <c r="A43" s="593" t="s">
        <v>790</v>
      </c>
      <c r="B43" s="593"/>
      <c r="C43" s="593"/>
      <c r="D43" s="593"/>
      <c r="E43" s="593"/>
      <c r="F43" s="593"/>
      <c r="G43" s="593"/>
      <c r="H43" s="593"/>
      <c r="I43" s="593"/>
    </row>
  </sheetData>
  <sheetProtection algorithmName="SHA-512" hashValue="EW5DffDjDZfYDyOipHJDV81uUrE8P36HtzT9O8JfyKAsh1MS4qeEaWCVVJl0hN9bZVCd4Dmhmjll3r0f9YWW4Q==" saltValue="3oJe2Z6p4dO4Gl/5SlHl/Q==" spinCount="100000" sheet="1" objects="1" scenarios="1"/>
  <mergeCells count="31">
    <mergeCell ref="A1:I1"/>
    <mergeCell ref="A4:I4"/>
    <mergeCell ref="A6:I6"/>
    <mergeCell ref="A8:I8"/>
    <mergeCell ref="A10:I10"/>
    <mergeCell ref="A2:I2"/>
    <mergeCell ref="A43:I43"/>
    <mergeCell ref="A12:I12"/>
    <mergeCell ref="A13:I13"/>
    <mergeCell ref="A14:I14"/>
    <mergeCell ref="A15:I15"/>
    <mergeCell ref="A16:I16"/>
    <mergeCell ref="A17:I17"/>
    <mergeCell ref="B25:C25"/>
    <mergeCell ref="D25:F25"/>
    <mergeCell ref="A18:I18"/>
    <mergeCell ref="A20:I20"/>
    <mergeCell ref="B21:C21"/>
    <mergeCell ref="D21:F21"/>
    <mergeCell ref="B22:C22"/>
    <mergeCell ref="D22:F22"/>
    <mergeCell ref="A19:I19"/>
    <mergeCell ref="A11:I11"/>
    <mergeCell ref="B26:C26"/>
    <mergeCell ref="D26:F26"/>
    <mergeCell ref="B27:C27"/>
    <mergeCell ref="D27:F27"/>
    <mergeCell ref="B23:C23"/>
    <mergeCell ref="B24:C24"/>
    <mergeCell ref="D24:F24"/>
    <mergeCell ref="D23:F23"/>
  </mergeCells>
  <printOptions horizontalCentered="1"/>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C17C-D7A3-467D-A6B5-005DAA6E7450}">
  <sheetPr codeName="Sheet10">
    <tabColor rgb="FF00B0F0"/>
  </sheetPr>
  <dimension ref="B1:F44"/>
  <sheetViews>
    <sheetView showZeros="0" showWhiteSpace="0" view="pageLayout" topLeftCell="A15" zoomScaleNormal="100" workbookViewId="0">
      <selection activeCell="C42" sqref="C42"/>
    </sheetView>
  </sheetViews>
  <sheetFormatPr defaultColWidth="9.140625" defaultRowHeight="12.75" x14ac:dyDescent="0.25"/>
  <cols>
    <col min="1" max="1" width="3.42578125" style="71" customWidth="1"/>
    <col min="2" max="2" width="34.42578125" style="71" customWidth="1"/>
    <col min="3" max="3" width="35.42578125" style="71" customWidth="1"/>
    <col min="4" max="4" width="6.85546875" style="71" customWidth="1"/>
    <col min="5" max="5" width="7.7109375" style="71" customWidth="1"/>
    <col min="6" max="6" width="14.85546875" style="71" customWidth="1"/>
    <col min="7" max="16384" width="9.140625" style="71"/>
  </cols>
  <sheetData>
    <row r="1" spans="2:6" ht="24.95" customHeight="1" x14ac:dyDescent="0.25">
      <c r="B1" s="591" t="s">
        <v>373</v>
      </c>
      <c r="C1" s="591"/>
      <c r="D1" s="591"/>
      <c r="E1" s="591"/>
      <c r="F1" s="591"/>
    </row>
    <row r="2" spans="2:6" ht="10.7" customHeight="1" x14ac:dyDescent="0.25">
      <c r="B2" s="84"/>
      <c r="C2" s="84"/>
      <c r="D2" s="84"/>
      <c r="E2" s="84"/>
      <c r="F2" s="84"/>
    </row>
    <row r="3" spans="2:6" ht="15" customHeight="1" x14ac:dyDescent="0.25">
      <c r="B3" s="178" t="s">
        <v>372</v>
      </c>
      <c r="C3" s="179" t="str">
        <f>'KEY INPUTS'!B4</f>
        <v>www.weymouthfirecommission.org</v>
      </c>
    </row>
    <row r="4" spans="2:6" ht="10.7" customHeight="1" x14ac:dyDescent="0.25">
      <c r="B4" s="180"/>
      <c r="C4" s="181"/>
    </row>
    <row r="5" spans="2:6" ht="15" customHeight="1" x14ac:dyDescent="0.25">
      <c r="B5" s="626" t="s">
        <v>711</v>
      </c>
      <c r="C5" s="626"/>
      <c r="D5" s="626"/>
      <c r="E5" s="626"/>
      <c r="F5" s="626"/>
    </row>
    <row r="6" spans="2:6" ht="15" customHeight="1" x14ac:dyDescent="0.25">
      <c r="B6" s="626" t="s">
        <v>371</v>
      </c>
      <c r="C6" s="626"/>
      <c r="D6" s="626"/>
      <c r="E6" s="626"/>
      <c r="F6" s="626"/>
    </row>
    <row r="7" spans="2:6" ht="15" customHeight="1" x14ac:dyDescent="0.25">
      <c r="B7" s="626" t="s">
        <v>370</v>
      </c>
      <c r="C7" s="626"/>
      <c r="D7" s="626"/>
      <c r="E7" s="626"/>
      <c r="F7" s="626"/>
    </row>
    <row r="8" spans="2:6" ht="15" customHeight="1" x14ac:dyDescent="0.25">
      <c r="B8" s="626" t="s">
        <v>369</v>
      </c>
      <c r="C8" s="626"/>
      <c r="D8" s="626"/>
      <c r="E8" s="626"/>
      <c r="F8" s="626"/>
    </row>
    <row r="9" spans="2:6" ht="15" customHeight="1" x14ac:dyDescent="0.25">
      <c r="B9" s="627" t="s">
        <v>368</v>
      </c>
      <c r="C9" s="626"/>
      <c r="D9" s="626"/>
      <c r="E9" s="626"/>
      <c r="F9" s="626"/>
    </row>
    <row r="10" spans="2:6" ht="15" customHeight="1" x14ac:dyDescent="0.25">
      <c r="B10" s="593"/>
      <c r="C10" s="593"/>
      <c r="D10" s="593"/>
      <c r="E10" s="593"/>
      <c r="F10" s="593"/>
    </row>
    <row r="11" spans="2:6" ht="15" customHeight="1" x14ac:dyDescent="0.25">
      <c r="B11" s="621" t="s">
        <v>724</v>
      </c>
      <c r="C11" s="621"/>
      <c r="D11" s="182"/>
      <c r="E11" s="182"/>
      <c r="F11" s="182"/>
    </row>
    <row r="12" spans="2:6" ht="15" customHeight="1" x14ac:dyDescent="0.25">
      <c r="B12" s="183"/>
      <c r="C12" s="182"/>
      <c r="D12" s="182"/>
      <c r="E12" s="182"/>
      <c r="F12" s="182"/>
    </row>
    <row r="13" spans="2:6" ht="15" customHeight="1" x14ac:dyDescent="0.25">
      <c r="B13" s="623" t="s">
        <v>725</v>
      </c>
      <c r="C13" s="623"/>
      <c r="D13" s="623"/>
      <c r="E13" s="623"/>
      <c r="F13" s="623"/>
    </row>
    <row r="14" spans="2:6" ht="12" customHeight="1" x14ac:dyDescent="0.25">
      <c r="B14" s="182"/>
      <c r="C14" s="182"/>
      <c r="D14" s="182"/>
      <c r="E14" s="182"/>
      <c r="F14" s="182"/>
    </row>
    <row r="15" spans="2:6" ht="15" customHeight="1" x14ac:dyDescent="0.25">
      <c r="B15" s="623" t="s">
        <v>726</v>
      </c>
      <c r="C15" s="623"/>
      <c r="D15" s="623"/>
      <c r="E15" s="623"/>
      <c r="F15" s="623"/>
    </row>
    <row r="16" spans="2:6" ht="15" customHeight="1" x14ac:dyDescent="0.25">
      <c r="B16" s="623"/>
      <c r="C16" s="623"/>
      <c r="D16" s="623"/>
      <c r="E16" s="623"/>
      <c r="F16" s="623"/>
    </row>
    <row r="17" spans="2:6" ht="15" customHeight="1" x14ac:dyDescent="0.25">
      <c r="B17" s="623" t="s">
        <v>728</v>
      </c>
      <c r="C17" s="623"/>
      <c r="D17" s="623"/>
      <c r="E17" s="623"/>
      <c r="F17" s="623"/>
    </row>
    <row r="18" spans="2:6" ht="12" customHeight="1" x14ac:dyDescent="0.25">
      <c r="B18" s="182"/>
      <c r="C18" s="182"/>
      <c r="D18" s="182"/>
      <c r="E18" s="182"/>
      <c r="F18" s="182"/>
    </row>
    <row r="19" spans="2:6" ht="15" customHeight="1" x14ac:dyDescent="0.25">
      <c r="B19" s="623" t="s">
        <v>727</v>
      </c>
      <c r="C19" s="623"/>
      <c r="D19" s="623"/>
      <c r="E19" s="623"/>
      <c r="F19" s="623"/>
    </row>
    <row r="20" spans="2:6" ht="15" customHeight="1" x14ac:dyDescent="0.25">
      <c r="B20" s="623" t="s">
        <v>729</v>
      </c>
      <c r="C20" s="623"/>
      <c r="D20" s="623"/>
      <c r="E20" s="623"/>
      <c r="F20" s="623"/>
    </row>
    <row r="21" spans="2:6" ht="12" customHeight="1" x14ac:dyDescent="0.25">
      <c r="B21" s="182"/>
      <c r="C21" s="182"/>
      <c r="D21" s="182"/>
      <c r="E21" s="182"/>
      <c r="F21" s="182"/>
    </row>
    <row r="22" spans="2:6" ht="15" customHeight="1" x14ac:dyDescent="0.25">
      <c r="B22" s="623" t="s">
        <v>730</v>
      </c>
      <c r="C22" s="623"/>
      <c r="D22" s="623"/>
      <c r="E22" s="623"/>
      <c r="F22" s="623"/>
    </row>
    <row r="23" spans="2:6" ht="15" customHeight="1" x14ac:dyDescent="0.25">
      <c r="B23" s="623" t="s">
        <v>731</v>
      </c>
      <c r="C23" s="623"/>
      <c r="D23" s="623"/>
      <c r="E23" s="623"/>
      <c r="F23" s="623"/>
    </row>
    <row r="24" spans="2:6" ht="12" customHeight="1" x14ac:dyDescent="0.25">
      <c r="B24" s="182"/>
      <c r="C24" s="182"/>
      <c r="D24" s="182"/>
      <c r="E24" s="182"/>
      <c r="F24" s="182"/>
    </row>
    <row r="25" spans="2:6" ht="15" customHeight="1" x14ac:dyDescent="0.25">
      <c r="B25" s="623" t="s">
        <v>732</v>
      </c>
      <c r="C25" s="623"/>
      <c r="D25" s="623"/>
      <c r="E25" s="623"/>
      <c r="F25" s="623"/>
    </row>
    <row r="26" spans="2:6" ht="15" customHeight="1" x14ac:dyDescent="0.25">
      <c r="B26" s="623" t="s">
        <v>733</v>
      </c>
      <c r="C26" s="623"/>
      <c r="D26" s="623"/>
      <c r="E26" s="623"/>
      <c r="F26" s="623"/>
    </row>
    <row r="27" spans="2:6" ht="12" customHeight="1" x14ac:dyDescent="0.25">
      <c r="B27" s="182"/>
      <c r="C27" s="182"/>
      <c r="D27" s="182"/>
      <c r="E27" s="182"/>
      <c r="F27" s="182"/>
    </row>
    <row r="28" spans="2:6" ht="15" customHeight="1" x14ac:dyDescent="0.25">
      <c r="B28" s="623" t="s">
        <v>734</v>
      </c>
      <c r="C28" s="623"/>
      <c r="D28" s="623"/>
      <c r="E28" s="623"/>
      <c r="F28" s="623"/>
    </row>
    <row r="29" spans="2:6" ht="15" customHeight="1" x14ac:dyDescent="0.25">
      <c r="B29" s="623" t="s">
        <v>735</v>
      </c>
      <c r="C29" s="623"/>
      <c r="D29" s="623"/>
      <c r="E29" s="623"/>
      <c r="F29" s="623"/>
    </row>
    <row r="30" spans="2:6" ht="12" customHeight="1" x14ac:dyDescent="0.25">
      <c r="B30" s="184"/>
      <c r="C30" s="184"/>
      <c r="D30" s="184"/>
      <c r="E30" s="184"/>
      <c r="F30" s="184"/>
    </row>
    <row r="31" spans="2:6" ht="15" customHeight="1" x14ac:dyDescent="0.25">
      <c r="B31" s="624" t="s">
        <v>736</v>
      </c>
      <c r="C31" s="624"/>
      <c r="D31" s="624"/>
      <c r="E31" s="624"/>
      <c r="F31" s="624"/>
    </row>
    <row r="32" spans="2:6" ht="15" customHeight="1" x14ac:dyDescent="0.25">
      <c r="B32" s="624" t="s">
        <v>737</v>
      </c>
      <c r="C32" s="624"/>
      <c r="D32" s="624"/>
      <c r="E32" s="624"/>
      <c r="F32" s="624"/>
    </row>
    <row r="33" spans="2:6" ht="15" customHeight="1" x14ac:dyDescent="0.25">
      <c r="B33" s="624" t="s">
        <v>738</v>
      </c>
      <c r="C33" s="624"/>
      <c r="D33" s="624"/>
      <c r="E33" s="624"/>
      <c r="F33" s="624"/>
    </row>
    <row r="34" spans="2:6" ht="15" customHeight="1" x14ac:dyDescent="0.25">
      <c r="B34" s="624" t="s">
        <v>739</v>
      </c>
      <c r="C34" s="624"/>
      <c r="D34" s="624"/>
      <c r="E34" s="624"/>
      <c r="F34" s="624"/>
    </row>
    <row r="35" spans="2:6" ht="15" customHeight="1" x14ac:dyDescent="0.25">
      <c r="B35" s="185"/>
    </row>
    <row r="36" spans="2:6" ht="15" customHeight="1" x14ac:dyDescent="0.25">
      <c r="B36" s="626" t="s">
        <v>712</v>
      </c>
      <c r="C36" s="626"/>
      <c r="D36" s="626"/>
      <c r="E36" s="626"/>
      <c r="F36" s="626"/>
    </row>
    <row r="37" spans="2:6" ht="15" customHeight="1" x14ac:dyDescent="0.25">
      <c r="B37" s="625" t="s">
        <v>367</v>
      </c>
      <c r="C37" s="625"/>
      <c r="D37" s="625"/>
      <c r="E37" s="625"/>
      <c r="F37" s="625"/>
    </row>
    <row r="38" spans="2:6" ht="15" customHeight="1" x14ac:dyDescent="0.25">
      <c r="B38" s="625" t="s">
        <v>366</v>
      </c>
      <c r="C38" s="625"/>
      <c r="D38" s="625"/>
      <c r="E38" s="625"/>
      <c r="F38" s="625"/>
    </row>
    <row r="40" spans="2:6" ht="15" customHeight="1" x14ac:dyDescent="0.2">
      <c r="B40" s="186" t="s">
        <v>365</v>
      </c>
      <c r="C40" s="187" t="str">
        <f>'KEY INPUTS'!B26</f>
        <v>Donnel Ruga</v>
      </c>
    </row>
    <row r="41" spans="2:6" ht="15" x14ac:dyDescent="0.2">
      <c r="B41" s="188" t="s">
        <v>364</v>
      </c>
      <c r="C41" s="189" t="str">
        <f>'KEY INPUTS'!B27</f>
        <v>Secretary</v>
      </c>
    </row>
    <row r="42" spans="2:6" ht="15" customHeight="1" x14ac:dyDescent="0.25">
      <c r="B42" s="186" t="s">
        <v>363</v>
      </c>
      <c r="C42" s="448" t="s">
        <v>1029</v>
      </c>
    </row>
    <row r="44" spans="2:6" ht="14.1" customHeight="1" x14ac:dyDescent="0.25">
      <c r="B44" s="622" t="s">
        <v>791</v>
      </c>
      <c r="C44" s="622"/>
      <c r="D44" s="622"/>
      <c r="E44" s="622"/>
      <c r="F44" s="622"/>
    </row>
  </sheetData>
  <sheetProtection algorithmName="SHA-512" hashValue="02nNMd+kRyl3MZ6CatPkzdUyl3aD2DyNGXU3kQF7viSr6KoqVC3SWmZcbSgSKzhP2bWpNY1PSsoigfKpXSuyCQ==" saltValue="RWxYrPO1EnYOmKEQAQY6/Q==" spinCount="100000" sheet="1" objects="1" scenarios="1"/>
  <mergeCells count="28">
    <mergeCell ref="B1:F1"/>
    <mergeCell ref="B7:F7"/>
    <mergeCell ref="B6:F6"/>
    <mergeCell ref="B5:F5"/>
    <mergeCell ref="B10:F10"/>
    <mergeCell ref="B9:F9"/>
    <mergeCell ref="B8:F8"/>
    <mergeCell ref="B25:F25"/>
    <mergeCell ref="B22:F22"/>
    <mergeCell ref="B23:F23"/>
    <mergeCell ref="B16:F16"/>
    <mergeCell ref="B20:F20"/>
    <mergeCell ref="B11:C11"/>
    <mergeCell ref="B44:F44"/>
    <mergeCell ref="B29:F29"/>
    <mergeCell ref="B34:F34"/>
    <mergeCell ref="B33:F33"/>
    <mergeCell ref="B32:F32"/>
    <mergeCell ref="B31:F31"/>
    <mergeCell ref="B38:F38"/>
    <mergeCell ref="B37:F37"/>
    <mergeCell ref="B36:F36"/>
    <mergeCell ref="B13:F13"/>
    <mergeCell ref="B15:F15"/>
    <mergeCell ref="B17:F17"/>
    <mergeCell ref="B19:F19"/>
    <mergeCell ref="B28:F28"/>
    <mergeCell ref="B26:F26"/>
  </mergeCells>
  <printOptions horizontalCentered="1"/>
  <pageMargins left="0.25" right="0.25" top="0.75" bottom="0.7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92" r:id="rId4" name="Check Box 24">
              <controlPr defaultSize="0" autoFill="0" autoLine="0" autoPict="0">
                <anchor moveWithCells="1">
                  <from>
                    <xdr:col>0</xdr:col>
                    <xdr:colOff>19050</xdr:colOff>
                    <xdr:row>9</xdr:row>
                    <xdr:rowOff>180975</xdr:rowOff>
                  </from>
                  <to>
                    <xdr:col>1</xdr:col>
                    <xdr:colOff>647700</xdr:colOff>
                    <xdr:row>11</xdr:row>
                    <xdr:rowOff>9525</xdr:rowOff>
                  </to>
                </anchor>
              </controlPr>
            </control>
          </mc:Choice>
        </mc:AlternateContent>
        <mc:AlternateContent xmlns:mc="http://schemas.openxmlformats.org/markup-compatibility/2006">
          <mc:Choice Requires="x14">
            <control shapeId="7197" r:id="rId5" name="Check Box 29">
              <controlPr defaultSize="0" autoFill="0" autoLine="0" autoPict="0">
                <anchor moveWithCells="1">
                  <from>
                    <xdr:col>0</xdr:col>
                    <xdr:colOff>19050</xdr:colOff>
                    <xdr:row>11</xdr:row>
                    <xdr:rowOff>180975</xdr:rowOff>
                  </from>
                  <to>
                    <xdr:col>1</xdr:col>
                    <xdr:colOff>647700</xdr:colOff>
                    <xdr:row>13</xdr:row>
                    <xdr:rowOff>9525</xdr:rowOff>
                  </to>
                </anchor>
              </controlPr>
            </control>
          </mc:Choice>
        </mc:AlternateContent>
        <mc:AlternateContent xmlns:mc="http://schemas.openxmlformats.org/markup-compatibility/2006">
          <mc:Choice Requires="x14">
            <control shapeId="7198" r:id="rId6" name="Check Box 30">
              <controlPr defaultSize="0" autoFill="0" autoLine="0" autoPict="0">
                <anchor moveWithCells="1">
                  <from>
                    <xdr:col>0</xdr:col>
                    <xdr:colOff>19050</xdr:colOff>
                    <xdr:row>13</xdr:row>
                    <xdr:rowOff>142875</xdr:rowOff>
                  </from>
                  <to>
                    <xdr:col>1</xdr:col>
                    <xdr:colOff>647700</xdr:colOff>
                    <xdr:row>15</xdr:row>
                    <xdr:rowOff>9525</xdr:rowOff>
                  </to>
                </anchor>
              </controlPr>
            </control>
          </mc:Choice>
        </mc:AlternateContent>
        <mc:AlternateContent xmlns:mc="http://schemas.openxmlformats.org/markup-compatibility/2006">
          <mc:Choice Requires="x14">
            <control shapeId="7199" r:id="rId7" name="Check Box 31">
              <controlPr defaultSize="0" autoFill="0" autoLine="0" autoPict="0">
                <anchor moveWithCells="1">
                  <from>
                    <xdr:col>0</xdr:col>
                    <xdr:colOff>19050</xdr:colOff>
                    <xdr:row>15</xdr:row>
                    <xdr:rowOff>180975</xdr:rowOff>
                  </from>
                  <to>
                    <xdr:col>1</xdr:col>
                    <xdr:colOff>647700</xdr:colOff>
                    <xdr:row>17</xdr:row>
                    <xdr:rowOff>9525</xdr:rowOff>
                  </to>
                </anchor>
              </controlPr>
            </control>
          </mc:Choice>
        </mc:AlternateContent>
        <mc:AlternateContent xmlns:mc="http://schemas.openxmlformats.org/markup-compatibility/2006">
          <mc:Choice Requires="x14">
            <control shapeId="7200" r:id="rId8" name="Check Box 32">
              <controlPr defaultSize="0" autoFill="0" autoLine="0" autoPict="0">
                <anchor moveWithCells="1">
                  <from>
                    <xdr:col>0</xdr:col>
                    <xdr:colOff>19050</xdr:colOff>
                    <xdr:row>17</xdr:row>
                    <xdr:rowOff>142875</xdr:rowOff>
                  </from>
                  <to>
                    <xdr:col>1</xdr:col>
                    <xdr:colOff>647700</xdr:colOff>
                    <xdr:row>19</xdr:row>
                    <xdr:rowOff>9525</xdr:rowOff>
                  </to>
                </anchor>
              </controlPr>
            </control>
          </mc:Choice>
        </mc:AlternateContent>
        <mc:AlternateContent xmlns:mc="http://schemas.openxmlformats.org/markup-compatibility/2006">
          <mc:Choice Requires="x14">
            <control shapeId="7201" r:id="rId9" name="Check Box 33">
              <controlPr defaultSize="0" autoFill="0" autoLine="0" autoPict="0">
                <anchor moveWithCells="1">
                  <from>
                    <xdr:col>0</xdr:col>
                    <xdr:colOff>19050</xdr:colOff>
                    <xdr:row>20</xdr:row>
                    <xdr:rowOff>142875</xdr:rowOff>
                  </from>
                  <to>
                    <xdr:col>1</xdr:col>
                    <xdr:colOff>647700</xdr:colOff>
                    <xdr:row>22</xdr:row>
                    <xdr:rowOff>9525</xdr:rowOff>
                  </to>
                </anchor>
              </controlPr>
            </control>
          </mc:Choice>
        </mc:AlternateContent>
        <mc:AlternateContent xmlns:mc="http://schemas.openxmlformats.org/markup-compatibility/2006">
          <mc:Choice Requires="x14">
            <control shapeId="7202" r:id="rId10" name="Check Box 34">
              <controlPr defaultSize="0" autoFill="0" autoLine="0" autoPict="0">
                <anchor moveWithCells="1">
                  <from>
                    <xdr:col>0</xdr:col>
                    <xdr:colOff>19050</xdr:colOff>
                    <xdr:row>23</xdr:row>
                    <xdr:rowOff>142875</xdr:rowOff>
                  </from>
                  <to>
                    <xdr:col>1</xdr:col>
                    <xdr:colOff>647700</xdr:colOff>
                    <xdr:row>25</xdr:row>
                    <xdr:rowOff>9525</xdr:rowOff>
                  </to>
                </anchor>
              </controlPr>
            </control>
          </mc:Choice>
        </mc:AlternateContent>
        <mc:AlternateContent xmlns:mc="http://schemas.openxmlformats.org/markup-compatibility/2006">
          <mc:Choice Requires="x14">
            <control shapeId="7203" r:id="rId11" name="Check Box 35">
              <controlPr defaultSize="0" autoFill="0" autoLine="0" autoPict="0">
                <anchor moveWithCells="1">
                  <from>
                    <xdr:col>0</xdr:col>
                    <xdr:colOff>19050</xdr:colOff>
                    <xdr:row>26</xdr:row>
                    <xdr:rowOff>142875</xdr:rowOff>
                  </from>
                  <to>
                    <xdr:col>1</xdr:col>
                    <xdr:colOff>647700</xdr:colOff>
                    <xdr:row>28</xdr:row>
                    <xdr:rowOff>9525</xdr:rowOff>
                  </to>
                </anchor>
              </controlPr>
            </control>
          </mc:Choice>
        </mc:AlternateContent>
        <mc:AlternateContent xmlns:mc="http://schemas.openxmlformats.org/markup-compatibility/2006">
          <mc:Choice Requires="x14">
            <control shapeId="7204" r:id="rId12" name="Check Box 36">
              <controlPr defaultSize="0" autoFill="0" autoLine="0" autoPict="0">
                <anchor moveWithCells="1">
                  <from>
                    <xdr:col>0</xdr:col>
                    <xdr:colOff>19050</xdr:colOff>
                    <xdr:row>29</xdr:row>
                    <xdr:rowOff>142875</xdr:rowOff>
                  </from>
                  <to>
                    <xdr:col>1</xdr:col>
                    <xdr:colOff>647700</xdr:colOff>
                    <xdr:row>31</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3C39-315C-4610-B2C2-48BBA9BB1D0E}">
  <sheetPr codeName="Sheet9">
    <tabColor rgb="FF00B0F0"/>
  </sheetPr>
  <dimension ref="A1:I38"/>
  <sheetViews>
    <sheetView showZeros="0" view="pageLayout" zoomScaleNormal="100" workbookViewId="0">
      <selection activeCell="D16" sqref="D16:F16"/>
    </sheetView>
  </sheetViews>
  <sheetFormatPr defaultColWidth="9.140625" defaultRowHeight="12.75" x14ac:dyDescent="0.25"/>
  <cols>
    <col min="1" max="1" width="16.85546875" style="71" customWidth="1"/>
    <col min="2" max="2" width="2.85546875" style="71" customWidth="1"/>
    <col min="3" max="3" width="24.140625" style="71" customWidth="1"/>
    <col min="4" max="4" width="15.42578125" style="71" customWidth="1"/>
    <col min="5" max="5" width="1.5703125" style="71" customWidth="1"/>
    <col min="6" max="6" width="15" style="71" customWidth="1"/>
    <col min="7" max="7" width="3" style="71" hidden="1" customWidth="1"/>
    <col min="8" max="8" width="8" style="71" hidden="1" customWidth="1"/>
    <col min="9" max="9" width="24.28515625" style="71" customWidth="1"/>
    <col min="10" max="10" width="1.85546875" style="71" customWidth="1"/>
    <col min="11" max="16384" width="9.140625" style="71"/>
  </cols>
  <sheetData>
    <row r="1" spans="1:9" ht="24.95" customHeight="1" x14ac:dyDescent="0.25">
      <c r="A1" s="591" t="str">
        <f>""&amp;'KEY INPUTS'!B1&amp;" APPROVAL CERTIFICATION"</f>
        <v>2025 APPROVAL CERTIFICATION</v>
      </c>
      <c r="B1" s="591"/>
      <c r="C1" s="591"/>
      <c r="D1" s="591"/>
      <c r="E1" s="591"/>
      <c r="F1" s="591"/>
      <c r="G1" s="591"/>
      <c r="H1" s="591"/>
      <c r="I1" s="591"/>
    </row>
    <row r="2" spans="1:9" ht="16.5" customHeight="1" x14ac:dyDescent="0.25"/>
    <row r="3" spans="1:9" ht="20.100000000000001" customHeight="1" x14ac:dyDescent="0.25">
      <c r="A3" s="601" t="str">
        <f>'KEY INPUTS'!B2</f>
        <v>Weymouth Township FD No. 1</v>
      </c>
      <c r="B3" s="601"/>
      <c r="C3" s="601"/>
      <c r="D3" s="601"/>
      <c r="E3" s="601"/>
      <c r="F3" s="601"/>
      <c r="G3" s="601"/>
      <c r="H3" s="601"/>
      <c r="I3" s="601"/>
    </row>
    <row r="4" spans="1:9" ht="10.7" customHeight="1" x14ac:dyDescent="0.25">
      <c r="A4" s="83"/>
      <c r="B4" s="83"/>
      <c r="C4" s="83"/>
      <c r="D4" s="83"/>
      <c r="E4" s="83"/>
      <c r="F4" s="83"/>
      <c r="G4" s="83"/>
      <c r="H4" s="83"/>
      <c r="I4" s="83"/>
    </row>
    <row r="5" spans="1:9" ht="24.95" customHeight="1" x14ac:dyDescent="0.25">
      <c r="A5" s="591" t="s">
        <v>338</v>
      </c>
      <c r="B5" s="591"/>
      <c r="C5" s="591"/>
      <c r="D5" s="591"/>
      <c r="E5" s="591"/>
      <c r="F5" s="591"/>
      <c r="G5" s="591"/>
      <c r="H5" s="591"/>
      <c r="I5" s="591"/>
    </row>
    <row r="6" spans="1:9" ht="10.7" customHeight="1" x14ac:dyDescent="0.25">
      <c r="A6" s="84"/>
      <c r="B6" s="84"/>
      <c r="C6" s="84"/>
      <c r="D6" s="84"/>
      <c r="E6" s="84"/>
      <c r="F6" s="84"/>
      <c r="G6" s="84"/>
      <c r="H6" s="84"/>
      <c r="I6" s="84"/>
    </row>
    <row r="7" spans="1:9" ht="15.75" x14ac:dyDescent="0.25">
      <c r="A7" s="616" t="str">
        <f>'Preparer Other Assets Cert.'!A8:I8</f>
        <v>FISCAL YEAR: January 1, 2025 to December 31, 2025</v>
      </c>
      <c r="B7" s="616"/>
      <c r="C7" s="616"/>
      <c r="D7" s="616"/>
      <c r="E7" s="616"/>
      <c r="F7" s="616"/>
      <c r="G7" s="616"/>
      <c r="H7" s="616"/>
      <c r="I7" s="616"/>
    </row>
    <row r="8" spans="1:9" ht="15.75" x14ac:dyDescent="0.25">
      <c r="A8" s="89"/>
      <c r="B8" s="89"/>
      <c r="C8" s="89"/>
      <c r="D8" s="89"/>
      <c r="E8" s="89"/>
      <c r="F8" s="89"/>
      <c r="G8" s="89"/>
      <c r="H8" s="89"/>
      <c r="I8" s="89"/>
    </row>
    <row r="9" spans="1:9" ht="15.75" x14ac:dyDescent="0.25">
      <c r="A9" s="615" t="s">
        <v>709</v>
      </c>
      <c r="B9" s="615"/>
      <c r="C9" s="615"/>
      <c r="D9" s="615"/>
      <c r="E9" s="615"/>
      <c r="F9" s="615"/>
      <c r="G9" s="615"/>
      <c r="H9" s="615"/>
      <c r="I9" s="615"/>
    </row>
    <row r="10" spans="1:9" ht="15.75" x14ac:dyDescent="0.25">
      <c r="A10" s="615" t="s">
        <v>361</v>
      </c>
      <c r="B10" s="615"/>
      <c r="C10" s="615"/>
      <c r="D10" s="615"/>
      <c r="E10" s="615"/>
      <c r="F10" s="615"/>
      <c r="G10" s="615"/>
      <c r="H10" s="615"/>
      <c r="I10" s="615"/>
    </row>
    <row r="11" spans="1:9" ht="15.75" x14ac:dyDescent="0.25">
      <c r="A11" s="615" t="str">
        <f>"open public meeting held pursuant to N.J.A.C. 5:31-2.4, on "&amp;IF('Approval Resolution'!I9="","",TEXT('Approval Resolution'!I9,"mmmm d, yyyy"))&amp;"."</f>
        <v>open public meeting held pursuant to N.J.A.C. 5:31-2.4, on November 19, 2024.</v>
      </c>
      <c r="B11" s="615"/>
      <c r="C11" s="615"/>
      <c r="D11" s="615"/>
      <c r="E11" s="615"/>
      <c r="F11" s="615"/>
      <c r="G11" s="615"/>
      <c r="H11" s="615"/>
      <c r="I11" s="615"/>
    </row>
    <row r="12" spans="1:9" ht="15.75" x14ac:dyDescent="0.25">
      <c r="A12" s="615"/>
      <c r="B12" s="615"/>
      <c r="C12" s="615"/>
      <c r="D12" s="615"/>
      <c r="E12" s="615"/>
      <c r="F12" s="615"/>
      <c r="G12" s="615"/>
      <c r="H12" s="615"/>
      <c r="I12" s="615"/>
    </row>
    <row r="13" spans="1:9" ht="15.75" x14ac:dyDescent="0.25">
      <c r="A13" s="615" t="s">
        <v>710</v>
      </c>
      <c r="B13" s="615"/>
      <c r="C13" s="615"/>
      <c r="D13" s="615"/>
      <c r="E13" s="615"/>
      <c r="F13" s="615"/>
      <c r="G13" s="615"/>
      <c r="H13" s="615"/>
      <c r="I13" s="615"/>
    </row>
    <row r="14" spans="1:9" ht="15.75" x14ac:dyDescent="0.25">
      <c r="A14" s="615" t="s">
        <v>360</v>
      </c>
      <c r="B14" s="615"/>
      <c r="C14" s="615"/>
      <c r="D14" s="615"/>
      <c r="E14" s="615"/>
      <c r="F14" s="615"/>
      <c r="G14" s="615"/>
      <c r="H14" s="615"/>
      <c r="I14" s="615"/>
    </row>
    <row r="15" spans="1:9" ht="15.75" x14ac:dyDescent="0.25">
      <c r="A15" s="615"/>
      <c r="B15" s="615"/>
      <c r="C15" s="615"/>
      <c r="D15" s="615"/>
      <c r="E15" s="615"/>
      <c r="F15" s="615"/>
      <c r="G15" s="615"/>
      <c r="H15" s="615"/>
      <c r="I15" s="615"/>
    </row>
    <row r="16" spans="1:9" ht="15.75" customHeight="1" x14ac:dyDescent="0.25">
      <c r="A16" s="90"/>
      <c r="B16" s="632" t="s">
        <v>359</v>
      </c>
      <c r="C16" s="633"/>
      <c r="D16" s="634" t="s">
        <v>1021</v>
      </c>
      <c r="E16" s="612"/>
      <c r="F16" s="613"/>
    </row>
    <row r="17" spans="1:6" ht="15.75" customHeight="1" x14ac:dyDescent="0.25">
      <c r="A17" s="90"/>
      <c r="B17" s="628" t="s">
        <v>345</v>
      </c>
      <c r="C17" s="628"/>
      <c r="D17" s="617" t="str">
        <f>'KEY INPUTS'!B18</f>
        <v>Elizabeth Hand</v>
      </c>
      <c r="E17" s="617"/>
      <c r="F17" s="617"/>
    </row>
    <row r="18" spans="1:6" ht="15.75" customHeight="1" x14ac:dyDescent="0.25">
      <c r="A18" s="90"/>
      <c r="B18" s="628" t="s">
        <v>344</v>
      </c>
      <c r="C18" s="628"/>
      <c r="D18" s="617" t="str">
        <f>'KEY INPUTS'!B19</f>
        <v>Treasurer</v>
      </c>
      <c r="E18" s="617"/>
      <c r="F18" s="617"/>
    </row>
    <row r="19" spans="1:6" ht="15.75" customHeight="1" x14ac:dyDescent="0.25">
      <c r="A19" s="90"/>
      <c r="B19" s="628" t="s">
        <v>343</v>
      </c>
      <c r="C19" s="628"/>
      <c r="D19" s="617" t="str">
        <f>'KEY INPUTS'!B20</f>
        <v>PO Box 175, Dorothy, NJ 08317</v>
      </c>
      <c r="E19" s="617"/>
      <c r="F19" s="617"/>
    </row>
    <row r="20" spans="1:6" ht="15.75" customHeight="1" x14ac:dyDescent="0.25">
      <c r="A20" s="90"/>
      <c r="B20" s="628" t="s">
        <v>342</v>
      </c>
      <c r="C20" s="628"/>
      <c r="D20" s="631" t="str">
        <f>'KEY INPUTS'!B21</f>
        <v>609-662-7878</v>
      </c>
      <c r="E20" s="631"/>
      <c r="F20" s="631"/>
    </row>
    <row r="21" spans="1:6" ht="15.75" customHeight="1" x14ac:dyDescent="0.25">
      <c r="A21" s="90"/>
      <c r="B21" s="628" t="s">
        <v>341</v>
      </c>
      <c r="C21" s="628"/>
      <c r="D21" s="617" t="str">
        <f>'KEY INPUTS'!B22</f>
        <v>n/a</v>
      </c>
      <c r="E21" s="617"/>
      <c r="F21" s="617"/>
    </row>
    <row r="22" spans="1:6" ht="15.75" customHeight="1" x14ac:dyDescent="0.25">
      <c r="A22" s="88"/>
      <c r="B22" s="629" t="s">
        <v>340</v>
      </c>
      <c r="C22" s="629"/>
      <c r="D22" s="630" t="str">
        <f>'KEY INPUTS'!B23</f>
        <v>elizabethann727@aol.com</v>
      </c>
      <c r="E22" s="617"/>
      <c r="F22" s="617"/>
    </row>
    <row r="38" spans="1:9" x14ac:dyDescent="0.25">
      <c r="A38" s="593" t="s">
        <v>362</v>
      </c>
      <c r="B38" s="593"/>
      <c r="C38" s="593"/>
      <c r="D38" s="593"/>
      <c r="E38" s="593"/>
      <c r="F38" s="593"/>
      <c r="G38" s="593"/>
      <c r="H38" s="593"/>
      <c r="I38" s="593"/>
    </row>
  </sheetData>
  <sheetProtection algorithmName="SHA-512" hashValue="dx+07GHuJYdCd4A3CZ2t2EAE0wCpkO2RB4uMO4jzmJxcEzUlDMq4XNF2QL7VHKzLFb6Qm0iG+mVUAsRqEirPrg==" saltValue="ThH2b1l85BDebeb2DdkBEw==" spinCount="100000" sheet="1" objects="1" scenarios="1"/>
  <mergeCells count="26">
    <mergeCell ref="A10:I10"/>
    <mergeCell ref="A1:I1"/>
    <mergeCell ref="A3:I3"/>
    <mergeCell ref="A5:I5"/>
    <mergeCell ref="A7:I7"/>
    <mergeCell ref="A9:I9"/>
    <mergeCell ref="B16:C16"/>
    <mergeCell ref="D16:F16"/>
    <mergeCell ref="B17:C17"/>
    <mergeCell ref="D17:F17"/>
    <mergeCell ref="A11:I11"/>
    <mergeCell ref="A12:I12"/>
    <mergeCell ref="A13:I13"/>
    <mergeCell ref="A14:I14"/>
    <mergeCell ref="A15:I15"/>
    <mergeCell ref="B18:C18"/>
    <mergeCell ref="D18:F18"/>
    <mergeCell ref="B19:C19"/>
    <mergeCell ref="D19:F19"/>
    <mergeCell ref="B20:C20"/>
    <mergeCell ref="D20:F20"/>
    <mergeCell ref="B21:C21"/>
    <mergeCell ref="D21:F21"/>
    <mergeCell ref="B22:C22"/>
    <mergeCell ref="D22:F22"/>
    <mergeCell ref="A38:I38"/>
  </mergeCells>
  <printOptions horizontalCentered="1"/>
  <pageMargins left="0.16666666666666666" right="0.2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21DE1-5385-421A-8A8E-3027E329CA87}">
  <sheetPr codeName="Sheet11">
    <tabColor rgb="FF00B0F0"/>
  </sheetPr>
  <dimension ref="A1:K47"/>
  <sheetViews>
    <sheetView showZeros="0" view="pageLayout" topLeftCell="A10" zoomScaleNormal="100" workbookViewId="0">
      <selection activeCell="A35" sqref="A35:C35"/>
    </sheetView>
  </sheetViews>
  <sheetFormatPr defaultColWidth="9.140625" defaultRowHeight="12.75" x14ac:dyDescent="0.25"/>
  <cols>
    <col min="1" max="1" width="20.5703125" style="71" customWidth="1"/>
    <col min="2" max="2" width="8.42578125" style="71" customWidth="1"/>
    <col min="3" max="3" width="14.140625" style="71" customWidth="1"/>
    <col min="4" max="4" width="15.28515625" style="71" customWidth="1"/>
    <col min="5" max="5" width="4.5703125" style="71" customWidth="1"/>
    <col min="6" max="6" width="11.42578125" style="71" customWidth="1"/>
    <col min="7" max="7" width="24.140625" style="71" customWidth="1"/>
    <col min="8" max="8" width="10" style="71" customWidth="1"/>
    <col min="9" max="9" width="15.42578125" style="71" bestFit="1" customWidth="1"/>
    <col min="10" max="10" width="9.140625" style="71"/>
    <col min="11" max="11" width="19.140625" style="71" customWidth="1"/>
    <col min="12" max="16384" width="9.140625" style="71"/>
  </cols>
  <sheetData>
    <row r="1" spans="1:11" ht="24.95" customHeight="1" x14ac:dyDescent="0.25">
      <c r="A1" s="591" t="str">
        <f>""&amp;'KEY INPUTS'!B1&amp;" FIRE DISTRICT BUDGET RESOLUTION"</f>
        <v>2025 FIRE DISTRICT BUDGET RESOLUTION</v>
      </c>
      <c r="B1" s="591"/>
      <c r="C1" s="591"/>
      <c r="D1" s="591"/>
      <c r="E1" s="591"/>
      <c r="F1" s="591"/>
      <c r="G1" s="591"/>
    </row>
    <row r="2" spans="1:11" ht="18.75" customHeight="1" x14ac:dyDescent="0.25">
      <c r="A2" s="593"/>
      <c r="B2" s="593"/>
      <c r="C2" s="593"/>
      <c r="D2" s="593"/>
      <c r="E2" s="593"/>
      <c r="F2" s="593"/>
      <c r="G2" s="593"/>
    </row>
    <row r="3" spans="1:11" ht="18.75" customHeight="1" x14ac:dyDescent="0.25">
      <c r="A3" s="651" t="str">
        <f>'Approval Cert.'!A3:I3</f>
        <v>Weymouth Township FD No. 1</v>
      </c>
      <c r="B3" s="651"/>
      <c r="C3" s="651"/>
      <c r="D3" s="651"/>
      <c r="E3" s="651"/>
      <c r="F3" s="651"/>
      <c r="G3" s="651"/>
    </row>
    <row r="4" spans="1:11" ht="20.100000000000001" customHeight="1" x14ac:dyDescent="0.25">
      <c r="A4" s="601"/>
      <c r="B4" s="601"/>
      <c r="C4" s="601"/>
      <c r="D4" s="601"/>
      <c r="E4" s="601"/>
      <c r="F4" s="601"/>
      <c r="G4" s="601"/>
    </row>
    <row r="5" spans="1:11" ht="15.75" x14ac:dyDescent="0.25">
      <c r="A5" s="602" t="str">
        <f>'Approval Cert.'!A7:I7</f>
        <v>FISCAL YEAR: January 1, 2025 to December 31, 2025</v>
      </c>
      <c r="B5" s="602"/>
      <c r="C5" s="602"/>
      <c r="D5" s="602"/>
      <c r="E5" s="602"/>
      <c r="F5" s="602"/>
      <c r="G5" s="602"/>
    </row>
    <row r="6" spans="1:11" ht="15" x14ac:dyDescent="0.25">
      <c r="A6" s="274"/>
      <c r="B6" s="274"/>
      <c r="C6" s="274"/>
      <c r="D6" s="274"/>
      <c r="E6" s="274"/>
      <c r="F6" s="274"/>
      <c r="G6" s="274"/>
    </row>
    <row r="7" spans="1:11" ht="13.5" thickBot="1" x14ac:dyDescent="0.3">
      <c r="A7" s="646" t="str">
        <f>"WHEREAS, the Annual Budget for "&amp;A3&amp;" (the 'Fire District') for the fiscal year beginning"</f>
        <v>WHEREAS, the Annual Budget for Weymouth Township FD No. 1 (the 'Fire District') for the fiscal year beginning</v>
      </c>
      <c r="B7" s="646"/>
      <c r="C7" s="646"/>
      <c r="D7" s="646"/>
      <c r="E7" s="646"/>
      <c r="F7" s="646"/>
      <c r="G7" s="646"/>
    </row>
    <row r="8" spans="1:11" ht="15" customHeight="1" thickBot="1" x14ac:dyDescent="0.3">
      <c r="A8" s="646" t="str">
        <f>"January 1, "&amp;'KEY INPUTS'!B1&amp;" and ending December 31, "&amp;'KEY INPUTS'!B1&amp;" has been presented before the Board of Commissioners of the Fire District"</f>
        <v>January 1, 2025 and ending December 31, 2025 has been presented before the Board of Commissioners of the Fire District</v>
      </c>
      <c r="B8" s="646"/>
      <c r="C8" s="646"/>
      <c r="D8" s="646"/>
      <c r="E8" s="646"/>
      <c r="F8" s="646"/>
      <c r="G8" s="646"/>
      <c r="I8" s="652" t="s">
        <v>750</v>
      </c>
      <c r="J8" s="653"/>
      <c r="K8" s="654"/>
    </row>
    <row r="9" spans="1:11" ht="13.5" thickBot="1" x14ac:dyDescent="0.3">
      <c r="A9" s="646" t="str">
        <f>"at its open public meeting of "&amp;IF(I9="","",(TEXT(I9,"mmmm d, yyyy")))&amp;"; and"</f>
        <v>at its open public meeting of November 19, 2024; and</v>
      </c>
      <c r="B9" s="646"/>
      <c r="C9" s="646"/>
      <c r="D9" s="646"/>
      <c r="E9" s="646"/>
      <c r="F9" s="646"/>
      <c r="G9" s="646"/>
      <c r="I9" s="369">
        <v>45615</v>
      </c>
      <c r="J9" s="367"/>
      <c r="K9" s="368"/>
    </row>
    <row r="10" spans="1:11" x14ac:dyDescent="0.25">
      <c r="A10" s="646"/>
      <c r="B10" s="646"/>
      <c r="C10" s="646"/>
      <c r="D10" s="646"/>
      <c r="E10" s="646"/>
      <c r="F10" s="646"/>
      <c r="G10" s="646"/>
    </row>
    <row r="11" spans="1:11" ht="13.5" thickBot="1" x14ac:dyDescent="0.3">
      <c r="A11" s="646" t="s">
        <v>387</v>
      </c>
      <c r="B11" s="646"/>
      <c r="C11" s="646"/>
      <c r="D11" s="646"/>
      <c r="E11" s="646"/>
      <c r="F11" s="646"/>
      <c r="G11" s="646"/>
      <c r="I11" s="439"/>
    </row>
    <row r="12" spans="1:11" x14ac:dyDescent="0.25">
      <c r="A12" s="646"/>
      <c r="B12" s="646"/>
      <c r="C12" s="646"/>
      <c r="D12" s="646"/>
      <c r="E12" s="646"/>
      <c r="F12" s="646"/>
      <c r="G12" s="646"/>
      <c r="I12" s="440" t="s">
        <v>917</v>
      </c>
      <c r="J12" s="443"/>
      <c r="K12" s="456">
        <v>186415.23</v>
      </c>
    </row>
    <row r="13" spans="1:11" x14ac:dyDescent="0.25">
      <c r="A13" s="646" t="str">
        <f>"WHEREAS, the Annual Budget as introduced reflects Total Revenues of "&amp;TEXT(K12, "$#,##0.00")&amp;" which includes an amount to be raised by"</f>
        <v>WHEREAS, the Annual Budget as introduced reflects Total Revenues of $186,415.23 which includes an amount to be raised by</v>
      </c>
      <c r="B13" s="646"/>
      <c r="C13" s="646"/>
      <c r="D13" s="646"/>
      <c r="E13" s="646"/>
      <c r="F13" s="646"/>
      <c r="G13" s="646"/>
      <c r="I13" s="441" t="s">
        <v>918</v>
      </c>
      <c r="J13" s="444"/>
      <c r="K13" s="457">
        <v>134640.23000000001</v>
      </c>
    </row>
    <row r="14" spans="1:11" ht="13.5" thickBot="1" x14ac:dyDescent="0.3">
      <c r="A14" s="646" t="str">
        <f>"taxation of "&amp;TEXT(K13, "$#,##0.00")&amp;" and Total Appropriations of "&amp;TEXT(K14, "$#,##0.00")&amp;"; and"</f>
        <v>taxation of $134,640.23 and Total Appropriations of $186,415.23; and</v>
      </c>
      <c r="B14" s="646"/>
      <c r="C14" s="646"/>
      <c r="D14" s="646"/>
      <c r="E14" s="646"/>
      <c r="F14" s="646"/>
      <c r="G14" s="646"/>
      <c r="I14" s="442" t="s">
        <v>919</v>
      </c>
      <c r="J14" s="445"/>
      <c r="K14" s="458">
        <v>186415.23</v>
      </c>
    </row>
    <row r="15" spans="1:11" x14ac:dyDescent="0.25">
      <c r="A15" s="646"/>
      <c r="B15" s="646"/>
      <c r="C15" s="646"/>
      <c r="D15" s="646"/>
      <c r="E15" s="646"/>
      <c r="F15" s="646"/>
      <c r="G15" s="646"/>
    </row>
    <row r="16" spans="1:11" x14ac:dyDescent="0.25">
      <c r="A16" s="646" t="s">
        <v>386</v>
      </c>
      <c r="B16" s="646"/>
      <c r="C16" s="646"/>
      <c r="D16" s="646"/>
      <c r="E16" s="646"/>
      <c r="F16" s="646"/>
      <c r="G16" s="646"/>
    </row>
    <row r="17" spans="1:11" x14ac:dyDescent="0.25">
      <c r="A17" s="646" t="s">
        <v>385</v>
      </c>
      <c r="B17" s="646"/>
      <c r="C17" s="646"/>
      <c r="D17" s="646"/>
      <c r="E17" s="646"/>
      <c r="F17" s="646"/>
      <c r="G17" s="646"/>
    </row>
    <row r="18" spans="1:11" x14ac:dyDescent="0.25">
      <c r="A18" s="646" t="s">
        <v>384</v>
      </c>
      <c r="B18" s="646"/>
      <c r="C18" s="646"/>
      <c r="D18" s="646"/>
      <c r="E18" s="646"/>
      <c r="F18" s="646"/>
      <c r="G18" s="646"/>
    </row>
    <row r="19" spans="1:11" x14ac:dyDescent="0.25">
      <c r="A19" s="646" t="s">
        <v>915</v>
      </c>
      <c r="B19" s="646"/>
      <c r="C19" s="646"/>
      <c r="D19" s="646"/>
      <c r="E19" s="646"/>
      <c r="F19" s="646"/>
      <c r="G19" s="646"/>
    </row>
    <row r="20" spans="1:11" x14ac:dyDescent="0.25">
      <c r="A20" s="646"/>
      <c r="B20" s="646"/>
      <c r="C20" s="646"/>
      <c r="D20" s="646"/>
      <c r="E20" s="646"/>
      <c r="F20" s="646"/>
      <c r="G20" s="646"/>
    </row>
    <row r="21" spans="1:11" x14ac:dyDescent="0.25">
      <c r="A21" s="646" t="s">
        <v>383</v>
      </c>
      <c r="B21" s="646"/>
      <c r="C21" s="646"/>
      <c r="D21" s="646"/>
      <c r="E21" s="646"/>
      <c r="F21" s="646"/>
      <c r="G21" s="646"/>
    </row>
    <row r="22" spans="1:11" x14ac:dyDescent="0.25">
      <c r="A22" s="646" t="s">
        <v>382</v>
      </c>
      <c r="B22" s="646"/>
      <c r="C22" s="646"/>
      <c r="D22" s="646"/>
      <c r="E22" s="646"/>
      <c r="F22" s="646"/>
      <c r="G22" s="646"/>
    </row>
    <row r="23" spans="1:11" x14ac:dyDescent="0.25">
      <c r="A23" s="646"/>
      <c r="B23" s="646"/>
      <c r="C23" s="646"/>
      <c r="D23" s="646"/>
      <c r="E23" s="646"/>
      <c r="F23" s="646"/>
      <c r="G23" s="646"/>
    </row>
    <row r="24" spans="1:11" x14ac:dyDescent="0.25">
      <c r="A24" s="646" t="s">
        <v>381</v>
      </c>
      <c r="B24" s="646"/>
      <c r="C24" s="646"/>
      <c r="D24" s="646"/>
      <c r="E24" s="646"/>
      <c r="F24" s="646"/>
      <c r="G24" s="646"/>
    </row>
    <row r="25" spans="1:11" x14ac:dyDescent="0.25">
      <c r="A25" s="650" t="str">
        <f>"on "&amp;IF(I9="","",(TEXT(I9,"mmmm d, yyyy"))&amp;" that the Annual Budget, including all related schedules, of the Fire District for the fiscal year beginning")</f>
        <v>on November 19, 2024 that the Annual Budget, including all related schedules, of the Fire District for the fiscal year beginning</v>
      </c>
      <c r="B25" s="650"/>
      <c r="C25" s="650"/>
      <c r="D25" s="650"/>
      <c r="E25" s="650"/>
      <c r="F25" s="650"/>
      <c r="G25" s="650"/>
    </row>
    <row r="26" spans="1:11" ht="14.1" customHeight="1" x14ac:dyDescent="0.25">
      <c r="A26" s="650" t="str">
        <f>"January 1, "&amp;'KEY INPUTS'!B1&amp;" and ending December 31, "&amp;'KEY INPUTS'!B1&amp;" is hereby approved; and"</f>
        <v>January 1, 2025 and ending December 31, 2025 is hereby approved; and</v>
      </c>
      <c r="B26" s="650"/>
      <c r="C26" s="650"/>
      <c r="D26" s="650"/>
      <c r="E26" s="650"/>
      <c r="F26" s="650"/>
      <c r="G26" s="650"/>
    </row>
    <row r="27" spans="1:11" ht="14.1" customHeight="1" x14ac:dyDescent="0.25">
      <c r="A27" s="650"/>
      <c r="B27" s="650"/>
      <c r="C27" s="650"/>
      <c r="D27" s="650"/>
      <c r="E27" s="650"/>
      <c r="F27" s="650"/>
      <c r="G27" s="650"/>
    </row>
    <row r="28" spans="1:11" ht="14.1" customHeight="1" x14ac:dyDescent="0.25">
      <c r="A28" s="650" t="s">
        <v>380</v>
      </c>
      <c r="B28" s="650"/>
      <c r="C28" s="650"/>
      <c r="D28" s="650"/>
      <c r="E28" s="650"/>
      <c r="F28" s="650"/>
      <c r="G28" s="650"/>
    </row>
    <row r="29" spans="1:11" ht="14.1" customHeight="1" x14ac:dyDescent="0.25">
      <c r="A29" s="646" t="s">
        <v>379</v>
      </c>
      <c r="B29" s="646"/>
      <c r="C29" s="646"/>
      <c r="D29" s="646"/>
      <c r="E29" s="646"/>
      <c r="F29" s="646"/>
      <c r="G29" s="646"/>
    </row>
    <row r="30" spans="1:11" ht="14.1" customHeight="1" x14ac:dyDescent="0.25">
      <c r="A30" s="650" t="s">
        <v>378</v>
      </c>
      <c r="B30" s="650"/>
      <c r="C30" s="650"/>
      <c r="D30" s="650"/>
      <c r="E30" s="650"/>
      <c r="F30" s="650"/>
      <c r="G30" s="650"/>
    </row>
    <row r="31" spans="1:11" ht="14.1" customHeight="1" thickBot="1" x14ac:dyDescent="0.3">
      <c r="A31" s="646"/>
      <c r="B31" s="646"/>
      <c r="C31" s="646"/>
      <c r="D31" s="646"/>
      <c r="E31" s="646"/>
      <c r="F31" s="646"/>
      <c r="G31" s="646"/>
    </row>
    <row r="32" spans="1:11" ht="13.5" thickBot="1" x14ac:dyDescent="0.3">
      <c r="A32" s="650" t="s">
        <v>377</v>
      </c>
      <c r="B32" s="650"/>
      <c r="C32" s="650"/>
      <c r="D32" s="650"/>
      <c r="E32" s="650"/>
      <c r="F32" s="650"/>
      <c r="G32" s="650"/>
      <c r="I32" s="652" t="s">
        <v>751</v>
      </c>
      <c r="J32" s="653"/>
      <c r="K32" s="654"/>
    </row>
    <row r="33" spans="1:11" ht="13.5" thickBot="1" x14ac:dyDescent="0.3">
      <c r="A33" s="650" t="str">
        <f>"adoption on "&amp;IF(I33="","",(TEXT(I33,"mmmm d, yyyy"&amp;"")))&amp;"."</f>
        <v>adoption on December 17, 2024.</v>
      </c>
      <c r="B33" s="650"/>
      <c r="C33" s="650"/>
      <c r="D33" s="650"/>
      <c r="E33" s="650"/>
      <c r="F33" s="650"/>
      <c r="G33" s="650"/>
      <c r="I33" s="647">
        <v>45643</v>
      </c>
      <c r="J33" s="648"/>
      <c r="K33" s="649"/>
    </row>
    <row r="34" spans="1:11" x14ac:dyDescent="0.25">
      <c r="A34" s="650"/>
      <c r="B34" s="650"/>
      <c r="C34" s="650"/>
      <c r="D34" s="650"/>
      <c r="E34" s="650"/>
      <c r="F34" s="650"/>
      <c r="G34" s="650"/>
    </row>
    <row r="35" spans="1:11" x14ac:dyDescent="0.25">
      <c r="A35" s="643" t="s">
        <v>1029</v>
      </c>
      <c r="B35" s="644"/>
      <c r="C35" s="644"/>
      <c r="D35" s="127"/>
      <c r="E35" s="645">
        <v>45615</v>
      </c>
      <c r="F35" s="644"/>
      <c r="G35" s="127"/>
    </row>
    <row r="36" spans="1:11" ht="14.1" customHeight="1" x14ac:dyDescent="0.25">
      <c r="A36" s="88" t="s">
        <v>376</v>
      </c>
      <c r="E36" s="127" t="s">
        <v>375</v>
      </c>
    </row>
    <row r="37" spans="1:11" ht="14.1" customHeight="1" x14ac:dyDescent="0.25">
      <c r="A37" s="88"/>
      <c r="E37" s="127"/>
    </row>
    <row r="38" spans="1:11" ht="14.1" customHeight="1" x14ac:dyDescent="0.25">
      <c r="A38" s="269" t="s">
        <v>744</v>
      </c>
    </row>
    <row r="39" spans="1:11" ht="12" customHeight="1" x14ac:dyDescent="0.25">
      <c r="A39" s="635" t="s">
        <v>745</v>
      </c>
      <c r="B39" s="636"/>
      <c r="C39" s="270" t="s">
        <v>746</v>
      </c>
      <c r="D39" s="270" t="s">
        <v>747</v>
      </c>
      <c r="E39" s="637" t="s">
        <v>748</v>
      </c>
      <c r="F39" s="638"/>
      <c r="G39" s="270" t="s">
        <v>749</v>
      </c>
    </row>
    <row r="40" spans="1:11" x14ac:dyDescent="0.25">
      <c r="A40" s="639" t="s">
        <v>1008</v>
      </c>
      <c r="B40" s="640"/>
      <c r="C40" s="197" t="s">
        <v>756</v>
      </c>
      <c r="D40" s="197"/>
      <c r="E40" s="641"/>
      <c r="F40" s="642"/>
      <c r="G40" s="197"/>
    </row>
    <row r="41" spans="1:11" x14ac:dyDescent="0.25">
      <c r="A41" s="639" t="s">
        <v>1009</v>
      </c>
      <c r="B41" s="640"/>
      <c r="C41" s="197" t="s">
        <v>756</v>
      </c>
      <c r="D41" s="197"/>
      <c r="E41" s="641"/>
      <c r="F41" s="642"/>
      <c r="G41" s="197"/>
    </row>
    <row r="42" spans="1:11" x14ac:dyDescent="0.25">
      <c r="A42" s="639" t="s">
        <v>1010</v>
      </c>
      <c r="B42" s="640"/>
      <c r="C42" s="197" t="s">
        <v>756</v>
      </c>
      <c r="D42" s="197"/>
      <c r="E42" s="641"/>
      <c r="F42" s="642"/>
      <c r="G42" s="197"/>
    </row>
    <row r="43" spans="1:11" x14ac:dyDescent="0.25">
      <c r="A43" s="639" t="s">
        <v>1011</v>
      </c>
      <c r="B43" s="640"/>
      <c r="C43" s="197" t="s">
        <v>756</v>
      </c>
      <c r="D43" s="197"/>
      <c r="E43" s="641"/>
      <c r="F43" s="642"/>
      <c r="G43" s="197"/>
    </row>
    <row r="44" spans="1:11" x14ac:dyDescent="0.25">
      <c r="A44" s="639" t="s">
        <v>1071</v>
      </c>
      <c r="B44" s="640"/>
      <c r="C44" s="197"/>
      <c r="D44" s="197"/>
      <c r="E44" s="641" t="s">
        <v>756</v>
      </c>
      <c r="F44" s="642"/>
      <c r="G44" s="197"/>
    </row>
    <row r="45" spans="1:11" ht="14.1" customHeight="1" x14ac:dyDescent="0.25">
      <c r="A45" s="88"/>
    </row>
    <row r="47" spans="1:11" x14ac:dyDescent="0.25">
      <c r="A47" s="592" t="s">
        <v>374</v>
      </c>
      <c r="B47" s="593"/>
      <c r="C47" s="593"/>
      <c r="D47" s="593"/>
      <c r="E47" s="593"/>
      <c r="F47" s="593"/>
      <c r="G47" s="593"/>
    </row>
  </sheetData>
  <sheetProtection algorithmName="SHA-512" hashValue="wDUPjDRSdEItPu4UTxdRe0j7YCZfKoG7sAuat5UY9icFgAyh9jh8b/xE3aHHUiGL6n5yvqfDKuUMDW8Co786PA==" saltValue="27PHYxYFdu0K+vZmR4B7Vw==" spinCount="100000" sheet="1" objects="1" scenarios="1"/>
  <mergeCells count="51">
    <mergeCell ref="A3:G3"/>
    <mergeCell ref="A17:G17"/>
    <mergeCell ref="A22:G22"/>
    <mergeCell ref="I32:K32"/>
    <mergeCell ref="I8:K8"/>
    <mergeCell ref="A7:G7"/>
    <mergeCell ref="A10:G10"/>
    <mergeCell ref="A13:G13"/>
    <mergeCell ref="A12:G12"/>
    <mergeCell ref="A11:G11"/>
    <mergeCell ref="A28:G28"/>
    <mergeCell ref="A27:G27"/>
    <mergeCell ref="A26:G26"/>
    <mergeCell ref="A25:G25"/>
    <mergeCell ref="A24:G24"/>
    <mergeCell ref="A23:G23"/>
    <mergeCell ref="A47:G47"/>
    <mergeCell ref="A9:G9"/>
    <mergeCell ref="A8:G8"/>
    <mergeCell ref="A1:G1"/>
    <mergeCell ref="A2:G2"/>
    <mergeCell ref="A4:G4"/>
    <mergeCell ref="A5:G5"/>
    <mergeCell ref="A34:G34"/>
    <mergeCell ref="A33:G33"/>
    <mergeCell ref="A32:G32"/>
    <mergeCell ref="A31:G31"/>
    <mergeCell ref="A30:G30"/>
    <mergeCell ref="A29:G29"/>
    <mergeCell ref="A16:G16"/>
    <mergeCell ref="A15:G15"/>
    <mergeCell ref="A14:G14"/>
    <mergeCell ref="A19:G19"/>
    <mergeCell ref="A18:G18"/>
    <mergeCell ref="A21:G21"/>
    <mergeCell ref="A20:G20"/>
    <mergeCell ref="I33:K33"/>
    <mergeCell ref="A44:B44"/>
    <mergeCell ref="E44:F44"/>
    <mergeCell ref="A41:B41"/>
    <mergeCell ref="E41:F41"/>
    <mergeCell ref="A42:B42"/>
    <mergeCell ref="E42:F42"/>
    <mergeCell ref="A43:B43"/>
    <mergeCell ref="E43:F43"/>
    <mergeCell ref="A39:B39"/>
    <mergeCell ref="E39:F39"/>
    <mergeCell ref="A40:B40"/>
    <mergeCell ref="E40:F40"/>
    <mergeCell ref="A35:C35"/>
    <mergeCell ref="E35:F35"/>
  </mergeCells>
  <printOptions horizontalCentered="1"/>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456D-24F5-41F0-84AD-DBBA902732D1}">
  <sheetPr codeName="Sheet12">
    <tabColor rgb="FF00B0F0"/>
  </sheetPr>
  <dimension ref="A1:M41"/>
  <sheetViews>
    <sheetView showZeros="0" view="pageLayout" zoomScaleNormal="100" workbookViewId="0">
      <selection activeCell="K11" sqref="K11"/>
    </sheetView>
  </sheetViews>
  <sheetFormatPr defaultColWidth="9.140625" defaultRowHeight="12.75" x14ac:dyDescent="0.25"/>
  <cols>
    <col min="1" max="1" width="12.140625" style="71" customWidth="1"/>
    <col min="2" max="2" width="2.85546875" style="71" customWidth="1"/>
    <col min="3" max="3" width="24.140625" style="71" customWidth="1"/>
    <col min="4" max="4" width="15.42578125" style="71" customWidth="1"/>
    <col min="5" max="5" width="1.5703125" style="71" customWidth="1"/>
    <col min="6" max="6" width="13.28515625" style="71" customWidth="1"/>
    <col min="7" max="7" width="19.42578125" style="71" customWidth="1"/>
    <col min="8" max="8" width="10.7109375" style="71" customWidth="1"/>
    <col min="9" max="10" width="9.140625" style="71"/>
    <col min="11" max="11" width="22.42578125" style="71" customWidth="1"/>
    <col min="12" max="16384" width="9.140625" style="71"/>
  </cols>
  <sheetData>
    <row r="1" spans="1:13" ht="24.95" customHeight="1" x14ac:dyDescent="0.25">
      <c r="A1" s="591" t="str">
        <f>""&amp;'KEY INPUTS'!B1&amp;" ADOPTION CERTIFICATION"</f>
        <v>2025 ADOPTION CERTIFICATION</v>
      </c>
      <c r="B1" s="591"/>
      <c r="C1" s="591"/>
      <c r="D1" s="591"/>
      <c r="E1" s="591"/>
      <c r="F1" s="591"/>
      <c r="G1" s="591"/>
      <c r="H1" s="591"/>
    </row>
    <row r="2" spans="1:13" ht="18" customHeight="1" x14ac:dyDescent="0.25">
      <c r="A2" s="658"/>
      <c r="B2" s="658"/>
      <c r="C2" s="658"/>
      <c r="D2" s="658"/>
      <c r="E2" s="658"/>
      <c r="F2" s="658"/>
      <c r="G2" s="658"/>
    </row>
    <row r="3" spans="1:13" ht="20.100000000000001" customHeight="1" x14ac:dyDescent="0.25">
      <c r="A3" s="601" t="str">
        <f>'KEY INPUTS'!B2</f>
        <v>Weymouth Township FD No. 1</v>
      </c>
      <c r="B3" s="601"/>
      <c r="C3" s="601"/>
      <c r="D3" s="601"/>
      <c r="E3" s="601"/>
      <c r="F3" s="601"/>
      <c r="G3" s="601"/>
      <c r="H3" s="601"/>
    </row>
    <row r="4" spans="1:13" ht="20.100000000000001" customHeight="1" x14ac:dyDescent="0.25">
      <c r="A4" s="83"/>
      <c r="B4" s="83"/>
      <c r="C4" s="83"/>
      <c r="D4" s="83"/>
      <c r="E4" s="83"/>
      <c r="F4" s="83"/>
      <c r="G4" s="83"/>
    </row>
    <row r="5" spans="1:13" ht="24.95" customHeight="1" x14ac:dyDescent="0.25">
      <c r="A5" s="591" t="s">
        <v>338</v>
      </c>
      <c r="B5" s="591"/>
      <c r="C5" s="591"/>
      <c r="D5" s="591"/>
      <c r="E5" s="591"/>
      <c r="F5" s="591"/>
      <c r="G5" s="591"/>
      <c r="H5" s="591"/>
    </row>
    <row r="6" spans="1:13" ht="15.75" customHeight="1" x14ac:dyDescent="0.25">
      <c r="A6" s="616"/>
      <c r="B6" s="616"/>
      <c r="C6" s="616"/>
      <c r="D6" s="616"/>
      <c r="E6" s="616"/>
      <c r="F6" s="616"/>
      <c r="G6" s="616"/>
      <c r="H6" s="616"/>
    </row>
    <row r="7" spans="1:13" ht="15.75" customHeight="1" x14ac:dyDescent="0.25">
      <c r="A7" s="616" t="str">
        <f>"FISCAL YEAR: January 1, "&amp;'KEY INPUTS'!B1&amp;" to December 31, "&amp;'KEY INPUTS'!B1&amp;""</f>
        <v>FISCAL YEAR: January 1, 2025 to December 31, 2025</v>
      </c>
      <c r="B7" s="616"/>
      <c r="C7" s="616"/>
      <c r="D7" s="616"/>
      <c r="E7" s="616"/>
      <c r="F7" s="616"/>
      <c r="G7" s="616"/>
      <c r="H7" s="616"/>
    </row>
    <row r="8" spans="1:13" ht="15.75" x14ac:dyDescent="0.25">
      <c r="A8" s="89"/>
      <c r="B8" s="89"/>
      <c r="C8" s="89"/>
      <c r="D8" s="89"/>
      <c r="E8" s="89"/>
      <c r="F8" s="89"/>
      <c r="G8" s="89"/>
    </row>
    <row r="9" spans="1:13" ht="15.75" customHeight="1" x14ac:dyDescent="0.25">
      <c r="A9" s="615" t="s">
        <v>713</v>
      </c>
      <c r="B9" s="615"/>
      <c r="C9" s="615"/>
      <c r="D9" s="615"/>
      <c r="E9" s="615"/>
      <c r="F9" s="615"/>
      <c r="G9" s="615"/>
      <c r="H9" s="615"/>
      <c r="K9" s="220"/>
    </row>
    <row r="10" spans="1:13" ht="15.75" customHeight="1" x14ac:dyDescent="0.25">
      <c r="A10" s="615" t="str">
        <f>"the Board of Commissioners of the Fire District, pursuant to N.J.A.C. 5:31-2.4, on "&amp;IF('Adopted Resolution'!I9="","",TEXT('Adopted Resolution'!I9,"mmmm d, yyyy"))&amp;"."</f>
        <v>the Board of Commissioners of the Fire District, pursuant to N.J.A.C. 5:31-2.4, on December 17, 2024.</v>
      </c>
      <c r="B10" s="615"/>
      <c r="C10" s="615"/>
      <c r="D10" s="615"/>
      <c r="E10" s="615"/>
      <c r="F10" s="615"/>
      <c r="G10" s="615"/>
      <c r="H10" s="615"/>
      <c r="K10" s="220"/>
      <c r="L10" s="220"/>
      <c r="M10" s="220"/>
    </row>
    <row r="11" spans="1:13" ht="15.75" x14ac:dyDescent="0.25">
      <c r="A11" s="615"/>
      <c r="B11" s="615"/>
      <c r="C11" s="615"/>
      <c r="D11" s="615"/>
      <c r="E11" s="615"/>
      <c r="F11" s="615"/>
      <c r="G11" s="615"/>
      <c r="H11" s="615"/>
      <c r="K11" s="366"/>
      <c r="L11" s="366"/>
      <c r="M11" s="366"/>
    </row>
    <row r="12" spans="1:13" ht="17.100000000000001" customHeight="1" x14ac:dyDescent="0.25">
      <c r="A12" s="127"/>
      <c r="B12" s="127"/>
      <c r="C12" s="127"/>
      <c r="D12" s="127"/>
      <c r="E12" s="127"/>
      <c r="F12" s="127"/>
      <c r="G12" s="127"/>
    </row>
    <row r="13" spans="1:13" ht="17.100000000000001" customHeight="1" x14ac:dyDescent="0.25"/>
    <row r="14" spans="1:13" ht="15.75" customHeight="1" x14ac:dyDescent="0.25">
      <c r="B14" s="659" t="s">
        <v>923</v>
      </c>
      <c r="C14" s="660"/>
      <c r="D14" s="661" t="s">
        <v>1021</v>
      </c>
      <c r="E14" s="662"/>
      <c r="F14" s="662"/>
      <c r="G14" s="663"/>
    </row>
    <row r="15" spans="1:13" ht="15.75" customHeight="1" x14ac:dyDescent="0.25">
      <c r="B15" s="659" t="s">
        <v>924</v>
      </c>
      <c r="C15" s="660"/>
      <c r="D15" s="655" t="str">
        <f>'KEY INPUTS'!B30</f>
        <v>Elizabeth Hand</v>
      </c>
      <c r="E15" s="656"/>
      <c r="F15" s="656"/>
      <c r="G15" s="657"/>
    </row>
    <row r="16" spans="1:13" ht="15.75" customHeight="1" x14ac:dyDescent="0.25">
      <c r="B16" s="659" t="s">
        <v>344</v>
      </c>
      <c r="C16" s="660"/>
      <c r="D16" s="655" t="str">
        <f>'KEY INPUTS'!B31</f>
        <v>Treasurer</v>
      </c>
      <c r="E16" s="656"/>
      <c r="F16" s="656"/>
      <c r="G16" s="657"/>
    </row>
    <row r="17" spans="1:7" ht="15.75" customHeight="1" x14ac:dyDescent="0.25">
      <c r="B17" s="659" t="s">
        <v>343</v>
      </c>
      <c r="C17" s="660"/>
      <c r="D17" s="655" t="str">
        <f>'KEY INPUTS'!B32</f>
        <v>PO Box 175, Dorothy, NJ 08317</v>
      </c>
      <c r="E17" s="656"/>
      <c r="F17" s="656"/>
      <c r="G17" s="657"/>
    </row>
    <row r="18" spans="1:7" ht="15.75" customHeight="1" x14ac:dyDescent="0.25">
      <c r="B18" s="659" t="s">
        <v>342</v>
      </c>
      <c r="C18" s="660"/>
      <c r="D18" s="72" t="str">
        <f>'KEY INPUTS'!B33</f>
        <v>609-662-7878</v>
      </c>
      <c r="E18" s="659" t="s">
        <v>490</v>
      </c>
      <c r="F18" s="660"/>
      <c r="G18" s="72" t="str">
        <f>'KEY INPUTS'!B34</f>
        <v>n/a</v>
      </c>
    </row>
    <row r="19" spans="1:7" ht="15.75" customHeight="1" x14ac:dyDescent="0.25">
      <c r="B19" s="659" t="s">
        <v>925</v>
      </c>
      <c r="C19" s="660"/>
      <c r="D19" s="655" t="str">
        <f>'KEY INPUTS'!B35</f>
        <v>elizabethann727@aol.com</v>
      </c>
      <c r="E19" s="656"/>
      <c r="F19" s="656"/>
      <c r="G19" s="657"/>
    </row>
    <row r="20" spans="1:7" ht="14.1" customHeight="1" x14ac:dyDescent="0.25">
      <c r="A20" s="88"/>
    </row>
    <row r="41" spans="1:8" x14ac:dyDescent="0.25">
      <c r="A41" s="592" t="s">
        <v>388</v>
      </c>
      <c r="B41" s="592"/>
      <c r="C41" s="592"/>
      <c r="D41" s="592"/>
      <c r="E41" s="592"/>
      <c r="F41" s="592"/>
      <c r="G41" s="592"/>
      <c r="H41" s="592"/>
    </row>
  </sheetData>
  <sheetProtection algorithmName="SHA-512" hashValue="DjhevRXOY3cjHkADHSItgkJ8YIgMfvmEAV0SFKkzRX3t0IRH33xmam+cAl7hf71wieEawpegAtQHXupC1Kt5jQ==" saltValue="2L5Kl7730ATxGxtjsdi9Jg==" spinCount="100000" sheet="1" objects="1" scenarios="1"/>
  <mergeCells count="22">
    <mergeCell ref="A41:H41"/>
    <mergeCell ref="B19:C19"/>
    <mergeCell ref="D19:G19"/>
    <mergeCell ref="B16:C16"/>
    <mergeCell ref="D16:G16"/>
    <mergeCell ref="B17:C17"/>
    <mergeCell ref="D17:G17"/>
    <mergeCell ref="B18:C18"/>
    <mergeCell ref="E18:F18"/>
    <mergeCell ref="A1:H1"/>
    <mergeCell ref="A7:H7"/>
    <mergeCell ref="A11:H11"/>
    <mergeCell ref="A10:H10"/>
    <mergeCell ref="A9:H9"/>
    <mergeCell ref="D15:G15"/>
    <mergeCell ref="A2:G2"/>
    <mergeCell ref="A6:H6"/>
    <mergeCell ref="A5:H5"/>
    <mergeCell ref="A3:H3"/>
    <mergeCell ref="B14:C14"/>
    <mergeCell ref="D14:G14"/>
    <mergeCell ref="B15:C15"/>
  </mergeCells>
  <printOptions horizontalCentered="1"/>
  <pageMargins left="0.25" right="0.25"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BC53A-9BCB-4499-B3D4-64D7F27591DA}">
  <sheetPr codeName="Sheet13">
    <tabColor rgb="FF00B0F0"/>
  </sheetPr>
  <dimension ref="A1:M48"/>
  <sheetViews>
    <sheetView showZeros="0" view="pageLayout" topLeftCell="A4" zoomScaleNormal="100" workbookViewId="0">
      <selection activeCell="B47" sqref="B47"/>
    </sheetView>
  </sheetViews>
  <sheetFormatPr defaultColWidth="9.140625" defaultRowHeight="12.75" x14ac:dyDescent="0.25"/>
  <cols>
    <col min="1" max="1" width="20.5703125" style="71" customWidth="1"/>
    <col min="2" max="2" width="6.42578125" style="71" customWidth="1"/>
    <col min="3" max="3" width="14.28515625" style="71" customWidth="1"/>
    <col min="4" max="4" width="15.42578125" style="71" customWidth="1"/>
    <col min="5" max="5" width="5.85546875" style="71" customWidth="1"/>
    <col min="6" max="6" width="12.7109375" style="71" customWidth="1"/>
    <col min="7" max="7" width="22.28515625" style="71" customWidth="1"/>
    <col min="8" max="8" width="20.7109375" style="71" customWidth="1"/>
    <col min="9" max="9" width="15.140625" style="71" bestFit="1" customWidth="1"/>
    <col min="10" max="11" width="9.140625" style="71"/>
    <col min="12" max="12" width="10.5703125" style="71" customWidth="1"/>
    <col min="13" max="13" width="11.85546875" style="71" customWidth="1"/>
    <col min="14" max="16384" width="9.140625" style="71"/>
  </cols>
  <sheetData>
    <row r="1" spans="1:13" ht="22.5" x14ac:dyDescent="0.25">
      <c r="A1" s="591" t="str">
        <f>""&amp;'KEY INPUTS'!B1&amp;" ADOPTED BUDGET RESOLUTION"</f>
        <v>2025 ADOPTED BUDGET RESOLUTION</v>
      </c>
      <c r="B1" s="591"/>
      <c r="C1" s="591"/>
      <c r="D1" s="591"/>
      <c r="E1" s="591"/>
      <c r="F1" s="591"/>
      <c r="G1" s="591"/>
    </row>
    <row r="2" spans="1:13" ht="10.7" customHeight="1" x14ac:dyDescent="0.25">
      <c r="A2" s="658"/>
      <c r="B2" s="658"/>
      <c r="C2" s="658"/>
      <c r="D2" s="658"/>
      <c r="E2" s="658"/>
      <c r="F2" s="658"/>
      <c r="G2" s="658"/>
    </row>
    <row r="3" spans="1:13" ht="20.100000000000001" customHeight="1" x14ac:dyDescent="0.25">
      <c r="A3" s="601" t="str">
        <f>'KEY INPUTS'!B2</f>
        <v>Weymouth Township FD No. 1</v>
      </c>
      <c r="B3" s="601"/>
      <c r="C3" s="601"/>
      <c r="D3" s="601"/>
      <c r="E3" s="601"/>
      <c r="F3" s="601"/>
      <c r="G3" s="601"/>
    </row>
    <row r="4" spans="1:13" ht="10.7" customHeight="1" x14ac:dyDescent="0.25">
      <c r="A4" s="264"/>
      <c r="B4" s="83"/>
      <c r="C4" s="83"/>
      <c r="D4" s="83"/>
      <c r="E4" s="83"/>
      <c r="F4" s="83"/>
      <c r="G4" s="83"/>
    </row>
    <row r="5" spans="1:13" ht="15.75" customHeight="1" x14ac:dyDescent="0.25">
      <c r="A5" s="616" t="str">
        <f>"FISCAL YEAR: January 1, "&amp;'KEY INPUTS'!B1&amp;" to December 31, "&amp;'KEY INPUTS'!B1&amp;""</f>
        <v>FISCAL YEAR: January 1, 2025 to December 31, 2025</v>
      </c>
      <c r="B5" s="616"/>
      <c r="C5" s="616"/>
      <c r="D5" s="616"/>
      <c r="E5" s="616"/>
      <c r="F5" s="616"/>
      <c r="G5" s="616"/>
    </row>
    <row r="6" spans="1:13" ht="10.7" customHeight="1" x14ac:dyDescent="0.25">
      <c r="A6" s="89"/>
      <c r="B6" s="89"/>
      <c r="C6" s="89"/>
      <c r="D6" s="89"/>
      <c r="E6" s="89"/>
      <c r="F6" s="89"/>
      <c r="G6" s="89"/>
    </row>
    <row r="7" spans="1:13" ht="15.75" customHeight="1" thickBot="1" x14ac:dyDescent="0.3">
      <c r="A7" s="664" t="str">
        <f>"WHEREAS, the Annual Budget for the "&amp;A3&amp;" (the 'Fire District') for the fiscal year beginning"</f>
        <v>WHEREAS, the Annual Budget for the Weymouth Township FD No. 1 (the 'Fire District') for the fiscal year beginning</v>
      </c>
      <c r="B7" s="664"/>
      <c r="C7" s="664"/>
      <c r="D7" s="664"/>
      <c r="E7" s="664"/>
      <c r="F7" s="664"/>
      <c r="G7" s="664"/>
    </row>
    <row r="8" spans="1:13" ht="15.75" customHeight="1" thickBot="1" x14ac:dyDescent="0.3">
      <c r="A8" s="664" t="str">
        <f>"January 1, "&amp;'KEY INPUTS'!B1&amp;" and ending December 31, "&amp;'KEY INPUTS'!B1&amp;" has been presented for adoption before the Board of Commissioners of"</f>
        <v>January 1, 2025 and ending December 31, 2025 has been presented for adoption before the Board of Commissioners of</v>
      </c>
      <c r="B8" s="664"/>
      <c r="C8" s="664"/>
      <c r="D8" s="664"/>
      <c r="E8" s="664"/>
      <c r="F8" s="664"/>
      <c r="G8" s="664"/>
      <c r="I8" s="652" t="s">
        <v>750</v>
      </c>
      <c r="J8" s="653"/>
      <c r="K8" s="653"/>
      <c r="L8" s="654"/>
    </row>
    <row r="9" spans="1:13" ht="15.75" customHeight="1" thickBot="1" x14ac:dyDescent="0.3">
      <c r="A9" s="664" t="str">
        <f>"the Fire District at its open public meeting of "&amp;IF(I9="","",TEXT(I9, "mmmm d, yyyy"))&amp;"; and"</f>
        <v>the Fire District at its open public meeting of December 17, 2024; and</v>
      </c>
      <c r="B9" s="664"/>
      <c r="C9" s="664"/>
      <c r="D9" s="664"/>
      <c r="E9" s="664"/>
      <c r="F9" s="664"/>
      <c r="G9" s="664"/>
      <c r="I9" s="365">
        <v>45643</v>
      </c>
      <c r="J9" s="363"/>
      <c r="K9" s="364"/>
      <c r="L9" s="265"/>
    </row>
    <row r="10" spans="1:13" ht="13.5" thickBot="1" x14ac:dyDescent="0.3">
      <c r="A10" s="664"/>
      <c r="B10" s="664"/>
      <c r="C10" s="664"/>
      <c r="D10" s="664"/>
      <c r="E10" s="664"/>
      <c r="F10" s="664"/>
      <c r="G10" s="664"/>
    </row>
    <row r="11" spans="1:13" ht="15.75" customHeight="1" thickBot="1" x14ac:dyDescent="0.3">
      <c r="A11" s="664" t="s">
        <v>982</v>
      </c>
      <c r="B11" s="664"/>
      <c r="C11" s="664"/>
      <c r="D11" s="664"/>
      <c r="E11" s="664"/>
      <c r="F11" s="664"/>
      <c r="G11" s="664"/>
      <c r="I11" s="665" t="s">
        <v>757</v>
      </c>
      <c r="J11" s="666"/>
      <c r="K11" s="666"/>
      <c r="L11" s="666"/>
      <c r="M11" s="667"/>
    </row>
    <row r="12" spans="1:13" ht="15.75" customHeight="1" thickBot="1" x14ac:dyDescent="0.3">
      <c r="A12" s="664" t="s">
        <v>403</v>
      </c>
      <c r="B12" s="664"/>
      <c r="C12" s="664"/>
      <c r="D12" s="664"/>
      <c r="E12" s="664"/>
      <c r="F12" s="664"/>
      <c r="G12" s="664"/>
      <c r="I12" s="652" t="s">
        <v>755</v>
      </c>
      <c r="J12" s="653"/>
      <c r="K12" s="653"/>
      <c r="L12" s="653"/>
      <c r="M12" s="654"/>
    </row>
    <row r="13" spans="1:13" ht="13.5" thickBot="1" x14ac:dyDescent="0.3">
      <c r="A13" s="664" t="s">
        <v>402</v>
      </c>
      <c r="B13" s="664"/>
      <c r="C13" s="664"/>
      <c r="D13" s="664"/>
      <c r="E13" s="664"/>
      <c r="F13" s="664"/>
      <c r="G13" s="664"/>
      <c r="I13" s="266" t="s">
        <v>752</v>
      </c>
      <c r="J13" s="267"/>
      <c r="K13" s="272" t="s">
        <v>756</v>
      </c>
      <c r="L13" s="266"/>
      <c r="M13" s="265"/>
    </row>
    <row r="14" spans="1:13" ht="13.5" thickBot="1" x14ac:dyDescent="0.3">
      <c r="A14" s="664"/>
      <c r="B14" s="664"/>
      <c r="C14" s="664"/>
      <c r="D14" s="664"/>
      <c r="E14" s="664"/>
      <c r="F14" s="664"/>
      <c r="G14" s="664"/>
    </row>
    <row r="15" spans="1:13" ht="15.75" customHeight="1" thickBot="1" x14ac:dyDescent="0.3">
      <c r="A15" s="668" t="str">
        <f>"WHEREAS, the adopted budget "&amp;IF(K13="X", "is in compliance with the Property Tax Levy Cap Law (N.J.S.A. 40A:4-45.44 et seq.); and",IF(K16="X","includes a proposed public referendum in the amount of "&amp;TEXT(M16,"$#,##0.00")&amp;" in excess of the",IF(K19="X", "includes a proposed public referendum in the amount of "&amp;TEXT(M19,"$#,##0.00")&amp;" as an appropriation from","")))</f>
        <v>WHEREAS, the adopted budget is in compliance with the Property Tax Levy Cap Law (N.J.S.A. 40A:4-45.44 et seq.); and</v>
      </c>
      <c r="B15" s="668"/>
      <c r="C15" s="668"/>
      <c r="D15" s="668"/>
      <c r="E15" s="668"/>
      <c r="F15" s="668"/>
      <c r="G15" s="668"/>
      <c r="I15" s="652" t="s">
        <v>920</v>
      </c>
      <c r="J15" s="653"/>
      <c r="K15" s="653"/>
      <c r="L15" s="653"/>
      <c r="M15" s="654"/>
    </row>
    <row r="16" spans="1:13" ht="13.5" thickBot="1" x14ac:dyDescent="0.3">
      <c r="A16" s="664" t="str">
        <f>IF(K16="X","allowable amount to be raised by taxation; and", IF(K19="X", "restricted fund balance to be used as budget revenue; and",""))</f>
        <v/>
      </c>
      <c r="B16" s="664"/>
      <c r="C16" s="664"/>
      <c r="D16" s="664"/>
      <c r="E16" s="664"/>
      <c r="F16" s="664"/>
      <c r="G16" s="664"/>
      <c r="I16" s="266" t="s">
        <v>752</v>
      </c>
      <c r="J16" s="267"/>
      <c r="K16" s="272"/>
      <c r="L16" s="268" t="s">
        <v>758</v>
      </c>
      <c r="M16" s="273"/>
    </row>
    <row r="17" spans="1:13" ht="15.75" customHeight="1" thickBot="1" x14ac:dyDescent="0.3">
      <c r="A17" s="664"/>
      <c r="B17" s="664"/>
      <c r="C17" s="664"/>
      <c r="D17" s="664"/>
      <c r="E17" s="664"/>
      <c r="F17" s="664"/>
      <c r="G17" s="664"/>
    </row>
    <row r="18" spans="1:13" ht="15.75" customHeight="1" thickBot="1" x14ac:dyDescent="0.3">
      <c r="A18" s="664" t="str">
        <f>"WHEREAS, the Annual Budget as presented for adoption reflects Total Revenues of "&amp;TEXT(K21, "$#,##0.00")&amp;" which includes amount to be"</f>
        <v>WHEREAS, the Annual Budget as presented for adoption reflects Total Revenues of $186,415.23 which includes amount to be</v>
      </c>
      <c r="B18" s="664"/>
      <c r="C18" s="664"/>
      <c r="D18" s="664"/>
      <c r="E18" s="664"/>
      <c r="F18" s="664"/>
      <c r="G18" s="664"/>
      <c r="I18" s="652" t="s">
        <v>753</v>
      </c>
      <c r="J18" s="653"/>
      <c r="K18" s="653"/>
      <c r="L18" s="653"/>
      <c r="M18" s="654"/>
    </row>
    <row r="19" spans="1:13" ht="13.5" thickBot="1" x14ac:dyDescent="0.3">
      <c r="A19" s="664" t="str">
        <f>"raised by taxation of "&amp;TEXT(K22,"$#,##0.00")&amp;", and Total Appropriations of "&amp;TEXT(K23,"$#,##0.00")&amp;"; and"</f>
        <v>raised by taxation of $134,640.23, and Total Appropriations of $186,415.23; and</v>
      </c>
      <c r="B19" s="664"/>
      <c r="C19" s="664"/>
      <c r="D19" s="664"/>
      <c r="E19" s="664"/>
      <c r="F19" s="664"/>
      <c r="G19" s="664"/>
      <c r="I19" s="266" t="s">
        <v>754</v>
      </c>
      <c r="J19" s="267"/>
      <c r="K19" s="272"/>
      <c r="L19" s="268" t="s">
        <v>758</v>
      </c>
      <c r="M19" s="273"/>
    </row>
    <row r="20" spans="1:13" ht="14.1" customHeight="1" thickBot="1" x14ac:dyDescent="0.3">
      <c r="A20" s="664"/>
      <c r="B20" s="664"/>
      <c r="C20" s="664"/>
      <c r="D20" s="664"/>
      <c r="E20" s="664"/>
      <c r="F20" s="664"/>
      <c r="G20" s="664"/>
    </row>
    <row r="21" spans="1:13" ht="14.1" customHeight="1" x14ac:dyDescent="0.25">
      <c r="A21" s="590" t="str">
        <f>IF('KEY INPUTS'!B5="November","WHEREAS, an election shall be held annually on the third Saturday of February (only if required) in each established fire district to", "WHEREAS, an election shall be held annually on the third Saturday of February in each established fire district to")</f>
        <v>WHEREAS, an election shall be held annually on the third Saturday of February (only if required) in each established fire district to</v>
      </c>
      <c r="B21" s="650"/>
      <c r="C21" s="650"/>
      <c r="D21" s="650"/>
      <c r="E21" s="650"/>
      <c r="F21" s="650"/>
      <c r="G21" s="650"/>
      <c r="I21" s="440" t="s">
        <v>917</v>
      </c>
      <c r="J21" s="443"/>
      <c r="K21" s="676">
        <v>186415.23</v>
      </c>
      <c r="L21" s="677"/>
    </row>
    <row r="22" spans="1:13" x14ac:dyDescent="0.25">
      <c r="A22" s="646" t="str">
        <f>"determine the amount to be raised by taxation for the ensuing year;"</f>
        <v>determine the amount to be raised by taxation for the ensuing year;</v>
      </c>
      <c r="B22" s="646"/>
      <c r="C22" s="646"/>
      <c r="D22" s="646"/>
      <c r="E22" s="646"/>
      <c r="F22" s="646"/>
      <c r="G22" s="646"/>
      <c r="I22" s="441" t="s">
        <v>918</v>
      </c>
      <c r="J22" s="444"/>
      <c r="K22" s="674">
        <v>134640.23000000001</v>
      </c>
      <c r="L22" s="675"/>
    </row>
    <row r="23" spans="1:13" ht="14.1" customHeight="1" thickBot="1" x14ac:dyDescent="0.3">
      <c r="A23" s="650"/>
      <c r="B23" s="650"/>
      <c r="C23" s="650"/>
      <c r="D23" s="650"/>
      <c r="E23" s="650"/>
      <c r="F23" s="650"/>
      <c r="G23" s="650"/>
      <c r="I23" s="442" t="s">
        <v>919</v>
      </c>
      <c r="J23" s="445"/>
      <c r="K23" s="672">
        <v>186415.23</v>
      </c>
      <c r="L23" s="673"/>
    </row>
    <row r="24" spans="1:13" ht="14.1" customHeight="1" x14ac:dyDescent="0.25">
      <c r="A24" s="650" t="s">
        <v>401</v>
      </c>
      <c r="B24" s="650"/>
      <c r="C24" s="650"/>
      <c r="D24" s="650"/>
      <c r="E24" s="650"/>
      <c r="F24" s="650"/>
      <c r="G24" s="650"/>
    </row>
    <row r="25" spans="1:13" ht="14.1" customHeight="1" x14ac:dyDescent="0.25">
      <c r="A25" s="650" t="str">
        <f>""&amp;IF(I9="","",TEXT(I9,"mmmm d, yyyy"))&amp;" that the Annual Budget of the Fire District for the fiscal year beginning January 1, "&amp;'KEY INPUTS'!B1&amp;" and ending"</f>
        <v>December 17, 2024 that the Annual Budget of the Fire District for the fiscal year beginning January 1, 2025 and ending</v>
      </c>
      <c r="B25" s="650"/>
      <c r="C25" s="650"/>
      <c r="D25" s="650"/>
      <c r="E25" s="650"/>
      <c r="F25" s="650"/>
      <c r="G25" s="650"/>
    </row>
    <row r="26" spans="1:13" ht="14.1" customHeight="1" x14ac:dyDescent="0.25">
      <c r="A26" s="650" t="str">
        <f>"December 31, "&amp;'KEY INPUTS'!B1&amp;" is hereby adopted and, shall constitute appropriations for the purposes stated and authorization of Total Revenues"</f>
        <v>December 31, 2025 is hereby adopted and, shall constitute appropriations for the purposes stated and authorization of Total Revenues</v>
      </c>
      <c r="B26" s="650"/>
      <c r="C26" s="650"/>
      <c r="D26" s="650"/>
      <c r="E26" s="650"/>
      <c r="F26" s="650"/>
      <c r="G26" s="650"/>
    </row>
    <row r="27" spans="1:13" x14ac:dyDescent="0.25">
      <c r="A27" s="650" t="str">
        <f>"of "&amp;TEXT(K21,"$#,##0.00")&amp;", which includes amount to be raised by taxation of "&amp;TEXT(K22,"$#,##0.00")&amp;", and Total Appropriations of "&amp;TEXT(K23,"$#,##0.00")&amp;"; and"</f>
        <v>of $186,415.23, which includes amount to be raised by taxation of $134,640.23, and Total Appropriations of $186,415.23; and</v>
      </c>
      <c r="B27" s="650"/>
      <c r="C27" s="650"/>
      <c r="D27" s="650"/>
      <c r="E27" s="650"/>
      <c r="F27" s="650"/>
      <c r="G27" s="650"/>
    </row>
    <row r="28" spans="1:13" ht="14.1" customHeight="1" x14ac:dyDescent="0.25">
      <c r="A28" s="650"/>
      <c r="B28" s="650"/>
      <c r="C28" s="650"/>
      <c r="D28" s="650"/>
      <c r="E28" s="650"/>
      <c r="F28" s="650"/>
      <c r="G28" s="650"/>
    </row>
    <row r="29" spans="1:13" ht="14.1" customHeight="1" x14ac:dyDescent="0.25">
      <c r="A29" s="646" t="s">
        <v>400</v>
      </c>
      <c r="B29" s="646"/>
      <c r="C29" s="646"/>
      <c r="D29" s="646"/>
      <c r="E29" s="646"/>
      <c r="F29" s="646"/>
      <c r="G29" s="646"/>
    </row>
    <row r="30" spans="1:13" ht="14.1" customHeight="1" x14ac:dyDescent="0.25">
      <c r="A30" s="650" t="s">
        <v>399</v>
      </c>
      <c r="B30" s="650"/>
      <c r="C30" s="650"/>
      <c r="D30" s="650"/>
      <c r="E30" s="650"/>
      <c r="F30" s="650"/>
      <c r="G30" s="650"/>
    </row>
    <row r="31" spans="1:13" x14ac:dyDescent="0.25">
      <c r="A31" s="646" t="s">
        <v>398</v>
      </c>
      <c r="B31" s="646"/>
      <c r="C31" s="646"/>
      <c r="D31" s="646"/>
      <c r="E31" s="646"/>
      <c r="F31" s="646"/>
      <c r="G31" s="646"/>
    </row>
    <row r="32" spans="1:13" x14ac:dyDescent="0.25">
      <c r="A32" s="646"/>
      <c r="B32" s="646"/>
      <c r="C32" s="646"/>
      <c r="D32" s="646"/>
      <c r="E32" s="646"/>
      <c r="F32" s="646"/>
      <c r="G32" s="646"/>
    </row>
    <row r="33" spans="1:7" x14ac:dyDescent="0.25">
      <c r="A33" s="590" t="str">
        <f>IF('KEY INPUTS'!B5="November","BE IT FURTHER RESOLVED, that an annual election shall be held on the third Saturday of February (only if required) to determine the","BE IT FURTHER RESOLVED, that an annual election shall be held on the third Saturday of February to determine the")</f>
        <v>BE IT FURTHER RESOLVED, that an annual election shall be held on the third Saturday of February (only if required) to determine the</v>
      </c>
      <c r="B33" s="650"/>
      <c r="C33" s="650"/>
      <c r="D33" s="650"/>
      <c r="E33" s="650"/>
      <c r="F33" s="650"/>
      <c r="G33" s="650"/>
    </row>
    <row r="34" spans="1:7" x14ac:dyDescent="0.25">
      <c r="A34" s="590" t="str">
        <f>"amount to be raised by taxation for the ensuing year. The results of which shall be subsequently certified to the Division and the"</f>
        <v>amount to be raised by taxation for the ensuing year. The results of which shall be subsequently certified to the Division and the</v>
      </c>
      <c r="B34" s="650"/>
      <c r="C34" s="650"/>
      <c r="D34" s="650"/>
      <c r="E34" s="650"/>
      <c r="F34" s="650"/>
      <c r="G34" s="650"/>
    </row>
    <row r="35" spans="1:7" ht="14.25" customHeight="1" x14ac:dyDescent="0.25">
      <c r="A35" s="650" t="str">
        <f>"Municipal Assessor."</f>
        <v>Municipal Assessor.</v>
      </c>
      <c r="B35" s="650"/>
      <c r="C35" s="650"/>
      <c r="D35" s="650"/>
      <c r="E35" s="650"/>
      <c r="F35" s="650"/>
      <c r="G35" s="650"/>
    </row>
    <row r="36" spans="1:7" ht="9.9499999999999993" customHeight="1" x14ac:dyDescent="0.25">
      <c r="A36" s="127"/>
      <c r="B36" s="127"/>
      <c r="C36" s="127"/>
      <c r="D36" s="127"/>
      <c r="E36" s="127"/>
      <c r="F36" s="127"/>
      <c r="G36" s="127"/>
    </row>
    <row r="37" spans="1:7" ht="14.1" customHeight="1" x14ac:dyDescent="0.25">
      <c r="A37" s="643" t="s">
        <v>1029</v>
      </c>
      <c r="B37" s="643"/>
      <c r="C37" s="643"/>
      <c r="E37" s="669">
        <v>45643</v>
      </c>
      <c r="F37" s="643"/>
    </row>
    <row r="38" spans="1:7" ht="14.1" customHeight="1" x14ac:dyDescent="0.25">
      <c r="A38" s="88" t="s">
        <v>397</v>
      </c>
      <c r="E38" s="127" t="s">
        <v>396</v>
      </c>
    </row>
    <row r="39" spans="1:7" ht="9.9499999999999993" customHeight="1" x14ac:dyDescent="0.25">
      <c r="A39" s="88"/>
      <c r="E39" s="127"/>
    </row>
    <row r="40" spans="1:7" ht="12" customHeight="1" x14ac:dyDescent="0.25">
      <c r="A40" s="269" t="s">
        <v>395</v>
      </c>
    </row>
    <row r="41" spans="1:7" x14ac:dyDescent="0.25">
      <c r="A41" s="670" t="s">
        <v>394</v>
      </c>
      <c r="B41" s="671"/>
      <c r="C41" s="270" t="s">
        <v>393</v>
      </c>
      <c r="D41" s="270" t="s">
        <v>392</v>
      </c>
      <c r="E41" s="637" t="s">
        <v>391</v>
      </c>
      <c r="F41" s="638"/>
      <c r="G41" s="271" t="s">
        <v>390</v>
      </c>
    </row>
    <row r="42" spans="1:7" x14ac:dyDescent="0.25">
      <c r="A42" s="639" t="s">
        <v>1008</v>
      </c>
      <c r="B42" s="640"/>
      <c r="C42" s="197" t="s">
        <v>756</v>
      </c>
      <c r="D42" s="197"/>
      <c r="E42" s="641"/>
      <c r="F42" s="642"/>
      <c r="G42" s="197"/>
    </row>
    <row r="43" spans="1:7" x14ac:dyDescent="0.25">
      <c r="A43" s="639" t="s">
        <v>1009</v>
      </c>
      <c r="B43" s="640"/>
      <c r="C43" s="197" t="s">
        <v>756</v>
      </c>
      <c r="D43" s="197"/>
      <c r="E43" s="641"/>
      <c r="F43" s="642"/>
      <c r="G43" s="197"/>
    </row>
    <row r="44" spans="1:7" x14ac:dyDescent="0.25">
      <c r="A44" s="639" t="s">
        <v>1010</v>
      </c>
      <c r="B44" s="640"/>
      <c r="C44" s="197" t="s">
        <v>756</v>
      </c>
      <c r="D44" s="197"/>
      <c r="E44" s="641"/>
      <c r="F44" s="642"/>
      <c r="G44" s="197"/>
    </row>
    <row r="45" spans="1:7" x14ac:dyDescent="0.25">
      <c r="A45" s="639" t="s">
        <v>1011</v>
      </c>
      <c r="B45" s="640"/>
      <c r="C45" s="197" t="s">
        <v>756</v>
      </c>
      <c r="D45" s="197"/>
      <c r="E45" s="641"/>
      <c r="F45" s="642"/>
      <c r="G45" s="197"/>
    </row>
    <row r="46" spans="1:7" x14ac:dyDescent="0.25">
      <c r="A46" s="639" t="s">
        <v>1075</v>
      </c>
      <c r="B46" s="640"/>
      <c r="C46" s="197" t="s">
        <v>756</v>
      </c>
      <c r="D46" s="197"/>
      <c r="E46" s="641"/>
      <c r="F46" s="642"/>
      <c r="G46" s="197"/>
    </row>
    <row r="47" spans="1:7" ht="14.1" customHeight="1" x14ac:dyDescent="0.25">
      <c r="A47" s="181"/>
      <c r="B47" s="181"/>
      <c r="C47" s="181"/>
      <c r="D47" s="181"/>
      <c r="E47" s="181"/>
      <c r="F47" s="181"/>
      <c r="G47" s="181"/>
    </row>
    <row r="48" spans="1:7" x14ac:dyDescent="0.25">
      <c r="A48" s="592" t="s">
        <v>389</v>
      </c>
      <c r="B48" s="593"/>
      <c r="C48" s="593"/>
      <c r="D48" s="593"/>
      <c r="E48" s="593"/>
      <c r="F48" s="593"/>
      <c r="G48" s="593"/>
    </row>
  </sheetData>
  <sheetProtection algorithmName="SHA-512" hashValue="49HmKWnX7ZDIfxP8ofHQwpsBbKzPdAk76uYq43feSRyMWKX3SLNbsaqO6R8NQiML9saY+6vmUyIVxyy471D+nw==" saltValue="DhPLy9UkGzRqKvjP9cYn6w==" spinCount="100000" sheet="1" objects="1" scenarios="1"/>
  <mergeCells count="56">
    <mergeCell ref="K23:L23"/>
    <mergeCell ref="K22:L22"/>
    <mergeCell ref="K21:L21"/>
    <mergeCell ref="A23:G23"/>
    <mergeCell ref="A22:G22"/>
    <mergeCell ref="A41:B41"/>
    <mergeCell ref="E41:F41"/>
    <mergeCell ref="A25:G25"/>
    <mergeCell ref="A48:G48"/>
    <mergeCell ref="A21:G21"/>
    <mergeCell ref="A42:B42"/>
    <mergeCell ref="E42:F42"/>
    <mergeCell ref="E43:F43"/>
    <mergeCell ref="A44:B44"/>
    <mergeCell ref="E44:F44"/>
    <mergeCell ref="A46:B46"/>
    <mergeCell ref="E46:F46"/>
    <mergeCell ref="A43:B43"/>
    <mergeCell ref="A45:B45"/>
    <mergeCell ref="E45:F45"/>
    <mergeCell ref="A32:G32"/>
    <mergeCell ref="A31:G31"/>
    <mergeCell ref="A30:G30"/>
    <mergeCell ref="A29:G29"/>
    <mergeCell ref="A24:G24"/>
    <mergeCell ref="A28:G28"/>
    <mergeCell ref="A27:G27"/>
    <mergeCell ref="A1:G1"/>
    <mergeCell ref="A34:G34"/>
    <mergeCell ref="A35:G35"/>
    <mergeCell ref="A37:C37"/>
    <mergeCell ref="E37:F37"/>
    <mergeCell ref="A3:G3"/>
    <mergeCell ref="A5:G5"/>
    <mergeCell ref="A10:G10"/>
    <mergeCell ref="A26:G26"/>
    <mergeCell ref="A9:G9"/>
    <mergeCell ref="A8:G8"/>
    <mergeCell ref="A2:G2"/>
    <mergeCell ref="A19:G19"/>
    <mergeCell ref="A7:G7"/>
    <mergeCell ref="A20:G20"/>
    <mergeCell ref="A33:G33"/>
    <mergeCell ref="I8:L8"/>
    <mergeCell ref="I18:M18"/>
    <mergeCell ref="A16:G16"/>
    <mergeCell ref="I11:M11"/>
    <mergeCell ref="I12:M12"/>
    <mergeCell ref="I15:M15"/>
    <mergeCell ref="A18:G18"/>
    <mergeCell ref="A17:G17"/>
    <mergeCell ref="A15:G15"/>
    <mergeCell ref="A14:G14"/>
    <mergeCell ref="A13:G13"/>
    <mergeCell ref="A12:G12"/>
    <mergeCell ref="A11:G11"/>
  </mergeCells>
  <printOptions horizontalCentered="1"/>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CDF0-6155-4542-B160-6342537E118D}">
  <sheetPr codeName="Sheet14">
    <tabColor rgb="FFFFFF00"/>
  </sheetPr>
  <dimension ref="A1:F14"/>
  <sheetViews>
    <sheetView showZeros="0" showWhiteSpace="0" view="pageLayout" topLeftCell="A10" zoomScaleNormal="100" workbookViewId="0">
      <selection activeCell="F5" sqref="F5"/>
    </sheetView>
  </sheetViews>
  <sheetFormatPr defaultColWidth="9.140625" defaultRowHeight="12.75" x14ac:dyDescent="0.25"/>
  <cols>
    <col min="1" max="1" width="31.42578125" style="71" customWidth="1"/>
    <col min="2" max="2" width="19.28515625" style="71" customWidth="1"/>
    <col min="3" max="5" width="9.140625" style="71"/>
    <col min="6" max="6" width="11.85546875" style="71" customWidth="1"/>
    <col min="7" max="16384" width="9.140625" style="71"/>
  </cols>
  <sheetData>
    <row r="1" spans="1:6" ht="24.95" customHeight="1" x14ac:dyDescent="0.25"/>
    <row r="2" spans="1:6" ht="24.95" customHeight="1" x14ac:dyDescent="0.25"/>
    <row r="13" spans="1:6" ht="22.5" x14ac:dyDescent="0.25">
      <c r="A13" s="591" t="str">
        <f>""&amp;'KEY INPUTS'!B1&amp;" FIRE DISTRICT BUDGET"</f>
        <v>2025 FIRE DISTRICT BUDGET</v>
      </c>
      <c r="B13" s="591"/>
      <c r="C13" s="591"/>
      <c r="D13" s="591"/>
      <c r="E13" s="591"/>
      <c r="F13" s="591"/>
    </row>
    <row r="14" spans="1:6" ht="22.5" x14ac:dyDescent="0.25">
      <c r="A14" s="591" t="s">
        <v>404</v>
      </c>
      <c r="B14" s="591"/>
      <c r="C14" s="591"/>
      <c r="D14" s="591"/>
      <c r="E14" s="591"/>
      <c r="F14" s="591"/>
    </row>
  </sheetData>
  <sheetProtection algorithmName="SHA-512" hashValue="RsHKwFSTKHy+yVts/Tply891CuLiGJb+uEmuMvwEVApDE78SUKnUFennqKwQuboKV9MFSCv2rKi5Iwvt2jc8jQ==" saltValue="c/mA8KXi3jQMYptr0p8Kjw==" spinCount="100000" sheet="1" objects="1" scenarios="1"/>
  <mergeCells count="2">
    <mergeCell ref="A13:F13"/>
    <mergeCell ref="A14:F14"/>
  </mergeCells>
  <printOptions horizontalCentere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E333-D2B1-47B6-98B7-D3599E513558}">
  <sheetPr codeName="Sheet15">
    <tabColor rgb="FFFFFF00"/>
  </sheetPr>
  <dimension ref="A1:K73"/>
  <sheetViews>
    <sheetView showZeros="0" view="pageLayout" topLeftCell="A30" zoomScaleNormal="100" workbookViewId="0">
      <selection activeCell="A25" sqref="A25"/>
    </sheetView>
  </sheetViews>
  <sheetFormatPr defaultColWidth="9.140625" defaultRowHeight="12.75" x14ac:dyDescent="0.25"/>
  <cols>
    <col min="1" max="2" width="7" style="71" customWidth="1"/>
    <col min="3" max="3" width="6.140625" style="71" customWidth="1"/>
    <col min="4" max="4" width="0.7109375" style="71" customWidth="1"/>
    <col min="5" max="5" width="6.85546875" style="71" customWidth="1"/>
    <col min="6" max="6" width="21.85546875" style="71" customWidth="1"/>
    <col min="7" max="7" width="10.28515625" style="71" customWidth="1"/>
    <col min="8" max="8" width="2.28515625" style="71" customWidth="1"/>
    <col min="9" max="9" width="16" style="71" customWidth="1"/>
    <col min="10" max="10" width="2.42578125" style="71" customWidth="1"/>
    <col min="11" max="11" width="17.42578125" style="71" customWidth="1"/>
    <col min="12" max="12" width="16" style="71" customWidth="1"/>
    <col min="13" max="16384" width="9.140625" style="71"/>
  </cols>
  <sheetData>
    <row r="1" spans="1:11" ht="24.95" customHeight="1" x14ac:dyDescent="0.25">
      <c r="A1" s="591" t="str">
        <f>""&amp;'KEY INPUTS'!B1&amp;" FIRE DISTRICT BUDGET MESSAGE &amp; ANALYSIS"</f>
        <v>2025 FIRE DISTRICT BUDGET MESSAGE &amp; ANALYSIS</v>
      </c>
      <c r="B1" s="591"/>
      <c r="C1" s="591"/>
      <c r="D1" s="591"/>
      <c r="E1" s="591"/>
      <c r="F1" s="591"/>
      <c r="G1" s="591"/>
      <c r="H1" s="591"/>
      <c r="I1" s="591"/>
      <c r="J1" s="591"/>
      <c r="K1" s="591"/>
    </row>
    <row r="2" spans="1:11" ht="10.5" customHeight="1" x14ac:dyDescent="0.25">
      <c r="A2" s="593"/>
      <c r="B2" s="593"/>
      <c r="C2" s="593"/>
      <c r="D2" s="593"/>
      <c r="E2" s="593"/>
      <c r="F2" s="593"/>
      <c r="G2" s="593"/>
      <c r="H2" s="593"/>
      <c r="I2" s="593"/>
      <c r="J2" s="593"/>
      <c r="K2" s="593"/>
    </row>
    <row r="3" spans="1:11" ht="20.100000000000001" customHeight="1" x14ac:dyDescent="0.25">
      <c r="A3" s="601" t="str">
        <f>'Adopted Resolution'!A3:G3</f>
        <v>Weymouth Township FD No. 1</v>
      </c>
      <c r="B3" s="601"/>
      <c r="C3" s="601"/>
      <c r="D3" s="601"/>
      <c r="E3" s="601"/>
      <c r="F3" s="601"/>
      <c r="G3" s="601"/>
      <c r="H3" s="601"/>
      <c r="I3" s="601"/>
      <c r="J3" s="601"/>
      <c r="K3" s="601"/>
    </row>
    <row r="4" spans="1:11" ht="6.6" customHeight="1" x14ac:dyDescent="0.25">
      <c r="A4" s="83"/>
      <c r="B4" s="83"/>
      <c r="C4" s="83"/>
      <c r="D4" s="83"/>
      <c r="E4" s="83"/>
      <c r="F4" s="83"/>
      <c r="G4" s="83"/>
      <c r="H4" s="83"/>
      <c r="I4" s="83"/>
      <c r="J4" s="83"/>
      <c r="K4" s="83"/>
    </row>
    <row r="5" spans="1:11" ht="15.75" x14ac:dyDescent="0.25">
      <c r="A5" s="616" t="str">
        <f>'Adopted Resolution'!A5:G5</f>
        <v>FISCAL YEAR: January 1, 2025 to December 31, 2025</v>
      </c>
      <c r="B5" s="616"/>
      <c r="C5" s="616"/>
      <c r="D5" s="616"/>
      <c r="E5" s="616"/>
      <c r="F5" s="616"/>
      <c r="G5" s="616"/>
      <c r="H5" s="616"/>
      <c r="I5" s="616"/>
      <c r="J5" s="616"/>
      <c r="K5" s="616"/>
    </row>
    <row r="6" spans="1:11" ht="6.6" customHeight="1" x14ac:dyDescent="0.25">
      <c r="A6" s="89"/>
      <c r="B6" s="89"/>
      <c r="C6" s="89"/>
      <c r="D6" s="89"/>
      <c r="E6" s="89"/>
      <c r="F6" s="89"/>
      <c r="G6" s="89"/>
      <c r="H6" s="89"/>
      <c r="I6" s="89"/>
      <c r="J6" s="89"/>
      <c r="K6" s="89"/>
    </row>
    <row r="7" spans="1:11" ht="15" customHeight="1" x14ac:dyDescent="0.25">
      <c r="A7" s="681" t="s">
        <v>714</v>
      </c>
      <c r="B7" s="681"/>
      <c r="C7" s="681"/>
      <c r="D7" s="681"/>
      <c r="E7" s="681"/>
      <c r="F7" s="681"/>
      <c r="G7" s="681"/>
      <c r="H7" s="681"/>
      <c r="I7" s="681"/>
      <c r="J7" s="681"/>
      <c r="K7" s="681"/>
    </row>
    <row r="8" spans="1:11" ht="6.75" customHeight="1" x14ac:dyDescent="0.25">
      <c r="A8" s="190"/>
    </row>
    <row r="9" spans="1:11" ht="14.1" customHeight="1" x14ac:dyDescent="0.25">
      <c r="A9" s="88" t="s">
        <v>432</v>
      </c>
      <c r="I9" s="263" t="str">
        <f>'KEY INPUTS'!B5</f>
        <v>November</v>
      </c>
    </row>
    <row r="10" spans="1:11" ht="14.1" customHeight="1" x14ac:dyDescent="0.25">
      <c r="A10" s="191" t="s">
        <v>431</v>
      </c>
      <c r="B10" s="191"/>
      <c r="C10" s="191"/>
      <c r="D10" s="191"/>
      <c r="E10" s="191"/>
      <c r="F10" s="191"/>
      <c r="G10" s="191"/>
      <c r="H10" s="191"/>
      <c r="I10" s="433" t="s">
        <v>1022</v>
      </c>
      <c r="J10" s="191"/>
      <c r="K10" s="191"/>
    </row>
    <row r="11" spans="1:11" ht="6.75" customHeight="1" x14ac:dyDescent="0.25"/>
    <row r="12" spans="1:11" ht="14.1" customHeight="1" thickBot="1" x14ac:dyDescent="0.3">
      <c r="A12" s="71" t="str">
        <f>"2. Complete a brief statement on the "&amp;'KEY INPUTS'!B1&amp;" proposed Annual Budget and make comparison to the "&amp;'KEY INPUTS'!B1-1&amp;" adopted budget."</f>
        <v>2. Complete a brief statement on the 2025 proposed Annual Budget and make comparison to the 2024 adopted budget.</v>
      </c>
    </row>
    <row r="13" spans="1:11" ht="14.1" customHeight="1" x14ac:dyDescent="0.25">
      <c r="A13" s="682" t="s">
        <v>1073</v>
      </c>
      <c r="B13" s="683"/>
      <c r="C13" s="683"/>
      <c r="D13" s="683"/>
      <c r="E13" s="683"/>
      <c r="F13" s="683"/>
      <c r="G13" s="683"/>
      <c r="H13" s="683"/>
      <c r="I13" s="683"/>
      <c r="J13" s="683"/>
      <c r="K13" s="684"/>
    </row>
    <row r="14" spans="1:11" ht="14.1" customHeight="1" x14ac:dyDescent="0.25">
      <c r="A14" s="685"/>
      <c r="B14" s="686"/>
      <c r="C14" s="686"/>
      <c r="D14" s="686"/>
      <c r="E14" s="686"/>
      <c r="F14" s="686"/>
      <c r="G14" s="686"/>
      <c r="H14" s="686"/>
      <c r="I14" s="686"/>
      <c r="J14" s="686"/>
      <c r="K14" s="687"/>
    </row>
    <row r="15" spans="1:11" ht="14.1" customHeight="1" x14ac:dyDescent="0.25">
      <c r="A15" s="685"/>
      <c r="B15" s="686"/>
      <c r="C15" s="686"/>
      <c r="D15" s="686"/>
      <c r="E15" s="686"/>
      <c r="F15" s="686"/>
      <c r="G15" s="686"/>
      <c r="H15" s="686"/>
      <c r="I15" s="686"/>
      <c r="J15" s="686"/>
      <c r="K15" s="687"/>
    </row>
    <row r="16" spans="1:11" ht="14.1" customHeight="1" x14ac:dyDescent="0.25">
      <c r="A16" s="685"/>
      <c r="B16" s="686"/>
      <c r="C16" s="686"/>
      <c r="D16" s="686"/>
      <c r="E16" s="686"/>
      <c r="F16" s="686"/>
      <c r="G16" s="686"/>
      <c r="H16" s="686"/>
      <c r="I16" s="686"/>
      <c r="J16" s="686"/>
      <c r="K16" s="687"/>
    </row>
    <row r="17" spans="1:11" ht="14.1" customHeight="1" x14ac:dyDescent="0.25">
      <c r="A17" s="685"/>
      <c r="B17" s="686"/>
      <c r="C17" s="686"/>
      <c r="D17" s="686"/>
      <c r="E17" s="686"/>
      <c r="F17" s="686"/>
      <c r="G17" s="686"/>
      <c r="H17" s="686"/>
      <c r="I17" s="686"/>
      <c r="J17" s="686"/>
      <c r="K17" s="687"/>
    </row>
    <row r="18" spans="1:11" ht="14.1" customHeight="1" x14ac:dyDescent="0.25">
      <c r="A18" s="685"/>
      <c r="B18" s="686"/>
      <c r="C18" s="686"/>
      <c r="D18" s="686"/>
      <c r="E18" s="686"/>
      <c r="F18" s="686"/>
      <c r="G18" s="686"/>
      <c r="H18" s="686"/>
      <c r="I18" s="686"/>
      <c r="J18" s="686"/>
      <c r="K18" s="687"/>
    </row>
    <row r="19" spans="1:11" ht="14.1" customHeight="1" x14ac:dyDescent="0.25">
      <c r="A19" s="685"/>
      <c r="B19" s="686"/>
      <c r="C19" s="686"/>
      <c r="D19" s="686"/>
      <c r="E19" s="686"/>
      <c r="F19" s="686"/>
      <c r="G19" s="686"/>
      <c r="H19" s="686"/>
      <c r="I19" s="686"/>
      <c r="J19" s="686"/>
      <c r="K19" s="687"/>
    </row>
    <row r="20" spans="1:11" ht="14.1" customHeight="1" x14ac:dyDescent="0.25">
      <c r="A20" s="685"/>
      <c r="B20" s="686"/>
      <c r="C20" s="686"/>
      <c r="D20" s="686"/>
      <c r="E20" s="686"/>
      <c r="F20" s="686"/>
      <c r="G20" s="686"/>
      <c r="H20" s="686"/>
      <c r="I20" s="686"/>
      <c r="J20" s="686"/>
      <c r="K20" s="687"/>
    </row>
    <row r="21" spans="1:11" ht="14.1" customHeight="1" x14ac:dyDescent="0.25">
      <c r="A21" s="685"/>
      <c r="B21" s="686"/>
      <c r="C21" s="686"/>
      <c r="D21" s="686"/>
      <c r="E21" s="686"/>
      <c r="F21" s="686"/>
      <c r="G21" s="686"/>
      <c r="H21" s="686"/>
      <c r="I21" s="686"/>
      <c r="J21" s="686"/>
      <c r="K21" s="687"/>
    </row>
    <row r="22" spans="1:11" ht="14.1" customHeight="1" x14ac:dyDescent="0.25">
      <c r="A22" s="685"/>
      <c r="B22" s="686"/>
      <c r="C22" s="686"/>
      <c r="D22" s="686"/>
      <c r="E22" s="686"/>
      <c r="F22" s="686"/>
      <c r="G22" s="686"/>
      <c r="H22" s="686"/>
      <c r="I22" s="686"/>
      <c r="J22" s="686"/>
      <c r="K22" s="687"/>
    </row>
    <row r="23" spans="1:11" ht="14.1" customHeight="1" x14ac:dyDescent="0.25">
      <c r="A23" s="685"/>
      <c r="B23" s="686"/>
      <c r="C23" s="686"/>
      <c r="D23" s="686"/>
      <c r="E23" s="686"/>
      <c r="F23" s="686"/>
      <c r="G23" s="686"/>
      <c r="H23" s="686"/>
      <c r="I23" s="686"/>
      <c r="J23" s="686"/>
      <c r="K23" s="687"/>
    </row>
    <row r="24" spans="1:11" ht="14.1" customHeight="1" thickBot="1" x14ac:dyDescent="0.3">
      <c r="A24" s="688"/>
      <c r="B24" s="689"/>
      <c r="C24" s="689"/>
      <c r="D24" s="689"/>
      <c r="E24" s="689"/>
      <c r="F24" s="689"/>
      <c r="G24" s="689"/>
      <c r="H24" s="689"/>
      <c r="I24" s="689"/>
      <c r="J24" s="689"/>
      <c r="K24" s="690"/>
    </row>
    <row r="25" spans="1:11" ht="14.1" customHeight="1" x14ac:dyDescent="0.25">
      <c r="A25" s="515"/>
      <c r="B25" s="515"/>
      <c r="C25" s="515"/>
      <c r="D25" s="515"/>
      <c r="E25" s="515"/>
      <c r="F25" s="515"/>
      <c r="G25" s="515"/>
      <c r="H25" s="515"/>
      <c r="I25" s="515"/>
      <c r="J25" s="515"/>
      <c r="K25" s="515"/>
    </row>
    <row r="26" spans="1:11" ht="14.1" customHeight="1" x14ac:dyDescent="0.25">
      <c r="A26" s="88" t="s">
        <v>783</v>
      </c>
    </row>
    <row r="27" spans="1:11" ht="14.1" customHeight="1" thickBot="1" x14ac:dyDescent="0.3">
      <c r="A27" s="71" t="s">
        <v>430</v>
      </c>
    </row>
    <row r="28" spans="1:11" ht="14.1" customHeight="1" x14ac:dyDescent="0.25">
      <c r="A28" s="682" t="s">
        <v>1072</v>
      </c>
      <c r="B28" s="683"/>
      <c r="C28" s="683"/>
      <c r="D28" s="683"/>
      <c r="E28" s="683"/>
      <c r="F28" s="683"/>
      <c r="G28" s="683"/>
      <c r="H28" s="683"/>
      <c r="I28" s="683"/>
      <c r="J28" s="683"/>
      <c r="K28" s="684"/>
    </row>
    <row r="29" spans="1:11" ht="14.1" customHeight="1" x14ac:dyDescent="0.25">
      <c r="A29" s="685"/>
      <c r="B29" s="686"/>
      <c r="C29" s="686"/>
      <c r="D29" s="686"/>
      <c r="E29" s="686"/>
      <c r="F29" s="686"/>
      <c r="G29" s="686"/>
      <c r="H29" s="686"/>
      <c r="I29" s="686"/>
      <c r="J29" s="686"/>
      <c r="K29" s="687"/>
    </row>
    <row r="30" spans="1:11" ht="14.1" customHeight="1" x14ac:dyDescent="0.25">
      <c r="A30" s="685"/>
      <c r="B30" s="686"/>
      <c r="C30" s="686"/>
      <c r="D30" s="686"/>
      <c r="E30" s="686"/>
      <c r="F30" s="686"/>
      <c r="G30" s="686"/>
      <c r="H30" s="686"/>
      <c r="I30" s="686"/>
      <c r="J30" s="686"/>
      <c r="K30" s="687"/>
    </row>
    <row r="31" spans="1:11" ht="14.1" customHeight="1" x14ac:dyDescent="0.25">
      <c r="A31" s="685"/>
      <c r="B31" s="686"/>
      <c r="C31" s="686"/>
      <c r="D31" s="686"/>
      <c r="E31" s="686"/>
      <c r="F31" s="686"/>
      <c r="G31" s="686"/>
      <c r="H31" s="686"/>
      <c r="I31" s="686"/>
      <c r="J31" s="686"/>
      <c r="K31" s="687"/>
    </row>
    <row r="32" spans="1:11" ht="14.1" customHeight="1" x14ac:dyDescent="0.25">
      <c r="A32" s="685"/>
      <c r="B32" s="686"/>
      <c r="C32" s="686"/>
      <c r="D32" s="686"/>
      <c r="E32" s="686"/>
      <c r="F32" s="686"/>
      <c r="G32" s="686"/>
      <c r="H32" s="686"/>
      <c r="I32" s="686"/>
      <c r="J32" s="686"/>
      <c r="K32" s="687"/>
    </row>
    <row r="33" spans="1:11" ht="14.1" customHeight="1" x14ac:dyDescent="0.25">
      <c r="A33" s="685"/>
      <c r="B33" s="686"/>
      <c r="C33" s="686"/>
      <c r="D33" s="686"/>
      <c r="E33" s="686"/>
      <c r="F33" s="686"/>
      <c r="G33" s="686"/>
      <c r="H33" s="686"/>
      <c r="I33" s="686"/>
      <c r="J33" s="686"/>
      <c r="K33" s="687"/>
    </row>
    <row r="34" spans="1:11" ht="14.1" customHeight="1" x14ac:dyDescent="0.25">
      <c r="A34" s="685"/>
      <c r="B34" s="686"/>
      <c r="C34" s="686"/>
      <c r="D34" s="686"/>
      <c r="E34" s="686"/>
      <c r="F34" s="686"/>
      <c r="G34" s="686"/>
      <c r="H34" s="686"/>
      <c r="I34" s="686"/>
      <c r="J34" s="686"/>
      <c r="K34" s="687"/>
    </row>
    <row r="35" spans="1:11" ht="14.1" customHeight="1" x14ac:dyDescent="0.25">
      <c r="A35" s="685"/>
      <c r="B35" s="686"/>
      <c r="C35" s="686"/>
      <c r="D35" s="686"/>
      <c r="E35" s="686"/>
      <c r="F35" s="686"/>
      <c r="G35" s="686"/>
      <c r="H35" s="686"/>
      <c r="I35" s="686"/>
      <c r="J35" s="686"/>
      <c r="K35" s="687"/>
    </row>
    <row r="36" spans="1:11" ht="14.1" customHeight="1" x14ac:dyDescent="0.25">
      <c r="A36" s="685"/>
      <c r="B36" s="686"/>
      <c r="C36" s="686"/>
      <c r="D36" s="686"/>
      <c r="E36" s="686"/>
      <c r="F36" s="686"/>
      <c r="G36" s="686"/>
      <c r="H36" s="686"/>
      <c r="I36" s="686"/>
      <c r="J36" s="686"/>
      <c r="K36" s="687"/>
    </row>
    <row r="37" spans="1:11" ht="14.1" customHeight="1" x14ac:dyDescent="0.25">
      <c r="A37" s="685"/>
      <c r="B37" s="686"/>
      <c r="C37" s="686"/>
      <c r="D37" s="686"/>
      <c r="E37" s="686"/>
      <c r="F37" s="686"/>
      <c r="G37" s="686"/>
      <c r="H37" s="686"/>
      <c r="I37" s="686"/>
      <c r="J37" s="686"/>
      <c r="K37" s="687"/>
    </row>
    <row r="38" spans="1:11" ht="14.1" customHeight="1" x14ac:dyDescent="0.25">
      <c r="A38" s="685"/>
      <c r="B38" s="686"/>
      <c r="C38" s="686"/>
      <c r="D38" s="686"/>
      <c r="E38" s="686"/>
      <c r="F38" s="686"/>
      <c r="G38" s="686"/>
      <c r="H38" s="686"/>
      <c r="I38" s="686"/>
      <c r="J38" s="686"/>
      <c r="K38" s="687"/>
    </row>
    <row r="39" spans="1:11" ht="14.1" customHeight="1" x14ac:dyDescent="0.25">
      <c r="A39" s="685"/>
      <c r="B39" s="686"/>
      <c r="C39" s="686"/>
      <c r="D39" s="686"/>
      <c r="E39" s="686"/>
      <c r="F39" s="686"/>
      <c r="G39" s="686"/>
      <c r="H39" s="686"/>
      <c r="I39" s="686"/>
      <c r="J39" s="686"/>
      <c r="K39" s="687"/>
    </row>
    <row r="40" spans="1:11" ht="14.1" customHeight="1" x14ac:dyDescent="0.25">
      <c r="A40" s="685"/>
      <c r="B40" s="686"/>
      <c r="C40" s="686"/>
      <c r="D40" s="686"/>
      <c r="E40" s="686"/>
      <c r="F40" s="686"/>
      <c r="G40" s="686"/>
      <c r="H40" s="686"/>
      <c r="I40" s="686"/>
      <c r="J40" s="686"/>
      <c r="K40" s="687"/>
    </row>
    <row r="41" spans="1:11" ht="14.1" customHeight="1" x14ac:dyDescent="0.25">
      <c r="A41" s="685"/>
      <c r="B41" s="686"/>
      <c r="C41" s="686"/>
      <c r="D41" s="686"/>
      <c r="E41" s="686"/>
      <c r="F41" s="686"/>
      <c r="G41" s="686"/>
      <c r="H41" s="686"/>
      <c r="I41" s="686"/>
      <c r="J41" s="686"/>
      <c r="K41" s="687"/>
    </row>
    <row r="42" spans="1:11" ht="14.1" customHeight="1" x14ac:dyDescent="0.25">
      <c r="A42" s="685"/>
      <c r="B42" s="686"/>
      <c r="C42" s="686"/>
      <c r="D42" s="686"/>
      <c r="E42" s="686"/>
      <c r="F42" s="686"/>
      <c r="G42" s="686"/>
      <c r="H42" s="686"/>
      <c r="I42" s="686"/>
      <c r="J42" s="686"/>
      <c r="K42" s="687"/>
    </row>
    <row r="43" spans="1:11" ht="14.1" customHeight="1" x14ac:dyDescent="0.25">
      <c r="A43" s="685"/>
      <c r="B43" s="686"/>
      <c r="C43" s="686"/>
      <c r="D43" s="686"/>
      <c r="E43" s="686"/>
      <c r="F43" s="686"/>
      <c r="G43" s="686"/>
      <c r="H43" s="686"/>
      <c r="I43" s="686"/>
      <c r="J43" s="686"/>
      <c r="K43" s="687"/>
    </row>
    <row r="44" spans="1:11" ht="14.1" customHeight="1" x14ac:dyDescent="0.25">
      <c r="A44" s="685"/>
      <c r="B44" s="686"/>
      <c r="C44" s="686"/>
      <c r="D44" s="686"/>
      <c r="E44" s="686"/>
      <c r="F44" s="686"/>
      <c r="G44" s="686"/>
      <c r="H44" s="686"/>
      <c r="I44" s="686"/>
      <c r="J44" s="686"/>
      <c r="K44" s="687"/>
    </row>
    <row r="45" spans="1:11" ht="14.1" customHeight="1" x14ac:dyDescent="0.25">
      <c r="A45" s="685"/>
      <c r="B45" s="686"/>
      <c r="C45" s="686"/>
      <c r="D45" s="686"/>
      <c r="E45" s="686"/>
      <c r="F45" s="686"/>
      <c r="G45" s="686"/>
      <c r="H45" s="686"/>
      <c r="I45" s="686"/>
      <c r="J45" s="686"/>
      <c r="K45" s="687"/>
    </row>
    <row r="46" spans="1:11" ht="14.1" customHeight="1" x14ac:dyDescent="0.25">
      <c r="A46" s="685"/>
      <c r="B46" s="686"/>
      <c r="C46" s="686"/>
      <c r="D46" s="686"/>
      <c r="E46" s="686"/>
      <c r="F46" s="686"/>
      <c r="G46" s="686"/>
      <c r="H46" s="686"/>
      <c r="I46" s="686"/>
      <c r="J46" s="686"/>
      <c r="K46" s="687"/>
    </row>
    <row r="47" spans="1:11" ht="14.1" customHeight="1" x14ac:dyDescent="0.25">
      <c r="A47" s="685"/>
      <c r="B47" s="686"/>
      <c r="C47" s="686"/>
      <c r="D47" s="686"/>
      <c r="E47" s="686"/>
      <c r="F47" s="686"/>
      <c r="G47" s="686"/>
      <c r="H47" s="686"/>
      <c r="I47" s="686"/>
      <c r="J47" s="686"/>
      <c r="K47" s="687"/>
    </row>
    <row r="48" spans="1:11" ht="14.1" customHeight="1" x14ac:dyDescent="0.25">
      <c r="A48" s="685"/>
      <c r="B48" s="686"/>
      <c r="C48" s="686"/>
      <c r="D48" s="686"/>
      <c r="E48" s="686"/>
      <c r="F48" s="686"/>
      <c r="G48" s="686"/>
      <c r="H48" s="686"/>
      <c r="I48" s="686"/>
      <c r="J48" s="686"/>
      <c r="K48" s="687"/>
    </row>
    <row r="49" spans="1:11" ht="14.1" customHeight="1" thickBot="1" x14ac:dyDescent="0.3">
      <c r="A49" s="688"/>
      <c r="B49" s="689"/>
      <c r="C49" s="689"/>
      <c r="D49" s="689"/>
      <c r="E49" s="689"/>
      <c r="F49" s="689"/>
      <c r="G49" s="689"/>
      <c r="H49" s="689"/>
      <c r="I49" s="689"/>
      <c r="J49" s="689"/>
      <c r="K49" s="690"/>
    </row>
    <row r="50" spans="1:11" ht="14.1" customHeight="1" x14ac:dyDescent="0.25"/>
    <row r="51" spans="1:11" ht="14.1" customHeight="1" x14ac:dyDescent="0.25">
      <c r="A51" s="622" t="s">
        <v>405</v>
      </c>
      <c r="B51" s="622"/>
      <c r="C51" s="622"/>
      <c r="D51" s="622"/>
      <c r="E51" s="622"/>
      <c r="F51" s="622"/>
      <c r="G51" s="622"/>
      <c r="H51" s="622"/>
      <c r="I51" s="622"/>
      <c r="J51" s="622"/>
      <c r="K51" s="622"/>
    </row>
    <row r="52" spans="1:11" ht="14.1" customHeight="1" x14ac:dyDescent="0.25"/>
    <row r="53" spans="1:11" ht="14.1" customHeight="1" x14ac:dyDescent="0.25"/>
    <row r="54" spans="1:11" ht="14.1" customHeight="1" x14ac:dyDescent="0.25">
      <c r="A54" s="88"/>
    </row>
    <row r="55" spans="1:11" ht="14.1" customHeight="1" x14ac:dyDescent="0.25"/>
    <row r="56" spans="1:11" ht="14.1" customHeight="1" x14ac:dyDescent="0.25"/>
    <row r="57" spans="1:11" ht="14.1" customHeight="1" x14ac:dyDescent="0.25">
      <c r="A57" s="88"/>
    </row>
    <row r="58" spans="1:11" ht="14.1" customHeight="1" x14ac:dyDescent="0.25">
      <c r="A58" s="127"/>
    </row>
    <row r="59" spans="1:11" ht="14.1" customHeight="1" x14ac:dyDescent="0.25">
      <c r="A59" s="127"/>
    </row>
    <row r="60" spans="1:11" ht="14.1" customHeight="1" x14ac:dyDescent="0.25">
      <c r="A60" s="650"/>
      <c r="B60" s="650"/>
      <c r="C60" s="650"/>
      <c r="D60" s="650"/>
      <c r="E60" s="650"/>
      <c r="F60" s="650"/>
      <c r="G60" s="650"/>
      <c r="H60" s="650"/>
      <c r="I60" s="650"/>
      <c r="J60" s="650"/>
      <c r="K60" s="650"/>
    </row>
    <row r="61" spans="1:11" ht="14.1" customHeight="1" x14ac:dyDescent="0.25">
      <c r="A61" s="650"/>
      <c r="B61" s="650"/>
      <c r="C61" s="650"/>
      <c r="D61" s="650"/>
      <c r="E61" s="650"/>
      <c r="F61" s="650"/>
      <c r="G61" s="650"/>
      <c r="H61" s="650"/>
      <c r="I61" s="650"/>
      <c r="J61" s="650"/>
      <c r="K61" s="650"/>
    </row>
    <row r="62" spans="1:11" ht="14.1" customHeight="1" x14ac:dyDescent="0.25"/>
    <row r="63" spans="1:11" ht="12" customHeight="1" x14ac:dyDescent="0.25">
      <c r="A63" s="678"/>
      <c r="B63" s="678"/>
      <c r="C63" s="678"/>
      <c r="D63" s="678"/>
      <c r="E63" s="678"/>
      <c r="F63" s="678"/>
      <c r="G63" s="679"/>
      <c r="H63" s="679"/>
      <c r="I63" s="679"/>
    </row>
    <row r="64" spans="1:11" ht="12" customHeight="1" x14ac:dyDescent="0.25">
      <c r="A64" s="678"/>
      <c r="B64" s="678"/>
      <c r="C64" s="678"/>
      <c r="D64" s="678"/>
      <c r="E64" s="678"/>
      <c r="F64" s="678"/>
      <c r="G64" s="680"/>
      <c r="H64" s="680"/>
      <c r="I64" s="680"/>
    </row>
    <row r="65" spans="1:11" ht="12" customHeight="1" x14ac:dyDescent="0.25">
      <c r="A65" s="192"/>
      <c r="B65" s="192"/>
      <c r="C65" s="192"/>
      <c r="D65" s="192"/>
      <c r="E65" s="192"/>
      <c r="F65" s="192"/>
      <c r="G65" s="192"/>
      <c r="H65" s="192"/>
      <c r="I65" s="192"/>
    </row>
    <row r="66" spans="1:11" ht="14.1" customHeight="1" x14ac:dyDescent="0.25">
      <c r="A66" s="88"/>
    </row>
    <row r="67" spans="1:11" ht="14.1" customHeight="1" x14ac:dyDescent="0.25"/>
    <row r="68" spans="1:11" ht="12" customHeight="1" x14ac:dyDescent="0.25">
      <c r="A68" s="192"/>
      <c r="B68" s="193"/>
      <c r="C68" s="678"/>
      <c r="D68" s="678"/>
      <c r="E68" s="193"/>
      <c r="F68" s="678"/>
      <c r="G68" s="678"/>
      <c r="H68" s="679"/>
      <c r="I68" s="679"/>
      <c r="J68" s="679"/>
    </row>
    <row r="69" spans="1:11" ht="12" customHeight="1" x14ac:dyDescent="0.25">
      <c r="A69" s="192"/>
      <c r="B69" s="181"/>
      <c r="C69" s="192"/>
      <c r="D69" s="192"/>
      <c r="E69" s="181"/>
      <c r="F69" s="192"/>
      <c r="G69" s="192"/>
      <c r="H69" s="192"/>
      <c r="I69" s="192"/>
      <c r="J69" s="192"/>
    </row>
    <row r="70" spans="1:11" ht="14.1" customHeight="1" x14ac:dyDescent="0.25">
      <c r="A70" s="88"/>
    </row>
    <row r="71" spans="1:11" ht="14.1" customHeight="1" x14ac:dyDescent="0.25">
      <c r="A71" s="88"/>
    </row>
    <row r="72" spans="1:11" ht="12" customHeight="1" x14ac:dyDescent="0.25">
      <c r="A72" s="192"/>
      <c r="B72" s="193"/>
      <c r="C72" s="678"/>
      <c r="D72" s="678"/>
      <c r="E72" s="193"/>
    </row>
    <row r="73" spans="1:11" ht="14.1" customHeight="1" x14ac:dyDescent="0.25">
      <c r="A73" s="592"/>
      <c r="B73" s="592"/>
      <c r="C73" s="592"/>
      <c r="D73" s="592"/>
      <c r="E73" s="592"/>
      <c r="F73" s="592"/>
      <c r="G73" s="592"/>
      <c r="H73" s="592"/>
      <c r="I73" s="592"/>
      <c r="J73" s="592"/>
      <c r="K73" s="592"/>
    </row>
  </sheetData>
  <sheetProtection algorithmName="SHA-512" hashValue="PykaYgHeXj2VMpbDrvgJo+R29FTNHoIuaDrX08aW/V6CgcceOmnCN22EohTIaXlkjoxN1QGkVfawq6ZXgFjK5A==" saltValue="bB8dC2dzxr3uCBYZMiRvig==" spinCount="100000" sheet="1" objects="1" scenarios="1"/>
  <mergeCells count="18">
    <mergeCell ref="A63:F63"/>
    <mergeCell ref="G63:I63"/>
    <mergeCell ref="A64:F64"/>
    <mergeCell ref="G64:I64"/>
    <mergeCell ref="A1:K1"/>
    <mergeCell ref="A3:K3"/>
    <mergeCell ref="A2:K2"/>
    <mergeCell ref="A5:K5"/>
    <mergeCell ref="A60:K61"/>
    <mergeCell ref="A51:K51"/>
    <mergeCell ref="A7:K7"/>
    <mergeCell ref="A13:K24"/>
    <mergeCell ref="A28:K49"/>
    <mergeCell ref="A73:K73"/>
    <mergeCell ref="C68:D68"/>
    <mergeCell ref="F68:G68"/>
    <mergeCell ref="H68:J68"/>
    <mergeCell ref="C72:D72"/>
  </mergeCells>
  <dataValidations count="1">
    <dataValidation type="list" allowBlank="1" showInputMessage="1" showErrorMessage="1" sqref="I10 K59" xr:uid="{A047C8DB-1614-4306-A85A-EA6364F85A9E}">
      <formula1>"Yes,No"</formula1>
    </dataValidation>
  </dataValidations>
  <printOptions horizontalCentered="1"/>
  <pageMargins left="0.25" right="0.25" top="0.75" bottom="0.75" header="0.3" footer="0.3"/>
  <pageSetup orientation="portrait" r:id="rId1"/>
  <headerFooter>
    <oddFooter xml:space="preserve">&amp;C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547D-1F14-496A-B78E-D7CA3BA7F51B}">
  <sheetPr codeName="Sheet16">
    <tabColor rgb="FFFFFF00"/>
  </sheetPr>
  <dimension ref="A1:K62"/>
  <sheetViews>
    <sheetView showZeros="0" view="pageLayout" topLeftCell="A29" zoomScaleNormal="100" workbookViewId="0">
      <selection activeCell="A42" sqref="A42:K50"/>
    </sheetView>
  </sheetViews>
  <sheetFormatPr defaultColWidth="9.140625" defaultRowHeight="12.75" x14ac:dyDescent="0.25"/>
  <cols>
    <col min="1" max="2" width="7" style="71" customWidth="1"/>
    <col min="3" max="3" width="6.140625" style="71" customWidth="1"/>
    <col min="4" max="4" width="0.7109375" style="71" customWidth="1"/>
    <col min="5" max="5" width="6.85546875" style="71" customWidth="1"/>
    <col min="6" max="6" width="21.85546875" style="71" customWidth="1"/>
    <col min="7" max="7" width="10.28515625" style="71" customWidth="1"/>
    <col min="8" max="8" width="2.28515625" style="71" customWidth="1"/>
    <col min="9" max="9" width="16" style="71" customWidth="1"/>
    <col min="10" max="10" width="2.42578125" style="71" customWidth="1"/>
    <col min="11" max="11" width="17.42578125" style="71" customWidth="1"/>
    <col min="12" max="12" width="16" style="71" customWidth="1"/>
    <col min="13" max="16384" width="9.140625" style="71"/>
  </cols>
  <sheetData>
    <row r="1" spans="1:11" ht="24.95" customHeight="1" x14ac:dyDescent="0.25">
      <c r="A1" s="591" t="str">
        <f>""&amp;'KEY INPUTS'!B1&amp;" FIRE DISTRICT BUDGET MESSAGE &amp; ANALYSIS"</f>
        <v>2025 FIRE DISTRICT BUDGET MESSAGE &amp; ANALYSIS</v>
      </c>
      <c r="B1" s="591"/>
      <c r="C1" s="591"/>
      <c r="D1" s="591"/>
      <c r="E1" s="591"/>
      <c r="F1" s="591"/>
      <c r="G1" s="591"/>
      <c r="H1" s="591"/>
      <c r="I1" s="591"/>
      <c r="J1" s="591"/>
      <c r="K1" s="591"/>
    </row>
    <row r="2" spans="1:11" ht="11.25" customHeight="1" x14ac:dyDescent="0.25">
      <c r="A2" s="593"/>
      <c r="B2" s="593"/>
      <c r="C2" s="593"/>
      <c r="D2" s="593"/>
      <c r="E2" s="593"/>
      <c r="F2" s="593"/>
      <c r="G2" s="593"/>
      <c r="H2" s="593"/>
      <c r="I2" s="593"/>
      <c r="J2" s="593"/>
      <c r="K2" s="593"/>
    </row>
    <row r="3" spans="1:11" ht="20.100000000000001" customHeight="1" x14ac:dyDescent="0.25">
      <c r="A3" s="601" t="str">
        <f>'Adopted Resolution'!A3:G3</f>
        <v>Weymouth Township FD No. 1</v>
      </c>
      <c r="B3" s="601"/>
      <c r="C3" s="601"/>
      <c r="D3" s="601"/>
      <c r="E3" s="601"/>
      <c r="F3" s="601"/>
      <c r="G3" s="601"/>
      <c r="H3" s="601"/>
      <c r="I3" s="601"/>
      <c r="J3" s="601"/>
      <c r="K3" s="601"/>
    </row>
    <row r="4" spans="1:11" ht="6.6" customHeight="1" x14ac:dyDescent="0.25">
      <c r="A4" s="83"/>
      <c r="B4" s="83"/>
      <c r="C4" s="83"/>
      <c r="D4" s="83"/>
      <c r="E4" s="83"/>
      <c r="F4" s="83"/>
      <c r="G4" s="83"/>
      <c r="H4" s="83"/>
      <c r="I4" s="83"/>
      <c r="J4" s="83"/>
      <c r="K4" s="83"/>
    </row>
    <row r="5" spans="1:11" ht="15.75" x14ac:dyDescent="0.25">
      <c r="A5" s="616" t="str">
        <f>'Adopted Resolution'!A5:G5</f>
        <v>FISCAL YEAR: January 1, 2025 to December 31, 2025</v>
      </c>
      <c r="B5" s="616"/>
      <c r="C5" s="616"/>
      <c r="D5" s="616"/>
      <c r="E5" s="616"/>
      <c r="F5" s="616"/>
      <c r="G5" s="616"/>
      <c r="H5" s="616"/>
      <c r="I5" s="616"/>
      <c r="J5" s="616"/>
      <c r="K5" s="616"/>
    </row>
    <row r="6" spans="1:11" ht="6.6" customHeight="1" x14ac:dyDescent="0.25">
      <c r="A6" s="89"/>
      <c r="B6" s="89"/>
      <c r="C6" s="89"/>
      <c r="D6" s="89"/>
      <c r="E6" s="89"/>
      <c r="F6" s="89"/>
      <c r="G6" s="89"/>
      <c r="H6" s="89"/>
      <c r="I6" s="89"/>
      <c r="J6" s="89"/>
      <c r="K6" s="89"/>
    </row>
    <row r="7" spans="1:11" ht="15" customHeight="1" x14ac:dyDescent="0.25">
      <c r="A7" s="681" t="s">
        <v>714</v>
      </c>
      <c r="B7" s="681"/>
      <c r="C7" s="681"/>
      <c r="D7" s="681"/>
      <c r="E7" s="681"/>
      <c r="F7" s="681"/>
      <c r="G7" s="681"/>
      <c r="H7" s="681"/>
      <c r="I7" s="681"/>
      <c r="J7" s="681"/>
      <c r="K7" s="681"/>
    </row>
    <row r="8" spans="1:11" ht="6.6" customHeight="1" x14ac:dyDescent="0.25">
      <c r="A8" s="190"/>
      <c r="B8" s="190"/>
      <c r="C8" s="190"/>
      <c r="D8" s="190"/>
      <c r="E8" s="190"/>
      <c r="F8" s="190"/>
      <c r="G8" s="190"/>
      <c r="H8" s="190"/>
      <c r="I8" s="190"/>
      <c r="J8" s="190"/>
      <c r="K8" s="190"/>
    </row>
    <row r="9" spans="1:11" x14ac:dyDescent="0.25">
      <c r="A9" s="88" t="s">
        <v>429</v>
      </c>
    </row>
    <row r="10" spans="1:11" x14ac:dyDescent="0.25">
      <c r="A10" s="127" t="s">
        <v>428</v>
      </c>
    </row>
    <row r="11" spans="1:11" ht="13.5" thickBot="1" x14ac:dyDescent="0.3">
      <c r="A11" s="71" t="s">
        <v>427</v>
      </c>
    </row>
    <row r="12" spans="1:11" x14ac:dyDescent="0.25">
      <c r="A12" s="682" t="s">
        <v>1074</v>
      </c>
      <c r="B12" s="683"/>
      <c r="C12" s="683"/>
      <c r="D12" s="683"/>
      <c r="E12" s="683"/>
      <c r="F12" s="683"/>
      <c r="G12" s="683"/>
      <c r="H12" s="683"/>
      <c r="I12" s="683"/>
      <c r="J12" s="683"/>
      <c r="K12" s="684"/>
    </row>
    <row r="13" spans="1:11" x14ac:dyDescent="0.25">
      <c r="A13" s="685"/>
      <c r="B13" s="686"/>
      <c r="C13" s="686"/>
      <c r="D13" s="686"/>
      <c r="E13" s="686"/>
      <c r="F13" s="686"/>
      <c r="G13" s="686"/>
      <c r="H13" s="686"/>
      <c r="I13" s="686"/>
      <c r="J13" s="686"/>
      <c r="K13" s="687"/>
    </row>
    <row r="14" spans="1:11" x14ac:dyDescent="0.25">
      <c r="A14" s="685"/>
      <c r="B14" s="686"/>
      <c r="C14" s="686"/>
      <c r="D14" s="686"/>
      <c r="E14" s="686"/>
      <c r="F14" s="686"/>
      <c r="G14" s="686"/>
      <c r="H14" s="686"/>
      <c r="I14" s="686"/>
      <c r="J14" s="686"/>
      <c r="K14" s="687"/>
    </row>
    <row r="15" spans="1:11" x14ac:dyDescent="0.25">
      <c r="A15" s="685"/>
      <c r="B15" s="686"/>
      <c r="C15" s="686"/>
      <c r="D15" s="686"/>
      <c r="E15" s="686"/>
      <c r="F15" s="686"/>
      <c r="G15" s="686"/>
      <c r="H15" s="686"/>
      <c r="I15" s="686"/>
      <c r="J15" s="686"/>
      <c r="K15" s="687"/>
    </row>
    <row r="16" spans="1:11" x14ac:dyDescent="0.25">
      <c r="A16" s="685"/>
      <c r="B16" s="686"/>
      <c r="C16" s="686"/>
      <c r="D16" s="686"/>
      <c r="E16" s="686"/>
      <c r="F16" s="686"/>
      <c r="G16" s="686"/>
      <c r="H16" s="686"/>
      <c r="I16" s="686"/>
      <c r="J16" s="686"/>
      <c r="K16" s="687"/>
    </row>
    <row r="17" spans="1:11" x14ac:dyDescent="0.25">
      <c r="A17" s="685"/>
      <c r="B17" s="686"/>
      <c r="C17" s="686"/>
      <c r="D17" s="686"/>
      <c r="E17" s="686"/>
      <c r="F17" s="686"/>
      <c r="G17" s="686"/>
      <c r="H17" s="686"/>
      <c r="I17" s="686"/>
      <c r="J17" s="686"/>
      <c r="K17" s="687"/>
    </row>
    <row r="18" spans="1:11" x14ac:dyDescent="0.25">
      <c r="A18" s="685"/>
      <c r="B18" s="686"/>
      <c r="C18" s="686"/>
      <c r="D18" s="686"/>
      <c r="E18" s="686"/>
      <c r="F18" s="686"/>
      <c r="G18" s="686"/>
      <c r="H18" s="686"/>
      <c r="I18" s="686"/>
      <c r="J18" s="686"/>
      <c r="K18" s="687"/>
    </row>
    <row r="19" spans="1:11" x14ac:dyDescent="0.25">
      <c r="A19" s="685"/>
      <c r="B19" s="686"/>
      <c r="C19" s="686"/>
      <c r="D19" s="686"/>
      <c r="E19" s="686"/>
      <c r="F19" s="686"/>
      <c r="G19" s="686"/>
      <c r="H19" s="686"/>
      <c r="I19" s="686"/>
      <c r="J19" s="686"/>
      <c r="K19" s="687"/>
    </row>
    <row r="20" spans="1:11" x14ac:dyDescent="0.25">
      <c r="A20" s="685"/>
      <c r="B20" s="686"/>
      <c r="C20" s="686"/>
      <c r="D20" s="686"/>
      <c r="E20" s="686"/>
      <c r="F20" s="686"/>
      <c r="G20" s="686"/>
      <c r="H20" s="686"/>
      <c r="I20" s="686"/>
      <c r="J20" s="686"/>
      <c r="K20" s="687"/>
    </row>
    <row r="21" spans="1:11" x14ac:dyDescent="0.25">
      <c r="A21" s="685"/>
      <c r="B21" s="686"/>
      <c r="C21" s="686"/>
      <c r="D21" s="686"/>
      <c r="E21" s="686"/>
      <c r="F21" s="686"/>
      <c r="G21" s="686"/>
      <c r="H21" s="686"/>
      <c r="I21" s="686"/>
      <c r="J21" s="686"/>
      <c r="K21" s="687"/>
    </row>
    <row r="22" spans="1:11" x14ac:dyDescent="0.25">
      <c r="A22" s="685"/>
      <c r="B22" s="686"/>
      <c r="C22" s="686"/>
      <c r="D22" s="686"/>
      <c r="E22" s="686"/>
      <c r="F22" s="686"/>
      <c r="G22" s="686"/>
      <c r="H22" s="686"/>
      <c r="I22" s="686"/>
      <c r="J22" s="686"/>
      <c r="K22" s="687"/>
    </row>
    <row r="23" spans="1:11" ht="13.5" thickBot="1" x14ac:dyDescent="0.3">
      <c r="A23" s="688"/>
      <c r="B23" s="689"/>
      <c r="C23" s="689"/>
      <c r="D23" s="689"/>
      <c r="E23" s="689"/>
      <c r="F23" s="689"/>
      <c r="G23" s="689"/>
      <c r="H23" s="689"/>
      <c r="I23" s="689"/>
      <c r="J23" s="689"/>
      <c r="K23" s="690"/>
    </row>
    <row r="24" spans="1:11" ht="14.1" customHeight="1" x14ac:dyDescent="0.25">
      <c r="A24" s="190"/>
      <c r="B24" s="190"/>
      <c r="C24" s="190"/>
      <c r="D24" s="190"/>
      <c r="E24" s="190"/>
      <c r="F24" s="190"/>
      <c r="G24" s="190"/>
      <c r="H24" s="190"/>
      <c r="I24" s="190"/>
      <c r="J24" s="190"/>
      <c r="K24" s="190"/>
    </row>
    <row r="25" spans="1:11" ht="14.1" customHeight="1" x14ac:dyDescent="0.25">
      <c r="A25" s="88" t="s">
        <v>426</v>
      </c>
    </row>
    <row r="26" spans="1:11" ht="14.1" customHeight="1" x14ac:dyDescent="0.25">
      <c r="A26" s="127" t="s">
        <v>425</v>
      </c>
    </row>
    <row r="27" spans="1:11" ht="15" customHeight="1" thickBot="1" x14ac:dyDescent="0.3">
      <c r="A27" s="71" t="s">
        <v>424</v>
      </c>
    </row>
    <row r="28" spans="1:11" ht="14.1" customHeight="1" x14ac:dyDescent="0.25">
      <c r="A28" s="682" t="s">
        <v>1037</v>
      </c>
      <c r="B28" s="683"/>
      <c r="C28" s="683"/>
      <c r="D28" s="683"/>
      <c r="E28" s="683"/>
      <c r="F28" s="683"/>
      <c r="G28" s="683"/>
      <c r="H28" s="683"/>
      <c r="I28" s="683"/>
      <c r="J28" s="683"/>
      <c r="K28" s="684"/>
    </row>
    <row r="29" spans="1:11" ht="14.1" customHeight="1" x14ac:dyDescent="0.25">
      <c r="A29" s="685"/>
      <c r="B29" s="686"/>
      <c r="C29" s="686"/>
      <c r="D29" s="686"/>
      <c r="E29" s="686"/>
      <c r="F29" s="686"/>
      <c r="G29" s="686"/>
      <c r="H29" s="686"/>
      <c r="I29" s="686"/>
      <c r="J29" s="686"/>
      <c r="K29" s="687"/>
    </row>
    <row r="30" spans="1:11" ht="14.1" customHeight="1" thickBot="1" x14ac:dyDescent="0.3">
      <c r="A30" s="688"/>
      <c r="B30" s="689"/>
      <c r="C30" s="689"/>
      <c r="D30" s="689"/>
      <c r="E30" s="689"/>
      <c r="F30" s="689"/>
      <c r="G30" s="689"/>
      <c r="H30" s="689"/>
      <c r="I30" s="689"/>
      <c r="J30" s="689"/>
      <c r="K30" s="690"/>
    </row>
    <row r="31" spans="1:11" ht="14.1" customHeight="1" x14ac:dyDescent="0.25">
      <c r="A31" s="515"/>
      <c r="B31" s="515"/>
      <c r="C31" s="515"/>
      <c r="D31" s="515"/>
      <c r="E31" s="515"/>
      <c r="F31" s="515"/>
      <c r="G31" s="515"/>
      <c r="H31" s="515"/>
      <c r="I31" s="515"/>
      <c r="J31" s="515"/>
      <c r="K31" s="515"/>
    </row>
    <row r="32" spans="1:11" ht="14.1" customHeight="1" x14ac:dyDescent="0.25">
      <c r="A32" s="88" t="str">
        <f>"6.  If the Fire District plans to pass a Resolution for the Release of Restricted Fund Balance to be used in the "&amp;'KEY INPUTS'!B1&amp;" proposed"</f>
        <v>6.  If the Fire District plans to pass a Resolution for the Release of Restricted Fund Balance to be used in the 2025 proposed</v>
      </c>
    </row>
    <row r="33" spans="1:11" ht="15.75" customHeight="1" thickBot="1" x14ac:dyDescent="0.3">
      <c r="A33" s="71" t="s">
        <v>423</v>
      </c>
    </row>
    <row r="34" spans="1:11" ht="14.1" customHeight="1" x14ac:dyDescent="0.25">
      <c r="A34" s="682" t="s">
        <v>1020</v>
      </c>
      <c r="B34" s="683"/>
      <c r="C34" s="683"/>
      <c r="D34" s="683"/>
      <c r="E34" s="683"/>
      <c r="F34" s="683"/>
      <c r="G34" s="683"/>
      <c r="H34" s="683"/>
      <c r="I34" s="683"/>
      <c r="J34" s="683"/>
      <c r="K34" s="684"/>
    </row>
    <row r="35" spans="1:11" ht="14.1" customHeight="1" x14ac:dyDescent="0.25">
      <c r="A35" s="685"/>
      <c r="B35" s="686"/>
      <c r="C35" s="686"/>
      <c r="D35" s="686"/>
      <c r="E35" s="686"/>
      <c r="F35" s="686"/>
      <c r="G35" s="686"/>
      <c r="H35" s="686"/>
      <c r="I35" s="686"/>
      <c r="J35" s="686"/>
      <c r="K35" s="687"/>
    </row>
    <row r="36" spans="1:11" ht="14.1" customHeight="1" x14ac:dyDescent="0.25">
      <c r="A36" s="685"/>
      <c r="B36" s="686"/>
      <c r="C36" s="686"/>
      <c r="D36" s="686"/>
      <c r="E36" s="686"/>
      <c r="F36" s="686"/>
      <c r="G36" s="686"/>
      <c r="H36" s="686"/>
      <c r="I36" s="686"/>
      <c r="J36" s="686"/>
      <c r="K36" s="687"/>
    </row>
    <row r="37" spans="1:11" ht="14.1" customHeight="1" x14ac:dyDescent="0.25">
      <c r="A37" s="685"/>
      <c r="B37" s="686"/>
      <c r="C37" s="686"/>
      <c r="D37" s="686"/>
      <c r="E37" s="686"/>
      <c r="F37" s="686"/>
      <c r="G37" s="686"/>
      <c r="H37" s="686"/>
      <c r="I37" s="686"/>
      <c r="J37" s="686"/>
      <c r="K37" s="687"/>
    </row>
    <row r="38" spans="1:11" ht="14.1" customHeight="1" thickBot="1" x14ac:dyDescent="0.3">
      <c r="A38" s="688"/>
      <c r="B38" s="689"/>
      <c r="C38" s="689"/>
      <c r="D38" s="689"/>
      <c r="E38" s="689"/>
      <c r="F38" s="689"/>
      <c r="G38" s="689"/>
      <c r="H38" s="689"/>
      <c r="I38" s="689"/>
      <c r="J38" s="689"/>
      <c r="K38" s="690"/>
    </row>
    <row r="39" spans="1:11" ht="14.1" customHeight="1" x14ac:dyDescent="0.25">
      <c r="A39" s="515"/>
      <c r="B39" s="515"/>
      <c r="C39" s="515"/>
      <c r="D39" s="515"/>
      <c r="E39" s="515"/>
      <c r="F39" s="515"/>
      <c r="G39" s="515"/>
      <c r="H39" s="515"/>
      <c r="I39" s="515"/>
      <c r="J39" s="515"/>
      <c r="K39" s="515"/>
    </row>
    <row r="40" spans="1:11" ht="14.1" customHeight="1" x14ac:dyDescent="0.25">
      <c r="A40" s="88" t="s">
        <v>422</v>
      </c>
    </row>
    <row r="41" spans="1:11" ht="15.75" customHeight="1" thickBot="1" x14ac:dyDescent="0.3">
      <c r="A41" s="71" t="s">
        <v>421</v>
      </c>
    </row>
    <row r="42" spans="1:11" ht="14.1" customHeight="1" x14ac:dyDescent="0.25">
      <c r="A42" s="682" t="s">
        <v>1066</v>
      </c>
      <c r="B42" s="683"/>
      <c r="C42" s="683"/>
      <c r="D42" s="683"/>
      <c r="E42" s="683"/>
      <c r="F42" s="683"/>
      <c r="G42" s="683"/>
      <c r="H42" s="683"/>
      <c r="I42" s="683"/>
      <c r="J42" s="683"/>
      <c r="K42" s="684"/>
    </row>
    <row r="43" spans="1:11" ht="2.25" customHeight="1" x14ac:dyDescent="0.25">
      <c r="A43" s="685"/>
      <c r="B43" s="686"/>
      <c r="C43" s="686"/>
      <c r="D43" s="686"/>
      <c r="E43" s="686"/>
      <c r="F43" s="686"/>
      <c r="G43" s="686"/>
      <c r="H43" s="686"/>
      <c r="I43" s="686"/>
      <c r="J43" s="686"/>
      <c r="K43" s="687"/>
    </row>
    <row r="44" spans="1:11" ht="14.1" customHeight="1" x14ac:dyDescent="0.25">
      <c r="A44" s="685"/>
      <c r="B44" s="686"/>
      <c r="C44" s="686"/>
      <c r="D44" s="686"/>
      <c r="E44" s="686"/>
      <c r="F44" s="686"/>
      <c r="G44" s="686"/>
      <c r="H44" s="686"/>
      <c r="I44" s="686"/>
      <c r="J44" s="686"/>
      <c r="K44" s="687"/>
    </row>
    <row r="45" spans="1:11" ht="14.1" customHeight="1" x14ac:dyDescent="0.25">
      <c r="A45" s="685"/>
      <c r="B45" s="686"/>
      <c r="C45" s="686"/>
      <c r="D45" s="686"/>
      <c r="E45" s="686"/>
      <c r="F45" s="686"/>
      <c r="G45" s="686"/>
      <c r="H45" s="686"/>
      <c r="I45" s="686"/>
      <c r="J45" s="686"/>
      <c r="K45" s="687"/>
    </row>
    <row r="46" spans="1:11" ht="14.1" customHeight="1" x14ac:dyDescent="0.25">
      <c r="A46" s="685"/>
      <c r="B46" s="686"/>
      <c r="C46" s="686"/>
      <c r="D46" s="686"/>
      <c r="E46" s="686"/>
      <c r="F46" s="686"/>
      <c r="G46" s="686"/>
      <c r="H46" s="686"/>
      <c r="I46" s="686"/>
      <c r="J46" s="686"/>
      <c r="K46" s="687"/>
    </row>
    <row r="47" spans="1:11" ht="14.1" customHeight="1" x14ac:dyDescent="0.25">
      <c r="A47" s="685"/>
      <c r="B47" s="686"/>
      <c r="C47" s="686"/>
      <c r="D47" s="686"/>
      <c r="E47" s="686"/>
      <c r="F47" s="686"/>
      <c r="G47" s="686"/>
      <c r="H47" s="686"/>
      <c r="I47" s="686"/>
      <c r="J47" s="686"/>
      <c r="K47" s="687"/>
    </row>
    <row r="48" spans="1:11" ht="14.1" customHeight="1" x14ac:dyDescent="0.25">
      <c r="A48" s="685"/>
      <c r="B48" s="686"/>
      <c r="C48" s="686"/>
      <c r="D48" s="686"/>
      <c r="E48" s="686"/>
      <c r="F48" s="686"/>
      <c r="G48" s="686"/>
      <c r="H48" s="686"/>
      <c r="I48" s="686"/>
      <c r="J48" s="686"/>
      <c r="K48" s="687"/>
    </row>
    <row r="49" spans="1:11" ht="14.1" customHeight="1" x14ac:dyDescent="0.25">
      <c r="A49" s="685"/>
      <c r="B49" s="686"/>
      <c r="C49" s="686"/>
      <c r="D49" s="686"/>
      <c r="E49" s="686"/>
      <c r="F49" s="686"/>
      <c r="G49" s="686"/>
      <c r="H49" s="686"/>
      <c r="I49" s="686"/>
      <c r="J49" s="686"/>
      <c r="K49" s="687"/>
    </row>
    <row r="50" spans="1:11" ht="14.1" customHeight="1" thickBot="1" x14ac:dyDescent="0.3">
      <c r="A50" s="688"/>
      <c r="B50" s="689"/>
      <c r="C50" s="689"/>
      <c r="D50" s="689"/>
      <c r="E50" s="689"/>
      <c r="F50" s="689"/>
      <c r="G50" s="689"/>
      <c r="H50" s="689"/>
      <c r="I50" s="689"/>
      <c r="J50" s="689"/>
      <c r="K50" s="690"/>
    </row>
    <row r="51" spans="1:11" ht="14.1" customHeight="1" x14ac:dyDescent="0.25"/>
    <row r="52" spans="1:11" ht="14.1" customHeight="1" x14ac:dyDescent="0.25">
      <c r="A52" s="593" t="s">
        <v>899</v>
      </c>
      <c r="B52" s="592"/>
      <c r="C52" s="592"/>
      <c r="D52" s="592"/>
      <c r="E52" s="592"/>
      <c r="F52" s="592"/>
      <c r="G52" s="592"/>
      <c r="H52" s="592"/>
      <c r="I52" s="592"/>
      <c r="J52" s="592"/>
      <c r="K52" s="592"/>
    </row>
    <row r="55" spans="1:11" ht="14.1" customHeight="1" x14ac:dyDescent="0.25"/>
    <row r="56" spans="1:11" ht="14.1" customHeight="1" x14ac:dyDescent="0.25"/>
    <row r="57" spans="1:11" ht="14.1" customHeight="1" x14ac:dyDescent="0.25"/>
    <row r="58" spans="1:11" ht="14.1" customHeight="1" x14ac:dyDescent="0.25"/>
    <row r="59" spans="1:11" ht="14.1" customHeight="1" x14ac:dyDescent="0.25"/>
    <row r="60" spans="1:11" ht="14.1" customHeight="1" x14ac:dyDescent="0.25"/>
    <row r="61" spans="1:11" ht="14.1" customHeight="1" x14ac:dyDescent="0.25"/>
    <row r="62" spans="1:11" ht="14.1" customHeight="1" x14ac:dyDescent="0.25"/>
  </sheetData>
  <sheetProtection algorithmName="SHA-512" hashValue="/FxNfoAArfK3LEsGPDBQUgJObE+w0RiY3TmVnaO/fxnqCn0cAeqsqwQu07ZIQxX9tfOgAKRaAY9UL7Z2o4iKhg==" saltValue="yJQYtJlRhFzXpFfbcC3TEQ==" spinCount="100000" sheet="1" objects="1" scenarios="1"/>
  <mergeCells count="10">
    <mergeCell ref="A52:K52"/>
    <mergeCell ref="A7:K7"/>
    <mergeCell ref="A1:K1"/>
    <mergeCell ref="A2:K2"/>
    <mergeCell ref="A3:K3"/>
    <mergeCell ref="A5:K5"/>
    <mergeCell ref="A28:K30"/>
    <mergeCell ref="A34:K38"/>
    <mergeCell ref="A42:K50"/>
    <mergeCell ref="A12:K23"/>
  </mergeCells>
  <printOptions horizontalCentered="1"/>
  <pageMargins left="0.25" right="0.25" top="0.75" bottom="0.75" header="0.3" footer="0.3"/>
  <pageSetup orientation="portrait" r:id="rId1"/>
  <headerFooter>
    <oddFooter xml:space="preserve">&amp;C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BBE92-FDB5-4208-AFE8-3D80BEB41D99}">
  <sheetPr codeName="Sheet17">
    <tabColor rgb="FFFFFF00"/>
  </sheetPr>
  <dimension ref="A1:K68"/>
  <sheetViews>
    <sheetView showZeros="0" view="pageLayout" topLeftCell="A11" zoomScaleNormal="100" workbookViewId="0">
      <selection activeCell="G30" sqref="G30:I30"/>
    </sheetView>
  </sheetViews>
  <sheetFormatPr defaultColWidth="9.140625" defaultRowHeight="12.75" x14ac:dyDescent="0.25"/>
  <cols>
    <col min="1" max="2" width="7" style="71" customWidth="1"/>
    <col min="3" max="3" width="6.140625" style="71" customWidth="1"/>
    <col min="4" max="4" width="0.7109375" style="71" customWidth="1"/>
    <col min="5" max="5" width="6.85546875" style="71" customWidth="1"/>
    <col min="6" max="6" width="21.85546875" style="71" customWidth="1"/>
    <col min="7" max="7" width="10.28515625" style="71" customWidth="1"/>
    <col min="8" max="8" width="2.28515625" style="71" customWidth="1"/>
    <col min="9" max="9" width="16" style="71" customWidth="1"/>
    <col min="10" max="10" width="2.42578125" style="71" customWidth="1"/>
    <col min="11" max="11" width="17.42578125" style="71" customWidth="1"/>
    <col min="12" max="12" width="16" style="71" customWidth="1"/>
    <col min="13" max="16384" width="9.140625" style="71"/>
  </cols>
  <sheetData>
    <row r="1" spans="1:11" ht="24.95" customHeight="1" x14ac:dyDescent="0.25">
      <c r="A1" s="591" t="str">
        <f>""&amp;'KEY INPUTS'!B1&amp;" FIRE DISTRICT BUDGET MESSAGE &amp; ANALYSIS"</f>
        <v>2025 FIRE DISTRICT BUDGET MESSAGE &amp; ANALYSIS</v>
      </c>
      <c r="B1" s="591"/>
      <c r="C1" s="591"/>
      <c r="D1" s="591"/>
      <c r="E1" s="591"/>
      <c r="F1" s="591"/>
      <c r="G1" s="591"/>
      <c r="H1" s="591"/>
      <c r="I1" s="591"/>
      <c r="J1" s="591"/>
      <c r="K1" s="591"/>
    </row>
    <row r="2" spans="1:11" ht="15.75" customHeight="1" x14ac:dyDescent="0.25">
      <c r="A2" s="593"/>
      <c r="B2" s="593"/>
      <c r="C2" s="593"/>
      <c r="D2" s="593"/>
      <c r="E2" s="593"/>
      <c r="F2" s="593"/>
      <c r="G2" s="593"/>
      <c r="H2" s="593"/>
      <c r="I2" s="593"/>
      <c r="J2" s="593"/>
      <c r="K2" s="593"/>
    </row>
    <row r="3" spans="1:11" ht="20.100000000000001" customHeight="1" x14ac:dyDescent="0.25">
      <c r="A3" s="601" t="str">
        <f>'Adopted Resolution'!A3:G3</f>
        <v>Weymouth Township FD No. 1</v>
      </c>
      <c r="B3" s="601"/>
      <c r="C3" s="601"/>
      <c r="D3" s="601"/>
      <c r="E3" s="601"/>
      <c r="F3" s="601"/>
      <c r="G3" s="601"/>
      <c r="H3" s="601"/>
      <c r="I3" s="601"/>
      <c r="J3" s="601"/>
      <c r="K3" s="601"/>
    </row>
    <row r="4" spans="1:11" ht="6.6" customHeight="1" x14ac:dyDescent="0.25">
      <c r="A4" s="83"/>
      <c r="B4" s="83"/>
      <c r="C4" s="83"/>
      <c r="D4" s="83"/>
      <c r="E4" s="83"/>
      <c r="F4" s="83"/>
      <c r="G4" s="83"/>
      <c r="H4" s="83"/>
      <c r="I4" s="83"/>
      <c r="J4" s="83"/>
      <c r="K4" s="83"/>
    </row>
    <row r="5" spans="1:11" ht="15.75" x14ac:dyDescent="0.25">
      <c r="A5" s="616" t="str">
        <f>'Adopted Resolution'!A5:G5</f>
        <v>FISCAL YEAR: January 1, 2025 to December 31, 2025</v>
      </c>
      <c r="B5" s="616"/>
      <c r="C5" s="616"/>
      <c r="D5" s="616"/>
      <c r="E5" s="616"/>
      <c r="F5" s="616"/>
      <c r="G5" s="616"/>
      <c r="H5" s="616"/>
      <c r="I5" s="616"/>
      <c r="J5" s="616"/>
      <c r="K5" s="616"/>
    </row>
    <row r="6" spans="1:11" ht="6.6" customHeight="1" x14ac:dyDescent="0.25">
      <c r="A6" s="89"/>
      <c r="B6" s="89"/>
      <c r="C6" s="89"/>
      <c r="D6" s="89"/>
      <c r="E6" s="89"/>
      <c r="F6" s="89"/>
      <c r="G6" s="89"/>
      <c r="H6" s="89"/>
      <c r="I6" s="89"/>
      <c r="J6" s="89"/>
      <c r="K6" s="89"/>
    </row>
    <row r="7" spans="1:11" ht="15" x14ac:dyDescent="0.25">
      <c r="A7" s="691" t="s">
        <v>714</v>
      </c>
      <c r="B7" s="691"/>
      <c r="C7" s="691"/>
      <c r="D7" s="691"/>
      <c r="E7" s="691"/>
      <c r="F7" s="691"/>
      <c r="G7" s="691"/>
      <c r="H7" s="691"/>
      <c r="I7" s="691"/>
      <c r="J7" s="691"/>
      <c r="K7" s="691"/>
    </row>
    <row r="8" spans="1:11" ht="6" customHeight="1" x14ac:dyDescent="0.25">
      <c r="A8" s="190"/>
      <c r="B8" s="190"/>
      <c r="C8" s="190"/>
      <c r="D8" s="190"/>
      <c r="E8" s="190"/>
      <c r="F8" s="190"/>
      <c r="G8" s="190"/>
      <c r="H8" s="190"/>
      <c r="I8" s="190"/>
      <c r="J8" s="190"/>
      <c r="K8" s="190"/>
    </row>
    <row r="9" spans="1:11" x14ac:dyDescent="0.25">
      <c r="A9" s="88" t="s">
        <v>420</v>
      </c>
    </row>
    <row r="10" spans="1:11" ht="13.5" thickBot="1" x14ac:dyDescent="0.3">
      <c r="A10" s="71" t="s">
        <v>419</v>
      </c>
    </row>
    <row r="11" spans="1:11" x14ac:dyDescent="0.25">
      <c r="A11" s="682" t="s">
        <v>1020</v>
      </c>
      <c r="B11" s="683"/>
      <c r="C11" s="683"/>
      <c r="D11" s="683"/>
      <c r="E11" s="683"/>
      <c r="F11" s="683"/>
      <c r="G11" s="683"/>
      <c r="H11" s="683"/>
      <c r="I11" s="683"/>
      <c r="J11" s="683"/>
      <c r="K11" s="684"/>
    </row>
    <row r="12" spans="1:11" x14ac:dyDescent="0.25">
      <c r="A12" s="685"/>
      <c r="B12" s="686"/>
      <c r="C12" s="686"/>
      <c r="D12" s="686"/>
      <c r="E12" s="686"/>
      <c r="F12" s="686"/>
      <c r="G12" s="686"/>
      <c r="H12" s="686"/>
      <c r="I12" s="686"/>
      <c r="J12" s="686"/>
      <c r="K12" s="687"/>
    </row>
    <row r="13" spans="1:11" x14ac:dyDescent="0.25">
      <c r="A13" s="685"/>
      <c r="B13" s="686"/>
      <c r="C13" s="686"/>
      <c r="D13" s="686"/>
      <c r="E13" s="686"/>
      <c r="F13" s="686"/>
      <c r="G13" s="686"/>
      <c r="H13" s="686"/>
      <c r="I13" s="686"/>
      <c r="J13" s="686"/>
      <c r="K13" s="687"/>
    </row>
    <row r="14" spans="1:11" x14ac:dyDescent="0.25">
      <c r="A14" s="685"/>
      <c r="B14" s="686"/>
      <c r="C14" s="686"/>
      <c r="D14" s="686"/>
      <c r="E14" s="686"/>
      <c r="F14" s="686"/>
      <c r="G14" s="686"/>
      <c r="H14" s="686"/>
      <c r="I14" s="686"/>
      <c r="J14" s="686"/>
      <c r="K14" s="687"/>
    </row>
    <row r="15" spans="1:11" ht="13.5" thickBot="1" x14ac:dyDescent="0.3">
      <c r="A15" s="688"/>
      <c r="B15" s="689"/>
      <c r="C15" s="689"/>
      <c r="D15" s="689"/>
      <c r="E15" s="689"/>
      <c r="F15" s="689"/>
      <c r="G15" s="689"/>
      <c r="H15" s="689"/>
      <c r="I15" s="689"/>
      <c r="J15" s="689"/>
      <c r="K15" s="690"/>
    </row>
    <row r="16" spans="1:11" ht="15" x14ac:dyDescent="0.25">
      <c r="A16" s="190"/>
    </row>
    <row r="17" spans="1:11" x14ac:dyDescent="0.25">
      <c r="A17" s="88" t="s">
        <v>418</v>
      </c>
    </row>
    <row r="18" spans="1:11" ht="16.5" customHeight="1" thickBot="1" x14ac:dyDescent="0.3">
      <c r="A18" s="127" t="s">
        <v>417</v>
      </c>
    </row>
    <row r="19" spans="1:11" ht="13.5" thickBot="1" x14ac:dyDescent="0.3">
      <c r="A19" s="127" t="s">
        <v>416</v>
      </c>
      <c r="K19" s="196" t="s">
        <v>1022</v>
      </c>
    </row>
    <row r="20" spans="1:11" ht="13.5" thickBot="1" x14ac:dyDescent="0.3">
      <c r="A20" s="127"/>
      <c r="K20" s="194"/>
    </row>
    <row r="21" spans="1:11" ht="14.1" customHeight="1" x14ac:dyDescent="0.25">
      <c r="A21" s="682" t="s">
        <v>1070</v>
      </c>
      <c r="B21" s="698"/>
      <c r="C21" s="698"/>
      <c r="D21" s="698"/>
      <c r="E21" s="698"/>
      <c r="F21" s="698"/>
      <c r="G21" s="698"/>
      <c r="H21" s="698"/>
      <c r="I21" s="698"/>
      <c r="J21" s="698"/>
      <c r="K21" s="699"/>
    </row>
    <row r="22" spans="1:11" ht="14.1" customHeight="1" x14ac:dyDescent="0.25">
      <c r="A22" s="700"/>
      <c r="B22" s="701"/>
      <c r="C22" s="701"/>
      <c r="D22" s="701"/>
      <c r="E22" s="701"/>
      <c r="F22" s="701"/>
      <c r="G22" s="701"/>
      <c r="H22" s="701"/>
      <c r="I22" s="701"/>
      <c r="J22" s="701"/>
      <c r="K22" s="702"/>
    </row>
    <row r="23" spans="1:11" ht="14.1" customHeight="1" x14ac:dyDescent="0.25">
      <c r="A23" s="700"/>
      <c r="B23" s="701"/>
      <c r="C23" s="701"/>
      <c r="D23" s="701"/>
      <c r="E23" s="701"/>
      <c r="F23" s="701"/>
      <c r="G23" s="701"/>
      <c r="H23" s="701"/>
      <c r="I23" s="701"/>
      <c r="J23" s="701"/>
      <c r="K23" s="702"/>
    </row>
    <row r="24" spans="1:11" ht="14.1" customHeight="1" x14ac:dyDescent="0.25">
      <c r="A24" s="700"/>
      <c r="B24" s="701"/>
      <c r="C24" s="701"/>
      <c r="D24" s="701"/>
      <c r="E24" s="701"/>
      <c r="F24" s="701"/>
      <c r="G24" s="701"/>
      <c r="H24" s="701"/>
      <c r="I24" s="701"/>
      <c r="J24" s="701"/>
      <c r="K24" s="702"/>
    </row>
    <row r="25" spans="1:11" ht="14.1" customHeight="1" x14ac:dyDescent="0.25">
      <c r="A25" s="700"/>
      <c r="B25" s="701"/>
      <c r="C25" s="701"/>
      <c r="D25" s="701"/>
      <c r="E25" s="701"/>
      <c r="F25" s="701"/>
      <c r="G25" s="701"/>
      <c r="H25" s="701"/>
      <c r="I25" s="701"/>
      <c r="J25" s="701"/>
      <c r="K25" s="702"/>
    </row>
    <row r="26" spans="1:11" ht="14.1" customHeight="1" thickBot="1" x14ac:dyDescent="0.3">
      <c r="A26" s="703"/>
      <c r="B26" s="704"/>
      <c r="C26" s="704"/>
      <c r="D26" s="704"/>
      <c r="E26" s="704"/>
      <c r="F26" s="704"/>
      <c r="G26" s="704"/>
      <c r="H26" s="704"/>
      <c r="I26" s="704"/>
      <c r="J26" s="704"/>
      <c r="K26" s="705"/>
    </row>
    <row r="27" spans="1:11" ht="14.1" customHeight="1" x14ac:dyDescent="0.25">
      <c r="A27" s="127"/>
      <c r="B27" s="127"/>
      <c r="C27" s="127"/>
      <c r="D27" s="127"/>
      <c r="E27" s="127"/>
      <c r="F27" s="127"/>
      <c r="G27" s="127"/>
      <c r="H27" s="127"/>
      <c r="I27" s="127"/>
      <c r="J27" s="127"/>
      <c r="K27" s="127"/>
    </row>
    <row r="28" spans="1:11" ht="14.1" customHeight="1" x14ac:dyDescent="0.25">
      <c r="A28" s="71" t="s">
        <v>415</v>
      </c>
    </row>
    <row r="29" spans="1:11" ht="14.1" customHeight="1" x14ac:dyDescent="0.25">
      <c r="A29" s="692" t="s">
        <v>414</v>
      </c>
      <c r="B29" s="693"/>
      <c r="C29" s="693"/>
      <c r="D29" s="693"/>
      <c r="E29" s="693"/>
      <c r="F29" s="694"/>
      <c r="G29" s="695">
        <v>165582900</v>
      </c>
      <c r="H29" s="696"/>
      <c r="I29" s="697"/>
    </row>
    <row r="30" spans="1:11" ht="14.1" customHeight="1" x14ac:dyDescent="0.25">
      <c r="A30" s="692" t="s">
        <v>413</v>
      </c>
      <c r="B30" s="693"/>
      <c r="C30" s="693"/>
      <c r="D30" s="693"/>
      <c r="E30" s="693"/>
      <c r="F30" s="694"/>
      <c r="G30" s="706">
        <v>8.1000000000000003E-2</v>
      </c>
      <c r="H30" s="707"/>
      <c r="I30" s="708"/>
    </row>
    <row r="31" spans="1:11" ht="14.1" customHeight="1" x14ac:dyDescent="0.25">
      <c r="A31" s="192"/>
      <c r="B31" s="192"/>
      <c r="C31" s="192"/>
      <c r="D31" s="192"/>
      <c r="E31" s="192"/>
      <c r="F31" s="192"/>
      <c r="G31" s="192"/>
      <c r="H31" s="192"/>
      <c r="I31" s="192"/>
    </row>
    <row r="32" spans="1:11" ht="14.1" customHeight="1" x14ac:dyDescent="0.25">
      <c r="A32" s="88" t="s">
        <v>412</v>
      </c>
    </row>
    <row r="33" spans="1:11" ht="14.25" customHeight="1" x14ac:dyDescent="0.25">
      <c r="A33" s="71" t="s">
        <v>411</v>
      </c>
    </row>
    <row r="34" spans="1:11" ht="14.1" customHeight="1" x14ac:dyDescent="0.25">
      <c r="A34" s="195" t="s">
        <v>407</v>
      </c>
      <c r="B34" s="197" t="s">
        <v>756</v>
      </c>
      <c r="C34" s="450" t="s">
        <v>406</v>
      </c>
      <c r="D34" s="449"/>
      <c r="E34" s="197"/>
      <c r="F34" s="692" t="s">
        <v>410</v>
      </c>
      <c r="G34" s="694"/>
      <c r="H34" s="695"/>
      <c r="I34" s="696"/>
      <c r="J34" s="697"/>
    </row>
    <row r="35" spans="1:11" ht="14.1" customHeight="1" x14ac:dyDescent="0.25">
      <c r="A35" s="192"/>
      <c r="B35" s="181"/>
      <c r="C35" s="192"/>
      <c r="D35" s="192"/>
      <c r="E35" s="181"/>
      <c r="F35" s="192"/>
      <c r="G35" s="192"/>
      <c r="H35" s="192"/>
      <c r="I35" s="192"/>
      <c r="J35" s="192"/>
    </row>
    <row r="36" spans="1:11" ht="14.1" customHeight="1" x14ac:dyDescent="0.25">
      <c r="A36" s="88" t="s">
        <v>409</v>
      </c>
    </row>
    <row r="37" spans="1:11" ht="14.1" customHeight="1" x14ac:dyDescent="0.25">
      <c r="A37" s="88" t="s">
        <v>408</v>
      </c>
    </row>
    <row r="38" spans="1:11" ht="14.1" customHeight="1" x14ac:dyDescent="0.25">
      <c r="A38" s="195" t="s">
        <v>407</v>
      </c>
      <c r="B38" s="197"/>
      <c r="C38" s="450" t="s">
        <v>406</v>
      </c>
      <c r="D38" s="451"/>
      <c r="E38" s="197"/>
    </row>
    <row r="39" spans="1:11" ht="14.1" customHeight="1" x14ac:dyDescent="0.25">
      <c r="A39" s="593"/>
      <c r="B39" s="592"/>
      <c r="C39" s="592"/>
      <c r="D39" s="592"/>
      <c r="E39" s="592"/>
      <c r="F39" s="592"/>
      <c r="G39" s="592"/>
      <c r="H39" s="592"/>
      <c r="I39" s="592"/>
      <c r="J39" s="592"/>
      <c r="K39" s="592"/>
    </row>
    <row r="40" spans="1:11" ht="14.1" customHeight="1" x14ac:dyDescent="0.25">
      <c r="A40" s="87"/>
      <c r="B40" s="516"/>
      <c r="C40" s="516"/>
      <c r="D40" s="516"/>
      <c r="E40" s="516"/>
      <c r="F40" s="516"/>
      <c r="G40" s="516"/>
      <c r="H40" s="516"/>
      <c r="I40" s="516"/>
      <c r="J40" s="516"/>
      <c r="K40" s="516"/>
    </row>
    <row r="41" spans="1:11" ht="14.1" customHeight="1" x14ac:dyDescent="0.25">
      <c r="A41" s="87"/>
      <c r="B41" s="516"/>
      <c r="C41" s="516"/>
      <c r="D41" s="516"/>
      <c r="E41" s="516"/>
      <c r="F41" s="516"/>
      <c r="G41" s="516"/>
      <c r="H41" s="516"/>
      <c r="I41" s="516"/>
      <c r="J41" s="516"/>
      <c r="K41" s="516"/>
    </row>
    <row r="42" spans="1:11" ht="14.1" customHeight="1" x14ac:dyDescent="0.25">
      <c r="A42" s="87"/>
      <c r="B42" s="516"/>
      <c r="C42" s="516"/>
      <c r="D42" s="516"/>
      <c r="E42" s="516"/>
      <c r="F42" s="516"/>
      <c r="G42" s="516"/>
      <c r="H42" s="516"/>
      <c r="I42" s="516"/>
      <c r="J42" s="516"/>
      <c r="K42" s="516"/>
    </row>
    <row r="43" spans="1:11" ht="14.1" customHeight="1" x14ac:dyDescent="0.25">
      <c r="A43" s="87"/>
      <c r="B43" s="516"/>
      <c r="C43" s="516"/>
      <c r="D43" s="516"/>
      <c r="E43" s="516"/>
      <c r="F43" s="516"/>
      <c r="G43" s="516"/>
      <c r="H43" s="516"/>
      <c r="I43" s="516"/>
      <c r="J43" s="516"/>
      <c r="K43" s="516"/>
    </row>
    <row r="44" spans="1:11" ht="14.1" customHeight="1" x14ac:dyDescent="0.25">
      <c r="A44" s="87"/>
      <c r="B44" s="516"/>
      <c r="C44" s="516"/>
      <c r="D44" s="516"/>
      <c r="E44" s="516"/>
      <c r="F44" s="516"/>
      <c r="G44" s="516"/>
      <c r="H44" s="516"/>
      <c r="I44" s="516"/>
      <c r="J44" s="516"/>
      <c r="K44" s="516"/>
    </row>
    <row r="45" spans="1:11" ht="14.1" customHeight="1" x14ac:dyDescent="0.25">
      <c r="A45" s="87"/>
      <c r="B45" s="516"/>
      <c r="C45" s="516"/>
      <c r="D45" s="516"/>
      <c r="E45" s="516"/>
      <c r="F45" s="516"/>
      <c r="G45" s="516"/>
      <c r="H45" s="516"/>
      <c r="I45" s="516"/>
      <c r="J45" s="516"/>
      <c r="K45" s="516"/>
    </row>
    <row r="46" spans="1:11" ht="14.1" customHeight="1" x14ac:dyDescent="0.25">
      <c r="A46" s="87"/>
      <c r="B46" s="516"/>
      <c r="C46" s="516"/>
      <c r="D46" s="516"/>
      <c r="E46" s="516"/>
      <c r="F46" s="516"/>
      <c r="G46" s="516"/>
      <c r="H46" s="516"/>
      <c r="I46" s="516"/>
      <c r="J46" s="516"/>
      <c r="K46" s="516"/>
    </row>
    <row r="47" spans="1:11" ht="14.1" customHeight="1" x14ac:dyDescent="0.25">
      <c r="A47" s="87"/>
      <c r="B47" s="516"/>
      <c r="C47" s="516"/>
      <c r="D47" s="516"/>
      <c r="E47" s="516"/>
      <c r="F47" s="516"/>
      <c r="G47" s="516"/>
      <c r="H47" s="516"/>
      <c r="I47" s="516"/>
      <c r="J47" s="516"/>
      <c r="K47" s="516"/>
    </row>
    <row r="48" spans="1:11" ht="14.1" customHeight="1" x14ac:dyDescent="0.25">
      <c r="A48" s="593" t="s">
        <v>900</v>
      </c>
      <c r="B48" s="592"/>
      <c r="C48" s="592"/>
      <c r="D48" s="592"/>
      <c r="E48" s="592"/>
      <c r="F48" s="592"/>
      <c r="G48" s="592"/>
      <c r="H48" s="592"/>
      <c r="I48" s="592"/>
      <c r="J48" s="592"/>
      <c r="K48" s="592"/>
    </row>
    <row r="49" ht="14.1" customHeight="1" x14ac:dyDescent="0.25"/>
    <row r="50" ht="14.1" customHeight="1" x14ac:dyDescent="0.25"/>
    <row r="51" ht="14.1" customHeight="1" x14ac:dyDescent="0.25"/>
    <row r="52" ht="14.1" customHeight="1" x14ac:dyDescent="0.25"/>
    <row r="53" ht="14.1" customHeight="1" x14ac:dyDescent="0.25"/>
    <row r="54" ht="14.1" customHeight="1" x14ac:dyDescent="0.25"/>
    <row r="55" ht="14.1" customHeight="1" x14ac:dyDescent="0.25"/>
    <row r="56" ht="14.1" customHeight="1" x14ac:dyDescent="0.25"/>
    <row r="57" ht="14.1" customHeight="1" x14ac:dyDescent="0.25"/>
    <row r="58" ht="12" customHeight="1" x14ac:dyDescent="0.25"/>
    <row r="59" ht="12" customHeight="1" x14ac:dyDescent="0.25"/>
    <row r="60" ht="12" customHeight="1" x14ac:dyDescent="0.25"/>
    <row r="61" ht="14.1" customHeight="1" x14ac:dyDescent="0.25"/>
    <row r="62" ht="14.1" customHeight="1" x14ac:dyDescent="0.25"/>
    <row r="63" ht="12" customHeight="1" x14ac:dyDescent="0.25"/>
    <row r="64" ht="12" customHeight="1" x14ac:dyDescent="0.25"/>
    <row r="65" ht="14.1" customHeight="1" x14ac:dyDescent="0.25"/>
    <row r="66" ht="14.1" customHeight="1" x14ac:dyDescent="0.25"/>
    <row r="67" ht="12" customHeight="1" x14ac:dyDescent="0.25"/>
    <row r="68" ht="14.1" customHeight="1" x14ac:dyDescent="0.25"/>
  </sheetData>
  <sheetProtection algorithmName="SHA-512" hashValue="GZ+YRnmL7AdnKwqDw062zJb3rSS/Bc4GRoz/mbXx7+heYvEp5DlspD3g/J9nT6X3Ue68vtN86IUKsa3lWiaiCA==" saltValue="h2cTT4zJM52dOjF3JYbqVw==" spinCount="100000" sheet="1" objects="1" scenarios="1"/>
  <mergeCells count="15">
    <mergeCell ref="A48:K48"/>
    <mergeCell ref="A30:F30"/>
    <mergeCell ref="G30:I30"/>
    <mergeCell ref="F34:G34"/>
    <mergeCell ref="H34:J34"/>
    <mergeCell ref="A1:K1"/>
    <mergeCell ref="A2:K2"/>
    <mergeCell ref="A3:K3"/>
    <mergeCell ref="A5:K5"/>
    <mergeCell ref="A39:K39"/>
    <mergeCell ref="A7:K7"/>
    <mergeCell ref="A29:F29"/>
    <mergeCell ref="G29:I29"/>
    <mergeCell ref="A21:K26"/>
    <mergeCell ref="A11:K15"/>
  </mergeCells>
  <dataValidations count="1">
    <dataValidation type="list" allowBlank="1" showInputMessage="1" showErrorMessage="1" sqref="K19:K20" xr:uid="{4CD1122B-E68D-4F36-9BB6-C9FC40F0F9F1}">
      <formula1>"Yes,No"</formula1>
    </dataValidation>
  </dataValidations>
  <printOptions horizontalCentered="1"/>
  <pageMargins left="0.25" right="0.25" top="0.75" bottom="0.75" header="0.3" footer="0.3"/>
  <pageSetup orientation="portrait"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90DB-9FB9-486E-8B39-FF1AC9C7D4DD}">
  <sheetPr codeName="Sheet41">
    <tabColor rgb="FFFFC000"/>
  </sheetPr>
  <dimension ref="A1:K48"/>
  <sheetViews>
    <sheetView view="pageLayout" topLeftCell="A4" zoomScaleNormal="100" workbookViewId="0">
      <selection activeCell="L30" sqref="L30"/>
    </sheetView>
  </sheetViews>
  <sheetFormatPr defaultRowHeight="15" x14ac:dyDescent="0.25"/>
  <cols>
    <col min="1" max="1" width="13.7109375" customWidth="1"/>
    <col min="2" max="2" width="15.7109375" customWidth="1"/>
    <col min="3" max="3" width="13.42578125" customWidth="1"/>
    <col min="4" max="4" width="13.140625" customWidth="1"/>
    <col min="5" max="5" width="17.5703125" customWidth="1"/>
    <col min="6" max="6" width="16.28515625" customWidth="1"/>
    <col min="7" max="7" width="0.85546875" customWidth="1"/>
  </cols>
  <sheetData>
    <row r="1" spans="1:6" ht="16.5" thickBot="1" x14ac:dyDescent="0.3">
      <c r="A1" s="531" t="s">
        <v>775</v>
      </c>
      <c r="B1" s="532"/>
      <c r="C1" s="532"/>
      <c r="D1" s="532"/>
      <c r="E1" s="532"/>
      <c r="F1" s="533"/>
    </row>
    <row r="2" spans="1:6" ht="16.5" thickBot="1" x14ac:dyDescent="0.3">
      <c r="A2" s="349"/>
      <c r="B2" s="350"/>
      <c r="C2" s="350"/>
      <c r="D2" s="350"/>
      <c r="E2" s="350"/>
      <c r="F2" s="351"/>
    </row>
    <row r="3" spans="1:6" x14ac:dyDescent="0.25">
      <c r="A3" s="536" t="s">
        <v>770</v>
      </c>
      <c r="B3" s="538"/>
      <c r="C3" s="536" t="s">
        <v>250</v>
      </c>
      <c r="D3" s="537"/>
      <c r="E3" s="537"/>
      <c r="F3" s="538"/>
    </row>
    <row r="4" spans="1:6" x14ac:dyDescent="0.25">
      <c r="A4" s="549" t="str">
        <f>'KEY INPUTS'!B2</f>
        <v>Weymouth Township FD No. 1</v>
      </c>
      <c r="B4" s="550"/>
      <c r="C4" s="566" t="s">
        <v>762</v>
      </c>
      <c r="D4" s="567"/>
      <c r="E4" s="553">
        <f>'F-10 Levy Cap Summary'!E29</f>
        <v>170414.25</v>
      </c>
      <c r="F4" s="554"/>
    </row>
    <row r="5" spans="1:6" x14ac:dyDescent="0.25">
      <c r="A5" s="551"/>
      <c r="B5" s="552"/>
      <c r="C5" s="564" t="s">
        <v>763</v>
      </c>
      <c r="D5" s="565"/>
      <c r="E5" s="555">
        <f>'F-10 Levy Cap Summary'!D32</f>
        <v>134640.22999999998</v>
      </c>
      <c r="F5" s="556"/>
    </row>
    <row r="6" spans="1:6" ht="15.75" thickBot="1" x14ac:dyDescent="0.3">
      <c r="A6" s="547" t="s">
        <v>3</v>
      </c>
      <c r="B6" s="548"/>
      <c r="C6" s="562" t="s">
        <v>764</v>
      </c>
      <c r="D6" s="563"/>
      <c r="E6" s="555">
        <f>E5-E4</f>
        <v>-35774.020000000019</v>
      </c>
      <c r="F6" s="556"/>
    </row>
    <row r="7" spans="1:6" ht="15.75" thickBot="1" x14ac:dyDescent="0.3">
      <c r="A7" s="545" t="str">
        <f>'KEY INPUTS'!B3</f>
        <v>Atlantic</v>
      </c>
      <c r="B7" s="546"/>
      <c r="C7" s="559" t="s">
        <v>765</v>
      </c>
      <c r="D7" s="560"/>
      <c r="E7" s="557" t="str">
        <f>IF(E6&lt;0,"Under Cap",IF(E6=0,"At Cap",IF(E6&gt;0,"Over Cap")))</f>
        <v>Under Cap</v>
      </c>
      <c r="F7" s="558"/>
    </row>
    <row r="8" spans="1:6" ht="15.75" thickBot="1" x14ac:dyDescent="0.3">
      <c r="A8" s="345"/>
      <c r="B8" s="346"/>
      <c r="C8" s="346"/>
      <c r="D8" s="346"/>
      <c r="E8" s="346"/>
      <c r="F8" s="347"/>
    </row>
    <row r="9" spans="1:6" x14ac:dyDescent="0.25">
      <c r="A9" s="536" t="s">
        <v>769</v>
      </c>
      <c r="B9" s="537"/>
      <c r="C9" s="537"/>
      <c r="D9" s="537"/>
      <c r="E9" s="537"/>
      <c r="F9" s="538"/>
    </row>
    <row r="10" spans="1:6" x14ac:dyDescent="0.25">
      <c r="A10" s="539" t="s">
        <v>766</v>
      </c>
      <c r="B10" s="540"/>
      <c r="C10" s="540"/>
      <c r="D10" s="540"/>
      <c r="E10" s="540"/>
      <c r="F10" s="331">
        <f>'F-8 Fund Balance'!D9</f>
        <v>10554</v>
      </c>
    </row>
    <row r="11" spans="1:6" x14ac:dyDescent="0.25">
      <c r="A11" s="541" t="str">
        <f>"Fund Balance Proposed to be Regenerated in "&amp;'KEY INPUTS'!B1-1&amp;" Budget:"</f>
        <v>Fund Balance Proposed to be Regenerated in 2024 Budget:</v>
      </c>
      <c r="B11" s="542"/>
      <c r="C11" s="542"/>
      <c r="D11" s="542"/>
      <c r="E11" s="542"/>
      <c r="F11" s="338">
        <f>'F-8 Fund Balance'!D10</f>
        <v>0</v>
      </c>
    </row>
    <row r="12" spans="1:6" ht="15.75" thickBot="1" x14ac:dyDescent="0.3">
      <c r="A12" s="278" t="str">
        <f>"Total Proposed Fund Balance Available on 12/31/"&amp;'KEY INPUTS'!B1-1&amp;":"</f>
        <v>Total Proposed Fund Balance Available on 12/31/2024:</v>
      </c>
      <c r="D12" s="277"/>
      <c r="F12" s="332">
        <f>F10+F11</f>
        <v>10554</v>
      </c>
    </row>
    <row r="13" spans="1:6" ht="15.75" thickTop="1" x14ac:dyDescent="0.25">
      <c r="A13" s="278"/>
      <c r="D13" s="277"/>
      <c r="F13" s="333"/>
    </row>
    <row r="14" spans="1:6" x14ac:dyDescent="0.25">
      <c r="A14" s="278" t="str">
        <f>"Proposed to be Used in "&amp;'KEY INPUTS'!B1&amp;" Budget:"</f>
        <v>Proposed to be Used in 2025 Budget:</v>
      </c>
      <c r="D14" s="277"/>
      <c r="F14" s="331">
        <f>'F-8 Fund Balance'!D12</f>
        <v>0</v>
      </c>
    </row>
    <row r="15" spans="1:6" x14ac:dyDescent="0.25">
      <c r="A15" s="278"/>
      <c r="D15" s="277"/>
      <c r="F15" s="334"/>
    </row>
    <row r="16" spans="1:6" ht="15.75" thickBot="1" x14ac:dyDescent="0.3">
      <c r="A16" s="534" t="s">
        <v>779</v>
      </c>
      <c r="B16" s="535"/>
      <c r="C16" s="535"/>
      <c r="D16" s="535"/>
      <c r="E16" s="535"/>
      <c r="F16" s="348"/>
    </row>
    <row r="17" spans="1:11" ht="15.75" thickBot="1" x14ac:dyDescent="0.3">
      <c r="A17" s="534" t="s">
        <v>778</v>
      </c>
      <c r="B17" s="535"/>
      <c r="C17" s="535"/>
      <c r="D17" s="535"/>
      <c r="E17" s="561"/>
      <c r="F17" s="339" t="str">
        <f>IF(F14-F10&gt;0,F14-F10,"None")</f>
        <v>None</v>
      </c>
    </row>
    <row r="18" spans="1:11" ht="15.75" thickBot="1" x14ac:dyDescent="0.3">
      <c r="A18" s="335"/>
      <c r="B18" s="329"/>
      <c r="C18" s="329"/>
      <c r="D18" s="329"/>
      <c r="E18" s="330"/>
      <c r="F18" s="336"/>
    </row>
    <row r="19" spans="1:11" ht="15" customHeight="1" thickBot="1" x14ac:dyDescent="0.3">
      <c r="A19" s="534" t="str">
        <f>"Is the Fire District proposing to use more Fund Balance in "&amp;'KEY INPUTS'!B1&amp;" than "&amp;'KEY INPUTS'!B1-1&amp;" ?"</f>
        <v>Is the Fire District proposing to use more Fund Balance in 2025 than 2024 ?</v>
      </c>
      <c r="B19" s="535"/>
      <c r="C19" s="535"/>
      <c r="D19" s="535"/>
      <c r="E19" s="535"/>
      <c r="F19" s="337" t="str">
        <f>IF('F-8 Fund Balance'!D12&gt;'F-8 Fund Balance'!D8, "Yes","No")</f>
        <v>No</v>
      </c>
    </row>
    <row r="20" spans="1:11" ht="15.75" thickBot="1" x14ac:dyDescent="0.3">
      <c r="A20" s="543" t="s">
        <v>780</v>
      </c>
      <c r="B20" s="544"/>
      <c r="C20" s="544"/>
      <c r="D20" s="544"/>
      <c r="E20" s="411" t="str">
        <f>IF(F19="Yes",'F-8 Fund Balance'!D12-'F-8 Fund Balance'!D8, "")</f>
        <v/>
      </c>
      <c r="F20" s="412" t="str">
        <f>IF(F19="Yes",(('F-8 Fund Balance'!D12-'F-8 Fund Balance'!D8)/'F-8 Fund Balance'!D8),"")</f>
        <v/>
      </c>
    </row>
    <row r="21" spans="1:11" ht="15.75" thickBot="1" x14ac:dyDescent="0.3">
      <c r="A21" s="345"/>
      <c r="B21" s="346"/>
      <c r="C21" s="346"/>
      <c r="D21" s="346"/>
      <c r="E21" s="346"/>
      <c r="F21" s="347"/>
    </row>
    <row r="22" spans="1:11" x14ac:dyDescent="0.25">
      <c r="A22" s="536" t="s">
        <v>776</v>
      </c>
      <c r="B22" s="537"/>
      <c r="C22" s="537"/>
      <c r="D22" s="537"/>
      <c r="E22" s="537"/>
      <c r="F22" s="538"/>
      <c r="K22" s="38"/>
    </row>
    <row r="23" spans="1:11" ht="15.75" thickBot="1" x14ac:dyDescent="0.3">
      <c r="A23" s="342" t="s">
        <v>773</v>
      </c>
      <c r="E23" s="358" t="str">
        <f>IF('F-9 Referendums'!B13 &gt; 0, "Yes","No")</f>
        <v>No</v>
      </c>
      <c r="F23" s="405" t="str">
        <f>IF(E23="Yes",'F-9 Referendums'!B13,"")</f>
        <v/>
      </c>
    </row>
    <row r="24" spans="1:11" ht="15.75" thickBot="1" x14ac:dyDescent="0.3">
      <c r="A24" s="328" t="s">
        <v>774</v>
      </c>
      <c r="B24" s="279"/>
      <c r="C24" s="279"/>
      <c r="D24" s="279"/>
      <c r="E24" s="343" t="str">
        <f>IF('F-9 Referendums'!B28 &gt; 0, "Yes","No")</f>
        <v>No</v>
      </c>
      <c r="F24" s="406" t="str">
        <f>IF(E24="Yes",'F-9 Referendums'!B28,"")</f>
        <v/>
      </c>
    </row>
    <row r="25" spans="1:11" ht="15.75" thickBot="1" x14ac:dyDescent="0.3">
      <c r="A25" s="345"/>
      <c r="B25" s="346"/>
      <c r="C25" s="346"/>
      <c r="D25" s="346"/>
      <c r="E25" s="346"/>
      <c r="F25" s="347"/>
    </row>
    <row r="26" spans="1:11" x14ac:dyDescent="0.25">
      <c r="A26" s="536" t="s">
        <v>767</v>
      </c>
      <c r="B26" s="537"/>
      <c r="C26" s="537"/>
      <c r="D26" s="538"/>
      <c r="E26" s="352"/>
      <c r="F26" s="355"/>
    </row>
    <row r="27" spans="1:11" ht="15.75" thickBot="1" x14ac:dyDescent="0.3">
      <c r="A27" s="327" t="s">
        <v>820</v>
      </c>
      <c r="B27" s="279"/>
      <c r="C27" s="340"/>
      <c r="D27" s="344" t="str">
        <f>IF(OR(Revenue_Percent,"&gt;=.1",Revenue_Percent,"&lt;=-.1"),"Yes","No")</f>
        <v>Yes</v>
      </c>
      <c r="E27" s="353"/>
      <c r="F27" s="356"/>
    </row>
    <row r="28" spans="1:11" ht="15.75" thickBot="1" x14ac:dyDescent="0.3">
      <c r="A28" s="409"/>
      <c r="B28" s="346"/>
      <c r="C28" s="346"/>
      <c r="D28" s="355"/>
      <c r="E28" s="353"/>
      <c r="F28" s="356"/>
    </row>
    <row r="29" spans="1:11" x14ac:dyDescent="0.25">
      <c r="A29" s="536" t="s">
        <v>788</v>
      </c>
      <c r="B29" s="537"/>
      <c r="C29" s="537"/>
      <c r="D29" s="538"/>
      <c r="E29" s="353"/>
      <c r="F29" s="356"/>
    </row>
    <row r="30" spans="1:11" ht="15.75" thickBot="1" x14ac:dyDescent="0.3">
      <c r="A30" s="570" t="s">
        <v>789</v>
      </c>
      <c r="B30" s="571"/>
      <c r="C30" s="571"/>
      <c r="D30" s="410">
        <f>COUNTIF('F-2 Revenues (Proposed)'!L5:L55,"Yes")</f>
        <v>0</v>
      </c>
      <c r="E30" s="353"/>
      <c r="F30" s="356"/>
    </row>
    <row r="31" spans="1:11" ht="15.75" thickBot="1" x14ac:dyDescent="0.3">
      <c r="A31" s="409"/>
      <c r="B31" s="346"/>
      <c r="C31" s="346"/>
      <c r="D31" s="355"/>
      <c r="E31" s="353"/>
      <c r="F31" s="356"/>
    </row>
    <row r="32" spans="1:11" x14ac:dyDescent="0.25">
      <c r="A32" s="536" t="s">
        <v>784</v>
      </c>
      <c r="B32" s="537"/>
      <c r="C32" s="537"/>
      <c r="D32" s="538"/>
      <c r="E32" s="353"/>
      <c r="F32" s="356"/>
    </row>
    <row r="33" spans="1:6" x14ac:dyDescent="0.25">
      <c r="A33" s="572" t="s">
        <v>785</v>
      </c>
      <c r="B33" s="573"/>
      <c r="C33" s="573"/>
      <c r="D33" s="407" t="str">
        <f>IF('F-2 Revenues (Proposed)'!D23 &gt; 0, "Yes","No")</f>
        <v>No</v>
      </c>
      <c r="E33" s="353"/>
      <c r="F33" s="356"/>
    </row>
    <row r="34" spans="1:6" ht="15.75" thickBot="1" x14ac:dyDescent="0.3">
      <c r="A34" s="568" t="s">
        <v>786</v>
      </c>
      <c r="B34" s="569"/>
      <c r="C34" s="569"/>
      <c r="D34" s="408" t="str">
        <f>IF(D33="Yes",'F-2 Revenues (Proposed)'!D23,"")</f>
        <v/>
      </c>
      <c r="E34" s="353"/>
      <c r="F34" s="356"/>
    </row>
    <row r="35" spans="1:6" ht="15.75" thickBot="1" x14ac:dyDescent="0.3">
      <c r="A35" s="345"/>
      <c r="B35" s="346"/>
      <c r="C35" s="346"/>
      <c r="D35" s="347"/>
      <c r="E35" s="346"/>
      <c r="F35" s="347"/>
    </row>
    <row r="36" spans="1:6" x14ac:dyDescent="0.25">
      <c r="A36" s="536" t="s">
        <v>768</v>
      </c>
      <c r="B36" s="537"/>
      <c r="C36" s="537"/>
      <c r="D36" s="538"/>
      <c r="E36" s="354"/>
      <c r="F36" s="357"/>
    </row>
    <row r="37" spans="1:6" ht="15.75" thickBot="1" x14ac:dyDescent="0.3">
      <c r="A37" s="328" t="s">
        <v>772</v>
      </c>
      <c r="B37" s="279"/>
      <c r="C37" s="341"/>
      <c r="D37" s="344" t="str">
        <f>IF(OR(App_Percentage,"&gt;=.1",App_Percentage,"&lt;=-.1"),"Yes","No")</f>
        <v>Yes</v>
      </c>
      <c r="E37" s="346"/>
      <c r="F37" s="347"/>
    </row>
    <row r="38" spans="1:6" ht="15.75" thickBot="1" x14ac:dyDescent="0.3">
      <c r="A38" s="360"/>
      <c r="B38" s="361"/>
      <c r="C38" s="361"/>
      <c r="D38" s="361"/>
      <c r="E38" s="361"/>
      <c r="F38" s="362"/>
    </row>
    <row r="39" spans="1:6" x14ac:dyDescent="0.25">
      <c r="E39" s="3"/>
      <c r="F39" s="3"/>
    </row>
    <row r="42" spans="1:6" x14ac:dyDescent="0.25">
      <c r="A42" s="9"/>
      <c r="C42" s="6"/>
      <c r="D42" s="9"/>
    </row>
    <row r="43" spans="1:6" x14ac:dyDescent="0.25">
      <c r="A43" s="9"/>
      <c r="C43" s="6"/>
      <c r="D43" s="9"/>
    </row>
    <row r="45" spans="1:6" x14ac:dyDescent="0.25">
      <c r="A45" s="3"/>
      <c r="D45" s="3"/>
    </row>
    <row r="46" spans="1:6" x14ac:dyDescent="0.25">
      <c r="A46" s="9"/>
      <c r="C46" s="359"/>
      <c r="D46" s="9"/>
    </row>
    <row r="47" spans="1:6" x14ac:dyDescent="0.25">
      <c r="A47" s="9"/>
      <c r="C47" s="359"/>
      <c r="D47" s="9"/>
    </row>
    <row r="48" spans="1:6" x14ac:dyDescent="0.25">
      <c r="A48" s="9"/>
      <c r="C48" s="359"/>
      <c r="D48" s="9"/>
    </row>
  </sheetData>
  <sheetProtection algorithmName="SHA-512" hashValue="4YnQDZIPY90i23VzfJrZXV6/NoRuyEYIPFOWGa9QmqW1WLJsWK8nIDf9U5scTykuOx8tWhH+jM+tFmLGXJn2Wg==" saltValue="uEchb60F4exakCCgXa9Asg==" spinCount="100000" sheet="1" objects="1" scenarios="1"/>
  <mergeCells count="29">
    <mergeCell ref="A26:D26"/>
    <mergeCell ref="A36:D36"/>
    <mergeCell ref="A3:B3"/>
    <mergeCell ref="A17:E17"/>
    <mergeCell ref="C3:F3"/>
    <mergeCell ref="C6:D6"/>
    <mergeCell ref="C5:D5"/>
    <mergeCell ref="C4:D4"/>
    <mergeCell ref="A34:C34"/>
    <mergeCell ref="A29:D29"/>
    <mergeCell ref="A30:C30"/>
    <mergeCell ref="A32:D32"/>
    <mergeCell ref="A33:C33"/>
    <mergeCell ref="A1:F1"/>
    <mergeCell ref="A16:E16"/>
    <mergeCell ref="A22:F22"/>
    <mergeCell ref="A9:F9"/>
    <mergeCell ref="A10:E10"/>
    <mergeCell ref="A11:E11"/>
    <mergeCell ref="A20:D20"/>
    <mergeCell ref="A19:E19"/>
    <mergeCell ref="A7:B7"/>
    <mergeCell ref="A6:B6"/>
    <mergeCell ref="A4:B5"/>
    <mergeCell ref="E4:F4"/>
    <mergeCell ref="E5:F5"/>
    <mergeCell ref="E6:F6"/>
    <mergeCell ref="E7:F7"/>
    <mergeCell ref="C7:D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7927-4CF1-43F2-9A54-98423CAFB7FF}">
  <sheetPr codeName="Sheet18">
    <tabColor rgb="FFFFFF00"/>
  </sheetPr>
  <dimension ref="A1:G43"/>
  <sheetViews>
    <sheetView showZeros="0" view="pageLayout" topLeftCell="A10" zoomScaleNormal="100" workbookViewId="0">
      <selection activeCell="B28" sqref="B28:G28"/>
    </sheetView>
  </sheetViews>
  <sheetFormatPr defaultColWidth="9.140625" defaultRowHeight="12.75" x14ac:dyDescent="0.25"/>
  <cols>
    <col min="1" max="1" width="33.28515625" style="71" customWidth="1"/>
    <col min="2" max="2" width="23.28515625" style="71" customWidth="1"/>
    <col min="3" max="3" width="5.5703125" style="71" customWidth="1"/>
    <col min="4" max="4" width="5.140625" style="71" customWidth="1"/>
    <col min="5" max="5" width="5.5703125" style="71" customWidth="1"/>
    <col min="6" max="6" width="10.42578125" style="71" customWidth="1"/>
    <col min="7" max="7" width="16.28515625" style="71" customWidth="1"/>
    <col min="8" max="8" width="32.7109375" style="71" customWidth="1"/>
    <col min="9" max="16384" width="9.140625" style="71"/>
  </cols>
  <sheetData>
    <row r="1" spans="1:7" ht="24.95" customHeight="1" x14ac:dyDescent="0.25">
      <c r="A1" s="591" t="s">
        <v>438</v>
      </c>
      <c r="B1" s="591"/>
      <c r="C1" s="591"/>
      <c r="D1" s="591"/>
      <c r="E1" s="591"/>
      <c r="F1" s="591"/>
      <c r="G1" s="591"/>
    </row>
    <row r="2" spans="1:7" ht="24.95" customHeight="1" x14ac:dyDescent="0.25">
      <c r="A2" s="600">
        <f>'KEY INPUTS'!B1</f>
        <v>2025</v>
      </c>
      <c r="B2" s="600"/>
      <c r="C2" s="600"/>
      <c r="D2" s="600"/>
      <c r="E2" s="600"/>
      <c r="F2" s="600"/>
      <c r="G2" s="600"/>
    </row>
    <row r="3" spans="1:7" ht="10.7" customHeight="1" x14ac:dyDescent="0.25">
      <c r="A3" s="126"/>
      <c r="B3" s="126"/>
      <c r="C3" s="126"/>
      <c r="D3" s="126"/>
      <c r="E3" s="126"/>
      <c r="F3" s="126"/>
      <c r="G3" s="126"/>
    </row>
    <row r="4" spans="1:7" ht="17.100000000000001" customHeight="1" x14ac:dyDescent="0.25">
      <c r="A4" s="727" t="s">
        <v>437</v>
      </c>
      <c r="B4" s="727"/>
      <c r="C4" s="727"/>
      <c r="D4" s="727"/>
      <c r="E4" s="727"/>
      <c r="F4" s="727"/>
      <c r="G4" s="727"/>
    </row>
    <row r="5" spans="1:7" ht="10.7" customHeight="1" thickBot="1" x14ac:dyDescent="0.3"/>
    <row r="6" spans="1:7" ht="15.95" customHeight="1" x14ac:dyDescent="0.25">
      <c r="A6" s="374" t="s">
        <v>436</v>
      </c>
      <c r="B6" s="735" t="str">
        <f>'KEY INPUTS'!B2</f>
        <v>Weymouth Township FD No. 1</v>
      </c>
      <c r="C6" s="736"/>
      <c r="D6" s="736"/>
      <c r="E6" s="736"/>
      <c r="F6" s="736"/>
      <c r="G6" s="737"/>
    </row>
    <row r="7" spans="1:7" ht="15.75" x14ac:dyDescent="0.25">
      <c r="A7" s="198" t="s">
        <v>343</v>
      </c>
      <c r="B7" s="711" t="s">
        <v>1023</v>
      </c>
      <c r="C7" s="731"/>
      <c r="D7" s="731"/>
      <c r="E7" s="731"/>
      <c r="F7" s="731"/>
      <c r="G7" s="712"/>
    </row>
    <row r="8" spans="1:7" ht="15.95" customHeight="1" x14ac:dyDescent="0.25">
      <c r="A8" s="198" t="s">
        <v>681</v>
      </c>
      <c r="B8" s="711" t="s">
        <v>1024</v>
      </c>
      <c r="C8" s="731"/>
      <c r="D8" s="731"/>
      <c r="E8" s="721"/>
      <c r="F8" s="375" t="s">
        <v>1025</v>
      </c>
      <c r="G8" s="376">
        <v>8317</v>
      </c>
    </row>
    <row r="9" spans="1:7" ht="15.95" customHeight="1" x14ac:dyDescent="0.25">
      <c r="A9" s="198" t="s">
        <v>682</v>
      </c>
      <c r="B9" s="711" t="s">
        <v>1019</v>
      </c>
      <c r="C9" s="721"/>
      <c r="D9" s="709" t="s">
        <v>490</v>
      </c>
      <c r="E9" s="710"/>
      <c r="F9" s="711" t="s">
        <v>1020</v>
      </c>
      <c r="G9" s="712"/>
    </row>
    <row r="10" spans="1:7" ht="15.95" customHeight="1" thickBot="1" x14ac:dyDescent="0.3">
      <c r="A10" s="370" t="s">
        <v>683</v>
      </c>
      <c r="B10" s="713" t="s">
        <v>1026</v>
      </c>
      <c r="C10" s="714"/>
      <c r="D10" s="714"/>
      <c r="E10" s="714"/>
      <c r="F10" s="714"/>
      <c r="G10" s="715"/>
    </row>
    <row r="11" spans="1:7" ht="15.95" customHeight="1" thickBot="1" x14ac:dyDescent="0.3">
      <c r="A11" s="725"/>
      <c r="B11" s="725"/>
      <c r="C11" s="725"/>
      <c r="D11" s="725"/>
      <c r="E11" s="725"/>
      <c r="F11" s="725"/>
      <c r="G11" s="725"/>
    </row>
    <row r="12" spans="1:7" ht="15.95" customHeight="1" x14ac:dyDescent="0.25">
      <c r="A12" s="371" t="s">
        <v>435</v>
      </c>
      <c r="B12" s="716" t="str">
        <f>'KEY INPUTS'!B10</f>
        <v>Cheryl Sayers</v>
      </c>
      <c r="C12" s="717"/>
      <c r="D12" s="717"/>
      <c r="E12" s="717"/>
      <c r="F12" s="717"/>
      <c r="G12" s="718"/>
    </row>
    <row r="13" spans="1:7" ht="15.75" x14ac:dyDescent="0.25">
      <c r="A13" s="198" t="s">
        <v>697</v>
      </c>
      <c r="B13" s="711" t="s">
        <v>1027</v>
      </c>
      <c r="C13" s="731"/>
      <c r="D13" s="731"/>
      <c r="E13" s="731"/>
      <c r="F13" s="731"/>
      <c r="G13" s="712"/>
    </row>
    <row r="14" spans="1:7" ht="15.95" customHeight="1" x14ac:dyDescent="0.25">
      <c r="A14" s="198" t="s">
        <v>681</v>
      </c>
      <c r="B14" s="711" t="s">
        <v>1028</v>
      </c>
      <c r="C14" s="731"/>
      <c r="D14" s="731"/>
      <c r="E14" s="721"/>
      <c r="F14" s="375" t="s">
        <v>1025</v>
      </c>
      <c r="G14" s="376">
        <v>8223</v>
      </c>
    </row>
    <row r="15" spans="1:7" ht="15.95" customHeight="1" x14ac:dyDescent="0.25">
      <c r="A15" s="198" t="s">
        <v>682</v>
      </c>
      <c r="B15" s="732" t="str">
        <f>'KEY INPUTS'!B13</f>
        <v>609-390-0600</v>
      </c>
      <c r="C15" s="733"/>
      <c r="D15" s="709" t="s">
        <v>490</v>
      </c>
      <c r="E15" s="710"/>
      <c r="F15" s="732" t="str">
        <f>'KEY INPUTS'!B14</f>
        <v>609-390-7931</v>
      </c>
      <c r="G15" s="734"/>
    </row>
    <row r="16" spans="1:7" ht="15.95" customHeight="1" thickBot="1" x14ac:dyDescent="0.3">
      <c r="A16" s="370" t="s">
        <v>684</v>
      </c>
      <c r="B16" s="738" t="str">
        <f>'KEY INPUTS'!B15</f>
        <v>cheryl@csayerscpa.com</v>
      </c>
      <c r="C16" s="739"/>
      <c r="D16" s="739"/>
      <c r="E16" s="739"/>
      <c r="F16" s="739"/>
      <c r="G16" s="740"/>
    </row>
    <row r="17" spans="1:7" ht="15.95" customHeight="1" thickBot="1" x14ac:dyDescent="0.3">
      <c r="A17" s="722"/>
      <c r="B17" s="723"/>
      <c r="C17" s="723"/>
      <c r="D17" s="723"/>
      <c r="E17" s="723"/>
      <c r="F17" s="723"/>
      <c r="G17" s="724"/>
    </row>
    <row r="18" spans="1:7" ht="15.75" x14ac:dyDescent="0.25">
      <c r="A18" s="371" t="s">
        <v>680</v>
      </c>
      <c r="B18" s="716" t="str">
        <f>'KEY INPUTS'!D2</f>
        <v>Douglas Frick</v>
      </c>
      <c r="C18" s="717"/>
      <c r="D18" s="717"/>
      <c r="E18" s="717"/>
      <c r="F18" s="717"/>
      <c r="G18" s="718"/>
    </row>
    <row r="19" spans="1:7" ht="15.95" customHeight="1" x14ac:dyDescent="0.25">
      <c r="A19" s="198" t="s">
        <v>682</v>
      </c>
      <c r="B19" s="711" t="s">
        <v>1019</v>
      </c>
      <c r="C19" s="721"/>
      <c r="D19" s="709" t="s">
        <v>490</v>
      </c>
      <c r="E19" s="710"/>
      <c r="F19" s="711" t="s">
        <v>1020</v>
      </c>
      <c r="G19" s="712"/>
    </row>
    <row r="20" spans="1:7" ht="16.5" thickBot="1" x14ac:dyDescent="0.3">
      <c r="A20" s="370" t="s">
        <v>684</v>
      </c>
      <c r="B20" s="713" t="s">
        <v>1026</v>
      </c>
      <c r="C20" s="714"/>
      <c r="D20" s="714"/>
      <c r="E20" s="714"/>
      <c r="F20" s="714"/>
      <c r="G20" s="715"/>
    </row>
    <row r="21" spans="1:7" ht="14.1" customHeight="1" thickBot="1" x14ac:dyDescent="0.3">
      <c r="A21" s="722"/>
      <c r="B21" s="723"/>
      <c r="C21" s="723"/>
      <c r="D21" s="723"/>
      <c r="E21" s="723"/>
      <c r="F21" s="723"/>
      <c r="G21" s="724"/>
    </row>
    <row r="22" spans="1:7" ht="15.75" x14ac:dyDescent="0.25">
      <c r="A22" s="371" t="s">
        <v>698</v>
      </c>
      <c r="B22" s="716" t="str">
        <f>'KEY INPUTS'!D4</f>
        <v>Donnel Ruga</v>
      </c>
      <c r="C22" s="717"/>
      <c r="D22" s="717"/>
      <c r="E22" s="717"/>
      <c r="F22" s="717"/>
      <c r="G22" s="718"/>
    </row>
    <row r="23" spans="1:7" ht="15.75" x14ac:dyDescent="0.25">
      <c r="A23" s="198" t="s">
        <v>682</v>
      </c>
      <c r="B23" s="711" t="s">
        <v>1019</v>
      </c>
      <c r="C23" s="721"/>
      <c r="D23" s="719" t="s">
        <v>490</v>
      </c>
      <c r="E23" s="720"/>
      <c r="F23" s="711" t="s">
        <v>1020</v>
      </c>
      <c r="G23" s="712"/>
    </row>
    <row r="24" spans="1:7" ht="16.5" thickBot="1" x14ac:dyDescent="0.3">
      <c r="A24" s="370" t="s">
        <v>684</v>
      </c>
      <c r="B24" s="713" t="s">
        <v>1029</v>
      </c>
      <c r="C24" s="714"/>
      <c r="D24" s="714"/>
      <c r="E24" s="714"/>
      <c r="F24" s="714"/>
      <c r="G24" s="715"/>
    </row>
    <row r="25" spans="1:7" ht="16.5" thickBot="1" x14ac:dyDescent="0.3">
      <c r="A25" s="372"/>
      <c r="B25" s="725"/>
      <c r="C25" s="725"/>
      <c r="D25" s="725"/>
      <c r="E25" s="725"/>
      <c r="F25" s="725"/>
      <c r="G25" s="726"/>
    </row>
    <row r="26" spans="1:7" ht="15.75" x14ac:dyDescent="0.25">
      <c r="A26" s="373" t="s">
        <v>679</v>
      </c>
      <c r="B26" s="716" t="str">
        <f>'KEY INPUTS'!D3</f>
        <v>Elizabeth Hand</v>
      </c>
      <c r="C26" s="717"/>
      <c r="D26" s="717"/>
      <c r="E26" s="717"/>
      <c r="F26" s="717"/>
      <c r="G26" s="718"/>
    </row>
    <row r="27" spans="1:7" ht="15.75" x14ac:dyDescent="0.25">
      <c r="A27" s="198" t="s">
        <v>682</v>
      </c>
      <c r="B27" s="711" t="s">
        <v>1019</v>
      </c>
      <c r="C27" s="721"/>
      <c r="D27" s="719" t="s">
        <v>490</v>
      </c>
      <c r="E27" s="720"/>
      <c r="F27" s="711" t="s">
        <v>1020</v>
      </c>
      <c r="G27" s="712"/>
    </row>
    <row r="28" spans="1:7" ht="16.5" thickBot="1" x14ac:dyDescent="0.3">
      <c r="A28" s="370" t="s">
        <v>684</v>
      </c>
      <c r="B28" s="713" t="s">
        <v>1026</v>
      </c>
      <c r="C28" s="714"/>
      <c r="D28" s="714"/>
      <c r="E28" s="714"/>
      <c r="F28" s="714"/>
      <c r="G28" s="715"/>
    </row>
    <row r="29" spans="1:7" ht="16.5" thickBot="1" x14ac:dyDescent="0.3">
      <c r="A29" s="722"/>
      <c r="B29" s="723"/>
      <c r="C29" s="723"/>
      <c r="D29" s="723"/>
      <c r="E29" s="723"/>
      <c r="F29" s="723"/>
      <c r="G29" s="724"/>
    </row>
    <row r="30" spans="1:7" ht="15.75" x14ac:dyDescent="0.25">
      <c r="A30" s="371" t="s">
        <v>434</v>
      </c>
      <c r="B30" s="728" t="s">
        <v>1030</v>
      </c>
      <c r="C30" s="729"/>
      <c r="D30" s="729"/>
      <c r="E30" s="729"/>
      <c r="F30" s="729"/>
      <c r="G30" s="730"/>
    </row>
    <row r="31" spans="1:7" ht="15.75" x14ac:dyDescent="0.25">
      <c r="A31" s="198" t="s">
        <v>685</v>
      </c>
      <c r="B31" s="711" t="s">
        <v>1031</v>
      </c>
      <c r="C31" s="731"/>
      <c r="D31" s="731"/>
      <c r="E31" s="731"/>
      <c r="F31" s="731"/>
      <c r="G31" s="712"/>
    </row>
    <row r="32" spans="1:7" ht="15.75" x14ac:dyDescent="0.25">
      <c r="A32" s="198" t="s">
        <v>343</v>
      </c>
      <c r="B32" s="711" t="s">
        <v>1032</v>
      </c>
      <c r="C32" s="731"/>
      <c r="D32" s="731"/>
      <c r="E32" s="731"/>
      <c r="F32" s="731"/>
      <c r="G32" s="712"/>
    </row>
    <row r="33" spans="1:7" ht="15.95" customHeight="1" x14ac:dyDescent="0.25">
      <c r="A33" s="198" t="s">
        <v>681</v>
      </c>
      <c r="B33" s="711" t="s">
        <v>1033</v>
      </c>
      <c r="C33" s="731"/>
      <c r="D33" s="731"/>
      <c r="E33" s="721"/>
      <c r="F33" s="375" t="s">
        <v>1025</v>
      </c>
      <c r="G33" s="376">
        <v>8226</v>
      </c>
    </row>
    <row r="34" spans="1:7" ht="15.95" customHeight="1" x14ac:dyDescent="0.25">
      <c r="A34" s="198" t="s">
        <v>682</v>
      </c>
      <c r="B34" s="711" t="s">
        <v>1034</v>
      </c>
      <c r="C34" s="721"/>
      <c r="D34" s="709" t="s">
        <v>490</v>
      </c>
      <c r="E34" s="710"/>
      <c r="F34" s="711" t="s">
        <v>1035</v>
      </c>
      <c r="G34" s="712"/>
    </row>
    <row r="35" spans="1:7" ht="15.95" customHeight="1" thickBot="1" x14ac:dyDescent="0.3">
      <c r="A35" s="370" t="s">
        <v>684</v>
      </c>
      <c r="B35" s="713" t="s">
        <v>1036</v>
      </c>
      <c r="C35" s="714"/>
      <c r="D35" s="714"/>
      <c r="E35" s="714"/>
      <c r="F35" s="714"/>
      <c r="G35" s="715"/>
    </row>
    <row r="36" spans="1:7" ht="14.1" customHeight="1" x14ac:dyDescent="0.25">
      <c r="A36" s="88"/>
    </row>
    <row r="41" spans="1:7" x14ac:dyDescent="0.25">
      <c r="A41" s="593"/>
      <c r="B41" s="593"/>
      <c r="C41" s="593"/>
      <c r="D41" s="593"/>
      <c r="E41" s="593"/>
      <c r="F41" s="593"/>
      <c r="G41" s="593"/>
    </row>
    <row r="43" spans="1:7" x14ac:dyDescent="0.25">
      <c r="A43" s="592" t="s">
        <v>433</v>
      </c>
      <c r="B43" s="593"/>
      <c r="C43" s="593"/>
      <c r="D43" s="593"/>
      <c r="E43" s="593"/>
      <c r="F43" s="593"/>
      <c r="G43" s="593"/>
    </row>
  </sheetData>
  <sheetProtection algorithmName="SHA-512" hashValue="uM87qD1ny6urjd8CymIVlnB87nHFrbHGMNyB+FFiTlOEZjNSvQISfrL2N7THCEKkuEHTCbYyujMqNdDcRdWoYg==" saltValue="20dYLj4OEPW6XA2mdmqsvg==" spinCount="100000" sheet="1" objects="1" scenarios="1"/>
  <mergeCells count="47">
    <mergeCell ref="A41:G41"/>
    <mergeCell ref="B10:G10"/>
    <mergeCell ref="B6:G6"/>
    <mergeCell ref="B7:G7"/>
    <mergeCell ref="B8:E8"/>
    <mergeCell ref="B9:C9"/>
    <mergeCell ref="D9:E9"/>
    <mergeCell ref="F9:G9"/>
    <mergeCell ref="B18:G18"/>
    <mergeCell ref="B19:C19"/>
    <mergeCell ref="A11:G11"/>
    <mergeCell ref="B12:G12"/>
    <mergeCell ref="B13:G13"/>
    <mergeCell ref="B16:G16"/>
    <mergeCell ref="D19:E19"/>
    <mergeCell ref="F19:G19"/>
    <mergeCell ref="A17:G17"/>
    <mergeCell ref="A43:G43"/>
    <mergeCell ref="B35:G35"/>
    <mergeCell ref="A1:G1"/>
    <mergeCell ref="A2:G2"/>
    <mergeCell ref="A4:G4"/>
    <mergeCell ref="B30:G30"/>
    <mergeCell ref="B31:G31"/>
    <mergeCell ref="B32:G32"/>
    <mergeCell ref="B14:E14"/>
    <mergeCell ref="B15:C15"/>
    <mergeCell ref="D15:E15"/>
    <mergeCell ref="F15:G15"/>
    <mergeCell ref="B24:G24"/>
    <mergeCell ref="B33:E33"/>
    <mergeCell ref="B34:C34"/>
    <mergeCell ref="D34:E34"/>
    <mergeCell ref="F34:G34"/>
    <mergeCell ref="B20:G20"/>
    <mergeCell ref="B22:G22"/>
    <mergeCell ref="D23:E23"/>
    <mergeCell ref="B23:C23"/>
    <mergeCell ref="F23:G23"/>
    <mergeCell ref="A29:G29"/>
    <mergeCell ref="A21:G21"/>
    <mergeCell ref="D27:E27"/>
    <mergeCell ref="F27:G27"/>
    <mergeCell ref="B26:G26"/>
    <mergeCell ref="B25:G25"/>
    <mergeCell ref="B28:G28"/>
    <mergeCell ref="B27:C27"/>
  </mergeCells>
  <printOptions horizontalCentered="1"/>
  <pageMargins left="0.25" right="0.25"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AD91-D86E-4A59-BABA-5C85688FF9A4}">
  <sheetPr codeName="Sheet19">
    <tabColor rgb="FFFFFF00"/>
  </sheetPr>
  <dimension ref="A1:L58"/>
  <sheetViews>
    <sheetView view="pageLayout" topLeftCell="A23" zoomScaleNormal="100" workbookViewId="0">
      <selection activeCell="A44" sqref="A44:I47"/>
    </sheetView>
  </sheetViews>
  <sheetFormatPr defaultColWidth="9.140625" defaultRowHeight="12.75" x14ac:dyDescent="0.25"/>
  <cols>
    <col min="1" max="1" width="20.5703125" style="71" customWidth="1"/>
    <col min="2" max="2" width="42.42578125" style="71" customWidth="1"/>
    <col min="3" max="3" width="7.42578125" style="71" customWidth="1"/>
    <col min="4" max="4" width="1.140625" style="71" customWidth="1"/>
    <col min="5" max="5" width="3" style="71" customWidth="1"/>
    <col min="6" max="6" width="11.85546875" style="71" customWidth="1"/>
    <col min="7" max="7" width="3.85546875" style="71" customWidth="1"/>
    <col min="8" max="8" width="8.7109375" style="71" customWidth="1"/>
    <col min="9" max="9" width="2.42578125" style="71" customWidth="1"/>
    <col min="10" max="16384" width="9.140625" style="71"/>
  </cols>
  <sheetData>
    <row r="1" spans="1:9" ht="24.95" customHeight="1" x14ac:dyDescent="0.25">
      <c r="A1" s="591" t="s">
        <v>446</v>
      </c>
      <c r="B1" s="591"/>
      <c r="C1" s="591"/>
      <c r="D1" s="591"/>
      <c r="E1" s="591"/>
      <c r="F1" s="591"/>
      <c r="G1" s="591"/>
      <c r="H1" s="591"/>
      <c r="I1" s="591"/>
    </row>
    <row r="2" spans="1:9" ht="10.7" customHeight="1" x14ac:dyDescent="0.25"/>
    <row r="3" spans="1:9" ht="18.75" x14ac:dyDescent="0.25">
      <c r="A3" s="741" t="str">
        <f>'KEY INPUTS'!B2</f>
        <v>Weymouth Township FD No. 1</v>
      </c>
      <c r="B3" s="741"/>
      <c r="C3" s="741"/>
      <c r="D3" s="741"/>
      <c r="E3" s="741"/>
      <c r="F3" s="741"/>
      <c r="G3" s="741"/>
      <c r="H3" s="741"/>
      <c r="I3" s="741"/>
    </row>
    <row r="4" spans="1:9" ht="10.7" customHeight="1" x14ac:dyDescent="0.25">
      <c r="A4" s="601"/>
      <c r="B4" s="601"/>
      <c r="C4" s="601"/>
      <c r="D4" s="601"/>
      <c r="E4" s="601"/>
      <c r="F4" s="601"/>
    </row>
    <row r="5" spans="1:9" ht="15" customHeight="1" x14ac:dyDescent="0.25">
      <c r="A5" s="616" t="str">
        <f>" FISCAL YEAR: January 1, "&amp;'KEY INPUTS'!B1&amp;" to December 31, "&amp;'KEY INPUTS'!B1&amp;""</f>
        <v xml:space="preserve"> FISCAL YEAR: January 1, 2025 to December 31, 2025</v>
      </c>
      <c r="B5" s="616"/>
      <c r="C5" s="616"/>
      <c r="D5" s="616"/>
      <c r="E5" s="616"/>
      <c r="F5" s="616"/>
      <c r="G5" s="616"/>
      <c r="H5" s="616"/>
      <c r="I5" s="616"/>
    </row>
    <row r="6" spans="1:9" ht="10.7" customHeight="1" x14ac:dyDescent="0.25">
      <c r="A6" s="199"/>
      <c r="B6" s="199"/>
    </row>
    <row r="7" spans="1:9" ht="15" customHeight="1" x14ac:dyDescent="0.25">
      <c r="A7" s="742" t="s">
        <v>926</v>
      </c>
      <c r="B7" s="742"/>
      <c r="C7" s="742"/>
      <c r="D7" s="742"/>
      <c r="E7" s="742"/>
      <c r="F7" s="742"/>
      <c r="G7" s="742"/>
      <c r="H7" s="742"/>
      <c r="I7" s="742"/>
    </row>
    <row r="8" spans="1:9" ht="10.7" customHeight="1" x14ac:dyDescent="0.25">
      <c r="A8" s="200"/>
      <c r="B8" s="200"/>
      <c r="C8" s="200"/>
      <c r="D8" s="200"/>
      <c r="E8" s="200"/>
      <c r="F8" s="200"/>
      <c r="G8" s="200"/>
      <c r="H8" s="200"/>
    </row>
    <row r="9" spans="1:9" ht="14.1" customHeight="1" x14ac:dyDescent="0.25">
      <c r="A9" s="88" t="s">
        <v>445</v>
      </c>
      <c r="C9" s="205">
        <v>5</v>
      </c>
    </row>
    <row r="10" spans="1:9" ht="14.1" customHeight="1" x14ac:dyDescent="0.25">
      <c r="A10" s="88" t="s">
        <v>444</v>
      </c>
      <c r="C10" s="205">
        <v>0</v>
      </c>
    </row>
    <row r="11" spans="1:9" ht="14.1" customHeight="1" x14ac:dyDescent="0.25">
      <c r="A11" s="88"/>
    </row>
    <row r="12" spans="1:9" ht="14.1" customHeight="1" x14ac:dyDescent="0.25">
      <c r="A12" s="71" t="s">
        <v>961</v>
      </c>
      <c r="H12" s="205" t="s">
        <v>1037</v>
      </c>
      <c r="I12" s="203"/>
    </row>
    <row r="13" spans="1:9" ht="14.1" customHeight="1" thickBot="1" x14ac:dyDescent="0.3">
      <c r="A13" s="201" t="s">
        <v>960</v>
      </c>
    </row>
    <row r="14" spans="1:9" ht="14.1" customHeight="1" x14ac:dyDescent="0.25">
      <c r="A14" s="743"/>
      <c r="B14" s="744"/>
      <c r="C14" s="744"/>
      <c r="D14" s="744"/>
      <c r="E14" s="744"/>
      <c r="F14" s="744"/>
      <c r="G14" s="744"/>
      <c r="H14" s="744"/>
      <c r="I14" s="745"/>
    </row>
    <row r="15" spans="1:9" ht="14.1" customHeight="1" x14ac:dyDescent="0.25">
      <c r="A15" s="746"/>
      <c r="B15" s="747"/>
      <c r="C15" s="747"/>
      <c r="D15" s="747"/>
      <c r="E15" s="747"/>
      <c r="F15" s="747"/>
      <c r="G15" s="747"/>
      <c r="H15" s="747"/>
      <c r="I15" s="748"/>
    </row>
    <row r="16" spans="1:9" ht="14.1" customHeight="1" x14ac:dyDescent="0.25">
      <c r="A16" s="746"/>
      <c r="B16" s="747"/>
      <c r="C16" s="747"/>
      <c r="D16" s="747"/>
      <c r="E16" s="747"/>
      <c r="F16" s="747"/>
      <c r="G16" s="747"/>
      <c r="H16" s="747"/>
      <c r="I16" s="748"/>
    </row>
    <row r="17" spans="1:9" ht="14.1" customHeight="1" thickBot="1" x14ac:dyDescent="0.3">
      <c r="A17" s="749"/>
      <c r="B17" s="750"/>
      <c r="C17" s="750"/>
      <c r="D17" s="750"/>
      <c r="E17" s="750"/>
      <c r="F17" s="750"/>
      <c r="G17" s="750"/>
      <c r="H17" s="750"/>
      <c r="I17" s="751"/>
    </row>
    <row r="18" spans="1:9" ht="14.1" customHeight="1" x14ac:dyDescent="0.25">
      <c r="A18" s="478"/>
      <c r="B18" s="478"/>
      <c r="C18" s="478"/>
      <c r="D18" s="478"/>
      <c r="E18" s="478"/>
      <c r="F18" s="478"/>
      <c r="G18" s="478"/>
      <c r="H18" s="478"/>
      <c r="I18" s="478"/>
    </row>
    <row r="19" spans="1:9" ht="14.1" customHeight="1" x14ac:dyDescent="0.25">
      <c r="A19" s="71" t="s">
        <v>962</v>
      </c>
    </row>
    <row r="20" spans="1:9" ht="14.1" customHeight="1" x14ac:dyDescent="0.25">
      <c r="A20" s="201" t="s">
        <v>443</v>
      </c>
      <c r="C20" s="205" t="s">
        <v>1037</v>
      </c>
    </row>
    <row r="21" spans="1:9" ht="14.1" customHeight="1" x14ac:dyDescent="0.25">
      <c r="A21" s="201" t="s">
        <v>442</v>
      </c>
      <c r="C21" s="205" t="s">
        <v>1037</v>
      </c>
    </row>
    <row r="22" spans="1:9" ht="14.1" customHeight="1" x14ac:dyDescent="0.25">
      <c r="A22" s="201" t="s">
        <v>441</v>
      </c>
    </row>
    <row r="23" spans="1:9" ht="14.1" customHeight="1" x14ac:dyDescent="0.25">
      <c r="A23" s="127" t="s">
        <v>440</v>
      </c>
      <c r="C23" s="205" t="s">
        <v>1037</v>
      </c>
    </row>
    <row r="24" spans="1:9" ht="14.1" customHeight="1" x14ac:dyDescent="0.25">
      <c r="A24" s="201" t="s">
        <v>927</v>
      </c>
    </row>
    <row r="25" spans="1:9" ht="14.1" customHeight="1" x14ac:dyDescent="0.25">
      <c r="A25" s="201" t="s">
        <v>963</v>
      </c>
    </row>
    <row r="26" spans="1:9" ht="14.1" customHeight="1" thickBot="1" x14ac:dyDescent="0.3">
      <c r="A26" s="201" t="s">
        <v>928</v>
      </c>
    </row>
    <row r="27" spans="1:9" ht="14.1" customHeight="1" x14ac:dyDescent="0.25">
      <c r="A27" s="743"/>
      <c r="B27" s="744"/>
      <c r="C27" s="744"/>
      <c r="D27" s="744"/>
      <c r="E27" s="744"/>
      <c r="F27" s="744"/>
      <c r="G27" s="744"/>
      <c r="H27" s="744"/>
      <c r="I27" s="745"/>
    </row>
    <row r="28" spans="1:9" ht="14.1" customHeight="1" x14ac:dyDescent="0.25">
      <c r="A28" s="746"/>
      <c r="B28" s="747"/>
      <c r="C28" s="747"/>
      <c r="D28" s="747"/>
      <c r="E28" s="747"/>
      <c r="F28" s="747"/>
      <c r="G28" s="747"/>
      <c r="H28" s="747"/>
      <c r="I28" s="748"/>
    </row>
    <row r="29" spans="1:9" ht="14.1" customHeight="1" x14ac:dyDescent="0.25">
      <c r="A29" s="746"/>
      <c r="B29" s="747"/>
      <c r="C29" s="747"/>
      <c r="D29" s="747"/>
      <c r="E29" s="747"/>
      <c r="F29" s="747"/>
      <c r="G29" s="747"/>
      <c r="H29" s="747"/>
      <c r="I29" s="748"/>
    </row>
    <row r="30" spans="1:9" ht="14.1" customHeight="1" thickBot="1" x14ac:dyDescent="0.3">
      <c r="A30" s="749"/>
      <c r="B30" s="750"/>
      <c r="C30" s="750"/>
      <c r="D30" s="750"/>
      <c r="E30" s="750"/>
      <c r="F30" s="750"/>
      <c r="G30" s="750"/>
      <c r="H30" s="750"/>
      <c r="I30" s="751"/>
    </row>
    <row r="31" spans="1:9" ht="14.1" customHeight="1" x14ac:dyDescent="0.25">
      <c r="A31" s="201"/>
    </row>
    <row r="32" spans="1:9" ht="14.1" customHeight="1" x14ac:dyDescent="0.25">
      <c r="A32" s="88" t="s">
        <v>964</v>
      </c>
    </row>
    <row r="33" spans="1:9" ht="14.1" customHeight="1" x14ac:dyDescent="0.25">
      <c r="A33" s="204" t="s">
        <v>686</v>
      </c>
      <c r="C33" s="205" t="s">
        <v>1037</v>
      </c>
    </row>
    <row r="34" spans="1:9" ht="14.1" customHeight="1" x14ac:dyDescent="0.25">
      <c r="A34" s="204" t="s">
        <v>687</v>
      </c>
      <c r="C34" s="205" t="s">
        <v>1037</v>
      </c>
    </row>
    <row r="35" spans="1:9" ht="14.1" customHeight="1" x14ac:dyDescent="0.25">
      <c r="A35" s="204" t="s">
        <v>688</v>
      </c>
      <c r="C35" s="205" t="s">
        <v>1037</v>
      </c>
    </row>
    <row r="36" spans="1:9" ht="14.1" customHeight="1" x14ac:dyDescent="0.25">
      <c r="A36" s="204" t="s">
        <v>689</v>
      </c>
      <c r="C36" s="205" t="s">
        <v>1037</v>
      </c>
    </row>
    <row r="37" spans="1:9" ht="14.1" customHeight="1" x14ac:dyDescent="0.25">
      <c r="A37" s="204" t="s">
        <v>690</v>
      </c>
      <c r="C37" s="205" t="s">
        <v>1037</v>
      </c>
    </row>
    <row r="38" spans="1:9" ht="14.1" customHeight="1" x14ac:dyDescent="0.25">
      <c r="A38" s="204" t="s">
        <v>691</v>
      </c>
      <c r="C38" s="205" t="s">
        <v>1037</v>
      </c>
    </row>
    <row r="39" spans="1:9" ht="14.1" customHeight="1" x14ac:dyDescent="0.25">
      <c r="A39" s="204" t="s">
        <v>692</v>
      </c>
      <c r="C39" s="205" t="s">
        <v>1037</v>
      </c>
    </row>
    <row r="40" spans="1:9" ht="14.1" customHeight="1" x14ac:dyDescent="0.25">
      <c r="A40" s="204" t="s">
        <v>693</v>
      </c>
      <c r="C40" s="205" t="s">
        <v>1037</v>
      </c>
    </row>
    <row r="41" spans="1:9" ht="14.1" customHeight="1" x14ac:dyDescent="0.25">
      <c r="A41" s="204" t="s">
        <v>694</v>
      </c>
      <c r="C41" s="205" t="s">
        <v>1037</v>
      </c>
    </row>
    <row r="42" spans="1:9" ht="14.1" customHeight="1" x14ac:dyDescent="0.25">
      <c r="A42" s="452" t="s">
        <v>929</v>
      </c>
    </row>
    <row r="43" spans="1:9" ht="14.1" customHeight="1" thickBot="1" x14ac:dyDescent="0.3">
      <c r="A43" s="202" t="s">
        <v>975</v>
      </c>
    </row>
    <row r="44" spans="1:9" ht="14.1" customHeight="1" x14ac:dyDescent="0.25">
      <c r="A44" s="752"/>
      <c r="B44" s="753"/>
      <c r="C44" s="753"/>
      <c r="D44" s="753"/>
      <c r="E44" s="753"/>
      <c r="F44" s="753"/>
      <c r="G44" s="753"/>
      <c r="H44" s="753"/>
      <c r="I44" s="754"/>
    </row>
    <row r="45" spans="1:9" ht="14.1" customHeight="1" x14ac:dyDescent="0.25">
      <c r="A45" s="755"/>
      <c r="B45" s="756"/>
      <c r="C45" s="756"/>
      <c r="D45" s="756"/>
      <c r="E45" s="756"/>
      <c r="F45" s="756"/>
      <c r="G45" s="756"/>
      <c r="H45" s="756"/>
      <c r="I45" s="757"/>
    </row>
    <row r="46" spans="1:9" ht="14.1" customHeight="1" x14ac:dyDescent="0.25">
      <c r="A46" s="755"/>
      <c r="B46" s="756"/>
      <c r="C46" s="756"/>
      <c r="D46" s="756"/>
      <c r="E46" s="756"/>
      <c r="F46" s="756"/>
      <c r="G46" s="756"/>
      <c r="H46" s="756"/>
      <c r="I46" s="757"/>
    </row>
    <row r="47" spans="1:9" ht="14.1" customHeight="1" thickBot="1" x14ac:dyDescent="0.3">
      <c r="A47" s="758"/>
      <c r="B47" s="759"/>
      <c r="C47" s="759"/>
      <c r="D47" s="759"/>
      <c r="E47" s="759"/>
      <c r="F47" s="759"/>
      <c r="G47" s="759"/>
      <c r="H47" s="759"/>
      <c r="I47" s="760"/>
    </row>
    <row r="48" spans="1:9" ht="14.1" customHeight="1" x14ac:dyDescent="0.25">
      <c r="A48" s="479"/>
      <c r="B48" s="479"/>
      <c r="C48" s="479"/>
      <c r="D48" s="479"/>
      <c r="E48" s="479"/>
      <c r="F48" s="479"/>
      <c r="G48" s="479"/>
      <c r="H48" s="479"/>
      <c r="I48" s="479"/>
    </row>
    <row r="49" spans="1:12" ht="14.1" customHeight="1" x14ac:dyDescent="0.25">
      <c r="A49" s="592" t="s">
        <v>439</v>
      </c>
      <c r="B49" s="592"/>
      <c r="C49" s="592"/>
      <c r="D49" s="592"/>
      <c r="E49" s="592"/>
      <c r="F49" s="592"/>
      <c r="G49" s="592"/>
      <c r="H49" s="592"/>
    </row>
    <row r="50" spans="1:12" ht="14.1" customHeight="1" x14ac:dyDescent="0.25"/>
    <row r="51" spans="1:12" ht="14.1" customHeight="1" x14ac:dyDescent="0.25"/>
    <row r="52" spans="1:12" ht="14.1" customHeight="1" x14ac:dyDescent="0.25">
      <c r="L52" s="87"/>
    </row>
    <row r="53" spans="1:12" ht="14.1" customHeight="1" x14ac:dyDescent="0.25"/>
    <row r="54" spans="1:12" ht="14.1" customHeight="1" x14ac:dyDescent="0.25"/>
    <row r="55" spans="1:12" ht="14.1" customHeight="1" x14ac:dyDescent="0.25"/>
    <row r="56" spans="1:12" ht="14.1" customHeight="1" x14ac:dyDescent="0.25"/>
    <row r="57" spans="1:12" ht="14.1" customHeight="1" x14ac:dyDescent="0.25"/>
    <row r="58" spans="1:12" ht="14.1" customHeight="1" x14ac:dyDescent="0.25"/>
  </sheetData>
  <sheetProtection algorithmName="SHA-512" hashValue="KZJ0x581j3XeuigF5QL6YTPr7+3LcxUe9kV9TR/yvi4VPJ6osKTbGJpx9yqP96Z/NPov2CILyalackQ+gg/Qqw==" saltValue="aayXexmYxpeoDpo3TliaOA==" spinCount="100000" sheet="1" objects="1" scenarios="1"/>
  <mergeCells count="9">
    <mergeCell ref="A4:F4"/>
    <mergeCell ref="A49:H49"/>
    <mergeCell ref="A1:I1"/>
    <mergeCell ref="A3:I3"/>
    <mergeCell ref="A5:I5"/>
    <mergeCell ref="A7:I7"/>
    <mergeCell ref="A14:I17"/>
    <mergeCell ref="A27:I30"/>
    <mergeCell ref="A44:I47"/>
  </mergeCells>
  <dataValidations count="1">
    <dataValidation type="list" allowBlank="1" showInputMessage="1" showErrorMessage="1" sqref="H12 C20:C21 C23 C33:C41" xr:uid="{0C568915-F6A1-437D-B843-D24DA6554AAB}">
      <formula1>"Yes,No"</formula1>
    </dataValidation>
  </dataValidations>
  <printOptions horizontalCentered="1"/>
  <pageMargins left="0.25" right="0.25"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7D31-7FF9-430C-A4AC-10E44CE0319A}">
  <sheetPr codeName="Sheet20">
    <tabColor rgb="FFFFFF00"/>
  </sheetPr>
  <dimension ref="A1:E47"/>
  <sheetViews>
    <sheetView showZeros="0" view="pageLayout" topLeftCell="A15" zoomScaleNormal="100" workbookViewId="0">
      <selection activeCell="E36" sqref="E36"/>
    </sheetView>
  </sheetViews>
  <sheetFormatPr defaultColWidth="9.140625" defaultRowHeight="12.75" x14ac:dyDescent="0.25"/>
  <cols>
    <col min="1" max="1" width="19.42578125" style="71" customWidth="1"/>
    <col min="2" max="2" width="42.42578125" style="71" customWidth="1"/>
    <col min="3" max="3" width="23.28515625" style="71" customWidth="1"/>
    <col min="4" max="4" width="4" style="71" customWidth="1"/>
    <col min="5" max="5" width="12.140625" style="71" customWidth="1"/>
    <col min="6" max="6" width="9.140625" style="71"/>
    <col min="7" max="7" width="9.140625" style="71" customWidth="1"/>
    <col min="8" max="16384" width="9.140625" style="71"/>
  </cols>
  <sheetData>
    <row r="1" spans="1:5" ht="24.95" customHeight="1" x14ac:dyDescent="0.25">
      <c r="A1" s="591" t="s">
        <v>446</v>
      </c>
      <c r="B1" s="591"/>
      <c r="C1" s="591"/>
      <c r="D1" s="591"/>
      <c r="E1" s="591"/>
    </row>
    <row r="2" spans="1:5" ht="22.5" x14ac:dyDescent="0.25">
      <c r="A2" s="591" t="s">
        <v>455</v>
      </c>
      <c r="B2" s="591"/>
      <c r="C2" s="591"/>
      <c r="D2" s="591"/>
      <c r="E2" s="591"/>
    </row>
    <row r="3" spans="1:5" x14ac:dyDescent="0.25">
      <c r="A3" s="593"/>
      <c r="B3" s="593"/>
      <c r="C3" s="593"/>
    </row>
    <row r="4" spans="1:5" ht="20.100000000000001" customHeight="1" x14ac:dyDescent="0.25">
      <c r="A4" s="601" t="str">
        <f>'KEY INPUTS'!B2</f>
        <v>Weymouth Township FD No. 1</v>
      </c>
      <c r="B4" s="601"/>
      <c r="C4" s="601"/>
      <c r="D4" s="601"/>
      <c r="E4" s="601"/>
    </row>
    <row r="5" spans="1:5" ht="18.75" x14ac:dyDescent="0.25">
      <c r="A5" s="83"/>
      <c r="B5" s="83"/>
      <c r="C5" s="83"/>
    </row>
    <row r="6" spans="1:5" ht="15.75" customHeight="1" x14ac:dyDescent="0.25">
      <c r="A6" s="616" t="str">
        <f>"FISCAL YEAR: January 1, "&amp;'KEY INPUTS'!B1&amp;" to December 31, "&amp;'KEY INPUTS'!B1&amp;""</f>
        <v>FISCAL YEAR: January 1, 2025 to December 31, 2025</v>
      </c>
      <c r="B6" s="616"/>
      <c r="C6" s="616"/>
      <c r="D6" s="616"/>
      <c r="E6" s="616"/>
    </row>
    <row r="7" spans="1:5" ht="15.75" x14ac:dyDescent="0.25">
      <c r="A7" s="89"/>
      <c r="B7" s="89"/>
      <c r="C7" s="89"/>
      <c r="D7" s="89"/>
      <c r="E7" s="89"/>
    </row>
    <row r="8" spans="1:5" ht="14.1" customHeight="1" x14ac:dyDescent="0.25">
      <c r="A8" s="71" t="s">
        <v>965</v>
      </c>
    </row>
    <row r="9" spans="1:5" ht="14.1" customHeight="1" x14ac:dyDescent="0.25">
      <c r="A9" s="71" t="s">
        <v>966</v>
      </c>
    </row>
    <row r="10" spans="1:5" ht="14.1" customHeight="1" x14ac:dyDescent="0.25">
      <c r="A10" s="88" t="s">
        <v>719</v>
      </c>
    </row>
    <row r="11" spans="1:5" ht="14.1" customHeight="1" x14ac:dyDescent="0.25">
      <c r="A11" s="88"/>
    </row>
    <row r="12" spans="1:5" ht="14.1" customHeight="1" x14ac:dyDescent="0.25">
      <c r="A12" s="88" t="s">
        <v>952</v>
      </c>
      <c r="E12" s="481" t="s">
        <v>1037</v>
      </c>
    </row>
    <row r="13" spans="1:5" ht="14.1" customHeight="1" thickBot="1" x14ac:dyDescent="0.3">
      <c r="A13" s="202" t="s">
        <v>953</v>
      </c>
    </row>
    <row r="14" spans="1:5" ht="14.1" customHeight="1" x14ac:dyDescent="0.25">
      <c r="A14" s="752"/>
      <c r="B14" s="753"/>
      <c r="C14" s="753"/>
      <c r="D14" s="753"/>
      <c r="E14" s="754"/>
    </row>
    <row r="15" spans="1:5" ht="14.1" customHeight="1" x14ac:dyDescent="0.25">
      <c r="A15" s="755"/>
      <c r="B15" s="756"/>
      <c r="C15" s="756"/>
      <c r="D15" s="756"/>
      <c r="E15" s="757"/>
    </row>
    <row r="16" spans="1:5" ht="14.1" customHeight="1" thickBot="1" x14ac:dyDescent="0.3">
      <c r="A16" s="758"/>
      <c r="B16" s="759"/>
      <c r="C16" s="759"/>
      <c r="D16" s="759"/>
      <c r="E16" s="760"/>
    </row>
    <row r="17" spans="1:5" ht="14.1" customHeight="1" x14ac:dyDescent="0.25">
      <c r="A17" s="202"/>
    </row>
    <row r="18" spans="1:5" ht="14.1" customHeight="1" x14ac:dyDescent="0.25">
      <c r="A18" s="88" t="s">
        <v>860</v>
      </c>
    </row>
    <row r="19" spans="1:5" ht="14.1" customHeight="1" x14ac:dyDescent="0.25">
      <c r="A19" s="88" t="s">
        <v>968</v>
      </c>
      <c r="E19" s="481" t="s">
        <v>1037</v>
      </c>
    </row>
    <row r="20" spans="1:5" ht="14.1" customHeight="1" thickBot="1" x14ac:dyDescent="0.3">
      <c r="A20" s="201" t="s">
        <v>967</v>
      </c>
    </row>
    <row r="21" spans="1:5" ht="14.1" customHeight="1" x14ac:dyDescent="0.25">
      <c r="A21" s="743"/>
      <c r="B21" s="744"/>
      <c r="C21" s="744"/>
      <c r="D21" s="744"/>
      <c r="E21" s="745"/>
    </row>
    <row r="22" spans="1:5" ht="14.1" customHeight="1" x14ac:dyDescent="0.25">
      <c r="A22" s="746"/>
      <c r="B22" s="747"/>
      <c r="C22" s="747"/>
      <c r="D22" s="747"/>
      <c r="E22" s="748"/>
    </row>
    <row r="23" spans="1:5" ht="14.1" customHeight="1" thickBot="1" x14ac:dyDescent="0.3">
      <c r="A23" s="749"/>
      <c r="B23" s="750"/>
      <c r="C23" s="750"/>
      <c r="D23" s="750"/>
      <c r="E23" s="751"/>
    </row>
    <row r="24" spans="1:5" ht="15.75" customHeight="1" x14ac:dyDescent="0.25">
      <c r="A24" s="89"/>
      <c r="B24" s="89"/>
      <c r="C24" s="89"/>
      <c r="D24" s="89"/>
      <c r="E24" s="89"/>
    </row>
    <row r="25" spans="1:5" ht="14.1" customHeight="1" x14ac:dyDescent="0.25">
      <c r="A25" s="71" t="s">
        <v>861</v>
      </c>
    </row>
    <row r="26" spans="1:5" ht="14.1" customHeight="1" x14ac:dyDescent="0.25">
      <c r="A26" s="127" t="s">
        <v>454</v>
      </c>
      <c r="E26" s="205" t="s">
        <v>1022</v>
      </c>
    </row>
    <row r="27" spans="1:5" ht="14.1" customHeight="1" x14ac:dyDescent="0.25"/>
    <row r="28" spans="1:5" ht="14.1" customHeight="1" x14ac:dyDescent="0.25">
      <c r="A28" s="71" t="s">
        <v>897</v>
      </c>
    </row>
    <row r="29" spans="1:5" ht="14.1" customHeight="1" x14ac:dyDescent="0.25">
      <c r="A29" s="127" t="s">
        <v>453</v>
      </c>
      <c r="E29" s="205" t="s">
        <v>1022</v>
      </c>
    </row>
    <row r="30" spans="1:5" ht="14.1" customHeight="1" x14ac:dyDescent="0.25">
      <c r="A30" s="201" t="s">
        <v>980</v>
      </c>
    </row>
    <row r="31" spans="1:5" x14ac:dyDescent="0.25">
      <c r="A31" s="201"/>
    </row>
    <row r="33" spans="1:5" x14ac:dyDescent="0.25">
      <c r="A33" s="71" t="s">
        <v>862</v>
      </c>
      <c r="E33" s="205" t="s">
        <v>1037</v>
      </c>
    </row>
    <row r="34" spans="1:5" x14ac:dyDescent="0.25">
      <c r="A34" s="201" t="s">
        <v>452</v>
      </c>
    </row>
    <row r="35" spans="1:5" x14ac:dyDescent="0.25">
      <c r="A35" s="201" t="s">
        <v>451</v>
      </c>
      <c r="E35" s="205"/>
    </row>
    <row r="36" spans="1:5" x14ac:dyDescent="0.25">
      <c r="A36" s="201" t="s">
        <v>450</v>
      </c>
      <c r="E36" s="205"/>
    </row>
    <row r="37" spans="1:5" x14ac:dyDescent="0.25">
      <c r="A37" s="201" t="s">
        <v>449</v>
      </c>
      <c r="E37" s="205"/>
    </row>
    <row r="38" spans="1:5" x14ac:dyDescent="0.25">
      <c r="A38" s="201" t="s">
        <v>448</v>
      </c>
      <c r="E38" s="205"/>
    </row>
    <row r="39" spans="1:5" x14ac:dyDescent="0.25">
      <c r="A39" s="201" t="s">
        <v>447</v>
      </c>
      <c r="E39" s="206"/>
    </row>
    <row r="40" spans="1:5" x14ac:dyDescent="0.25">
      <c r="A40" s="201" t="s">
        <v>976</v>
      </c>
      <c r="E40" s="480"/>
    </row>
    <row r="41" spans="1:5" x14ac:dyDescent="0.25">
      <c r="A41" s="201" t="s">
        <v>978</v>
      </c>
    </row>
    <row r="42" spans="1:5" x14ac:dyDescent="0.25">
      <c r="A42" s="201" t="s">
        <v>977</v>
      </c>
      <c r="E42" s="205"/>
    </row>
    <row r="43" spans="1:5" x14ac:dyDescent="0.25">
      <c r="A43" s="201"/>
      <c r="E43" s="87"/>
    </row>
    <row r="44" spans="1:5" x14ac:dyDescent="0.25">
      <c r="A44" s="201"/>
      <c r="E44" s="87"/>
    </row>
    <row r="45" spans="1:5" x14ac:dyDescent="0.25">
      <c r="A45" s="201"/>
      <c r="E45" s="87"/>
    </row>
    <row r="47" spans="1:5" x14ac:dyDescent="0.25">
      <c r="A47" s="593" t="s">
        <v>901</v>
      </c>
      <c r="B47" s="592"/>
      <c r="C47" s="592"/>
      <c r="D47" s="592"/>
      <c r="E47" s="592"/>
    </row>
  </sheetData>
  <sheetProtection algorithmName="SHA-512" hashValue="O+s04FdhPX2Aemjx6LafAC7mlC4ZP+jUVM3dmikkbkVnBQ6JHkMB/fonvKEkk0plEQjCL7nrQ0B2/HyHvtNypg==" saltValue="iIQyH3Z5s+NMNUMlKWztXg==" spinCount="100000" sheet="1" objects="1" scenarios="1"/>
  <mergeCells count="8">
    <mergeCell ref="A1:E1"/>
    <mergeCell ref="A47:E47"/>
    <mergeCell ref="A3:C3"/>
    <mergeCell ref="A6:E6"/>
    <mergeCell ref="A4:E4"/>
    <mergeCell ref="A2:E2"/>
    <mergeCell ref="A21:E23"/>
    <mergeCell ref="A14:E16"/>
  </mergeCells>
  <dataValidations count="3">
    <dataValidation type="list" allowBlank="1" showInputMessage="1" showErrorMessage="1" sqref="E26 E33 E12 E19 E42" xr:uid="{3421CBFC-F528-44B2-86B5-2ECDF9DEDA7B}">
      <formula1>"Yes,No"</formula1>
    </dataValidation>
    <dataValidation type="list" allowBlank="1" showInputMessage="1" showErrorMessage="1" sqref="E38" xr:uid="{DD95080D-A75D-419E-9EE8-2F8D1978C9E4}">
      <formula1>"Fixed,Auto Increase"</formula1>
    </dataValidation>
    <dataValidation type="list" allowBlank="1" showInputMessage="1" showErrorMessage="1" sqref="E29" xr:uid="{470B2966-6BD8-42E8-97FE-83F821F9654F}">
      <formula1>"Yes,No,N/A"</formula1>
    </dataValidation>
  </dataValidations>
  <printOptions horizontalCentered="1"/>
  <pageMargins left="0.25" right="0.25"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9ABEB-7532-4103-B857-21AF4BB40DF1}">
  <sheetPr codeName="Sheet21">
    <tabColor rgb="FFFFFF00"/>
  </sheetPr>
  <dimension ref="A1:E51"/>
  <sheetViews>
    <sheetView showZeros="0" view="pageLayout" topLeftCell="A8" zoomScaleNormal="100" workbookViewId="0">
      <selection activeCell="C31" sqref="C31"/>
    </sheetView>
  </sheetViews>
  <sheetFormatPr defaultColWidth="9.140625" defaultRowHeight="12.75" x14ac:dyDescent="0.25"/>
  <cols>
    <col min="1" max="1" width="19.42578125" style="71" customWidth="1"/>
    <col min="2" max="2" width="42.42578125" style="71" customWidth="1"/>
    <col min="3" max="3" width="23.28515625" style="71" customWidth="1"/>
    <col min="4" max="4" width="4" style="71" customWidth="1"/>
    <col min="5" max="5" width="12.140625" style="71" customWidth="1"/>
    <col min="6" max="16384" width="9.140625" style="71"/>
  </cols>
  <sheetData>
    <row r="1" spans="1:5" ht="24.95" customHeight="1" x14ac:dyDescent="0.25">
      <c r="A1" s="591" t="s">
        <v>446</v>
      </c>
      <c r="B1" s="591"/>
      <c r="C1" s="591"/>
      <c r="D1" s="591"/>
      <c r="E1" s="591"/>
    </row>
    <row r="2" spans="1:5" ht="22.5" x14ac:dyDescent="0.25">
      <c r="A2" s="591" t="s">
        <v>455</v>
      </c>
      <c r="B2" s="591"/>
      <c r="C2" s="591"/>
      <c r="D2" s="591"/>
      <c r="E2" s="591"/>
    </row>
    <row r="3" spans="1:5" x14ac:dyDescent="0.25">
      <c r="A3" s="593"/>
      <c r="B3" s="593"/>
      <c r="C3" s="593"/>
    </row>
    <row r="4" spans="1:5" ht="20.100000000000001" customHeight="1" x14ac:dyDescent="0.25">
      <c r="A4" s="601" t="str">
        <f>'KEY INPUTS'!B2</f>
        <v>Weymouth Township FD No. 1</v>
      </c>
      <c r="B4" s="601"/>
      <c r="C4" s="601"/>
      <c r="D4" s="601"/>
      <c r="E4" s="601"/>
    </row>
    <row r="5" spans="1:5" ht="18.75" x14ac:dyDescent="0.25">
      <c r="A5" s="83"/>
      <c r="B5" s="83"/>
      <c r="C5" s="83"/>
    </row>
    <row r="6" spans="1:5" ht="15.75" customHeight="1" x14ac:dyDescent="0.25">
      <c r="A6" s="616" t="str">
        <f>"FISCAL YEAR: January 1, "&amp;'KEY INPUTS'!B1&amp;" to December 31, "&amp;'KEY INPUTS'!B1&amp;""</f>
        <v>FISCAL YEAR: January 1, 2025 to December 31, 2025</v>
      </c>
      <c r="B6" s="616"/>
      <c r="C6" s="616"/>
      <c r="D6" s="616"/>
      <c r="E6" s="616"/>
    </row>
    <row r="7" spans="1:5" x14ac:dyDescent="0.25">
      <c r="A7" s="88"/>
    </row>
    <row r="8" spans="1:5" x14ac:dyDescent="0.25">
      <c r="A8" s="459" t="s">
        <v>943</v>
      </c>
    </row>
    <row r="9" spans="1:5" x14ac:dyDescent="0.25">
      <c r="A9" s="459" t="s">
        <v>944</v>
      </c>
    </row>
    <row r="10" spans="1:5" x14ac:dyDescent="0.25">
      <c r="A10" s="459" t="s">
        <v>945</v>
      </c>
      <c r="E10" s="481" t="s">
        <v>1038</v>
      </c>
    </row>
    <row r="11" spans="1:5" x14ac:dyDescent="0.25">
      <c r="A11" s="460" t="s">
        <v>946</v>
      </c>
    </row>
    <row r="12" spans="1:5" x14ac:dyDescent="0.25">
      <c r="A12" s="460" t="s">
        <v>947</v>
      </c>
    </row>
    <row r="13" spans="1:5" x14ac:dyDescent="0.25">
      <c r="A13" s="460" t="s">
        <v>948</v>
      </c>
    </row>
    <row r="15" spans="1:5" x14ac:dyDescent="0.25">
      <c r="A15" s="71" t="s">
        <v>949</v>
      </c>
      <c r="E15" s="481" t="s">
        <v>1037</v>
      </c>
    </row>
    <row r="16" spans="1:5" x14ac:dyDescent="0.25">
      <c r="A16" s="201" t="s">
        <v>950</v>
      </c>
    </row>
    <row r="17" spans="1:5" x14ac:dyDescent="0.25">
      <c r="A17" s="71" t="s">
        <v>951</v>
      </c>
    </row>
    <row r="18" spans="1:5" x14ac:dyDescent="0.25">
      <c r="A18" s="71" t="s">
        <v>959</v>
      </c>
      <c r="E18" s="481"/>
    </row>
    <row r="19" spans="1:5" ht="6.95" customHeight="1" x14ac:dyDescent="0.25">
      <c r="E19" s="461"/>
    </row>
    <row r="20" spans="1:5" x14ac:dyDescent="0.25">
      <c r="A20" s="71" t="s">
        <v>954</v>
      </c>
      <c r="E20" s="481"/>
    </row>
    <row r="21" spans="1:5" ht="7.5" customHeight="1" x14ac:dyDescent="0.25"/>
    <row r="22" spans="1:5" x14ac:dyDescent="0.25">
      <c r="A22" s="71" t="s">
        <v>955</v>
      </c>
    </row>
    <row r="23" spans="1:5" x14ac:dyDescent="0.25">
      <c r="A23" s="71" t="s">
        <v>956</v>
      </c>
      <c r="E23" s="481"/>
    </row>
    <row r="24" spans="1:5" ht="6.95" customHeight="1" x14ac:dyDescent="0.25"/>
    <row r="25" spans="1:5" x14ac:dyDescent="0.25">
      <c r="A25" s="201" t="s">
        <v>957</v>
      </c>
    </row>
    <row r="26" spans="1:5" x14ac:dyDescent="0.25">
      <c r="A26" s="201" t="s">
        <v>958</v>
      </c>
    </row>
    <row r="27" spans="1:5" x14ac:dyDescent="0.25">
      <c r="A27" s="201"/>
    </row>
    <row r="28" spans="1:5" x14ac:dyDescent="0.25">
      <c r="A28" s="88" t="s">
        <v>997</v>
      </c>
      <c r="E28" s="518" t="s">
        <v>1037</v>
      </c>
    </row>
    <row r="29" spans="1:5" x14ac:dyDescent="0.25">
      <c r="A29" s="519" t="s">
        <v>998</v>
      </c>
    </row>
    <row r="30" spans="1:5" x14ac:dyDescent="0.25">
      <c r="A30" s="519" t="s">
        <v>999</v>
      </c>
    </row>
    <row r="31" spans="1:5" x14ac:dyDescent="0.25">
      <c r="A31" s="202" t="s">
        <v>1000</v>
      </c>
    </row>
    <row r="32" spans="1:5" x14ac:dyDescent="0.25">
      <c r="A32" s="202" t="s">
        <v>1001</v>
      </c>
    </row>
    <row r="33" spans="1:1" x14ac:dyDescent="0.25">
      <c r="A33" s="201"/>
    </row>
    <row r="34" spans="1:1" x14ac:dyDescent="0.25">
      <c r="A34" s="201"/>
    </row>
    <row r="35" spans="1:1" x14ac:dyDescent="0.25">
      <c r="A35" s="201"/>
    </row>
    <row r="36" spans="1:1" x14ac:dyDescent="0.25">
      <c r="A36" s="201"/>
    </row>
    <row r="37" spans="1:1" x14ac:dyDescent="0.25">
      <c r="A37" s="201"/>
    </row>
    <row r="38" spans="1:1" x14ac:dyDescent="0.25">
      <c r="A38" s="201"/>
    </row>
    <row r="39" spans="1:1" x14ac:dyDescent="0.25">
      <c r="A39" s="201"/>
    </row>
    <row r="40" spans="1:1" x14ac:dyDescent="0.25">
      <c r="A40" s="201"/>
    </row>
    <row r="41" spans="1:1" x14ac:dyDescent="0.25">
      <c r="A41" s="201"/>
    </row>
    <row r="42" spans="1:1" x14ac:dyDescent="0.25">
      <c r="A42" s="201"/>
    </row>
    <row r="43" spans="1:1" x14ac:dyDescent="0.25">
      <c r="A43" s="201"/>
    </row>
    <row r="44" spans="1:1" x14ac:dyDescent="0.25">
      <c r="A44" s="201"/>
    </row>
    <row r="45" spans="1:1" x14ac:dyDescent="0.25">
      <c r="A45" s="201"/>
    </row>
    <row r="46" spans="1:1" x14ac:dyDescent="0.25">
      <c r="A46" s="201"/>
    </row>
    <row r="47" spans="1:1" x14ac:dyDescent="0.25">
      <c r="A47" s="201"/>
    </row>
    <row r="48" spans="1:1" x14ac:dyDescent="0.25">
      <c r="A48" s="201"/>
    </row>
    <row r="49" spans="1:5" x14ac:dyDescent="0.25">
      <c r="A49" s="201"/>
    </row>
    <row r="50" spans="1:5" x14ac:dyDescent="0.25">
      <c r="A50" s="201"/>
    </row>
    <row r="51" spans="1:5" x14ac:dyDescent="0.25">
      <c r="A51" s="593" t="s">
        <v>979</v>
      </c>
      <c r="B51" s="592"/>
      <c r="C51" s="592"/>
      <c r="D51" s="592"/>
      <c r="E51" s="592"/>
    </row>
  </sheetData>
  <sheetProtection algorithmName="SHA-512" hashValue="YpUgA+WOGr+cwdyn2Okp7S7QqXvNLSxI/Ur8xyAVXrcg5kwAXFqb/H/LICXL+6t5m/MejDvY6Ntk4una2JWlIA==" saltValue="5gAtPiLsjAvWF82owNPqkQ==" spinCount="100000" sheet="1" objects="1" scenarios="1"/>
  <mergeCells count="6">
    <mergeCell ref="A51:E51"/>
    <mergeCell ref="A1:E1"/>
    <mergeCell ref="A2:E2"/>
    <mergeCell ref="A3:C3"/>
    <mergeCell ref="A4:E4"/>
    <mergeCell ref="A6:E6"/>
  </mergeCells>
  <dataValidations count="2">
    <dataValidation type="list" allowBlank="1" showInputMessage="1" showErrorMessage="1" sqref="E10" xr:uid="{144D1017-9E09-4F60-885E-4993AD422E54}">
      <formula1>"Yes,No,N/A"</formula1>
    </dataValidation>
    <dataValidation type="list" allowBlank="1" showInputMessage="1" showErrorMessage="1" sqref="E15 E20 E18 E23 E28" xr:uid="{11AD0C1C-E720-4762-890D-B643E99A7BEB}">
      <formula1>"Yes,No"</formula1>
    </dataValidation>
  </dataValidations>
  <printOptions horizontalCentered="1"/>
  <pageMargins left="0.25" right="0.25"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89A2-FB07-441E-99F6-2BFB73AC08FA}">
  <sheetPr codeName="Sheet23">
    <tabColor rgb="FFFFFF00"/>
  </sheetPr>
  <dimension ref="A1:E48"/>
  <sheetViews>
    <sheetView showZeros="0" showWhiteSpace="0" view="pageLayout" zoomScaleNormal="100" workbookViewId="0">
      <selection activeCell="A19" sqref="A19"/>
    </sheetView>
  </sheetViews>
  <sheetFormatPr defaultColWidth="9.140625" defaultRowHeight="12.75" x14ac:dyDescent="0.25"/>
  <cols>
    <col min="1" max="1" width="20.140625" style="71" customWidth="1"/>
    <col min="2" max="2" width="18.42578125" style="71" customWidth="1"/>
    <col min="3" max="3" width="13.5703125" style="71" customWidth="1"/>
    <col min="4" max="4" width="23.140625" style="71" customWidth="1"/>
    <col min="5" max="5" width="25.85546875" style="71" customWidth="1"/>
    <col min="6" max="16384" width="9.140625" style="71"/>
  </cols>
  <sheetData>
    <row r="1" spans="1:5" ht="24.95" customHeight="1" x14ac:dyDescent="0.25">
      <c r="A1" s="591" t="s">
        <v>446</v>
      </c>
      <c r="B1" s="591"/>
      <c r="C1" s="591"/>
      <c r="D1" s="591"/>
      <c r="E1" s="591"/>
    </row>
    <row r="2" spans="1:5" ht="22.5" x14ac:dyDescent="0.25">
      <c r="A2" s="591" t="s">
        <v>721</v>
      </c>
      <c r="B2" s="591"/>
      <c r="C2" s="591"/>
      <c r="D2" s="591"/>
      <c r="E2" s="591"/>
    </row>
    <row r="3" spans="1:5" ht="15" customHeight="1" x14ac:dyDescent="0.25">
      <c r="A3" s="593"/>
      <c r="B3" s="593"/>
      <c r="C3" s="593"/>
    </row>
    <row r="4" spans="1:5" ht="20.100000000000001" customHeight="1" x14ac:dyDescent="0.25">
      <c r="A4" s="601" t="str">
        <f>'KEY INPUTS'!B2</f>
        <v>Weymouth Township FD No. 1</v>
      </c>
      <c r="B4" s="601"/>
      <c r="C4" s="601"/>
      <c r="D4" s="601"/>
      <c r="E4" s="601"/>
    </row>
    <row r="5" spans="1:5" ht="20.100000000000001" customHeight="1" x14ac:dyDescent="0.25">
      <c r="A5" s="83"/>
      <c r="B5" s="83"/>
      <c r="C5" s="83"/>
    </row>
    <row r="6" spans="1:5" ht="15.75" customHeight="1" x14ac:dyDescent="0.25">
      <c r="A6" s="616" t="str">
        <f>"FISCAL YEAR: January 1, "&amp;'KEY INPUTS'!B1&amp;" to December 31, "&amp;'KEY INPUTS'!B1&amp;""</f>
        <v>FISCAL YEAR: January 1, 2025 to December 31, 2025</v>
      </c>
      <c r="B6" s="616"/>
      <c r="C6" s="616"/>
      <c r="D6" s="616"/>
      <c r="E6" s="616"/>
    </row>
    <row r="7" spans="1:5" ht="15.75" x14ac:dyDescent="0.25">
      <c r="A7" s="89"/>
      <c r="B7" s="89"/>
      <c r="C7" s="89"/>
    </row>
    <row r="8" spans="1:5" ht="15.75" customHeight="1" x14ac:dyDescent="0.25">
      <c r="A8" s="761" t="s">
        <v>718</v>
      </c>
      <c r="B8" s="761"/>
      <c r="C8" s="761"/>
      <c r="D8" s="761"/>
      <c r="E8" s="761"/>
    </row>
    <row r="9" spans="1:5" ht="14.1" customHeight="1" thickBot="1" x14ac:dyDescent="0.3">
      <c r="A9" s="88"/>
    </row>
    <row r="10" spans="1:5" ht="14.1" customHeight="1" thickBot="1" x14ac:dyDescent="0.3">
      <c r="A10" s="207" t="s">
        <v>474</v>
      </c>
      <c r="B10" s="208" t="s">
        <v>781</v>
      </c>
      <c r="C10" s="208" t="s">
        <v>715</v>
      </c>
      <c r="D10" s="208" t="s">
        <v>716</v>
      </c>
      <c r="E10" s="209" t="s">
        <v>717</v>
      </c>
    </row>
    <row r="11" spans="1:5" ht="14.1" customHeight="1" x14ac:dyDescent="0.25">
      <c r="A11" s="437">
        <v>2002</v>
      </c>
      <c r="B11" s="211" t="s">
        <v>1039</v>
      </c>
      <c r="C11" s="211" t="s">
        <v>1040</v>
      </c>
      <c r="D11" s="211" t="s">
        <v>1041</v>
      </c>
      <c r="E11" s="212" t="s">
        <v>1041</v>
      </c>
    </row>
    <row r="12" spans="1:5" ht="14.1" customHeight="1" x14ac:dyDescent="0.25">
      <c r="A12" s="213">
        <v>1997</v>
      </c>
      <c r="B12" s="214" t="s">
        <v>1042</v>
      </c>
      <c r="C12" s="214" t="s">
        <v>1043</v>
      </c>
      <c r="D12" s="214" t="s">
        <v>1041</v>
      </c>
      <c r="E12" s="215" t="s">
        <v>1041</v>
      </c>
    </row>
    <row r="13" spans="1:5" ht="14.1" customHeight="1" x14ac:dyDescent="0.25">
      <c r="A13" s="216">
        <v>1993</v>
      </c>
      <c r="B13" s="214" t="s">
        <v>1039</v>
      </c>
      <c r="C13" s="214" t="s">
        <v>1044</v>
      </c>
      <c r="D13" s="214" t="s">
        <v>1041</v>
      </c>
      <c r="E13" s="215" t="s">
        <v>1041</v>
      </c>
    </row>
    <row r="14" spans="1:5" x14ac:dyDescent="0.25">
      <c r="A14" s="213">
        <v>2017</v>
      </c>
      <c r="B14" s="214" t="s">
        <v>1045</v>
      </c>
      <c r="C14" s="214" t="s">
        <v>1046</v>
      </c>
      <c r="D14" s="214" t="s">
        <v>1041</v>
      </c>
      <c r="E14" s="215" t="s">
        <v>1041</v>
      </c>
    </row>
    <row r="15" spans="1:5" x14ac:dyDescent="0.25">
      <c r="A15" s="213">
        <v>2022</v>
      </c>
      <c r="B15" s="214" t="s">
        <v>1047</v>
      </c>
      <c r="C15" s="214" t="s">
        <v>1046</v>
      </c>
      <c r="D15" s="214" t="s">
        <v>1041</v>
      </c>
      <c r="E15" s="215" t="s">
        <v>1041</v>
      </c>
    </row>
    <row r="16" spans="1:5" x14ac:dyDescent="0.25">
      <c r="A16" s="216">
        <v>2004</v>
      </c>
      <c r="B16" s="214" t="s">
        <v>1047</v>
      </c>
      <c r="C16" s="214" t="s">
        <v>1048</v>
      </c>
      <c r="D16" s="214" t="s">
        <v>1041</v>
      </c>
      <c r="E16" s="215" t="s">
        <v>1041</v>
      </c>
    </row>
    <row r="17" spans="1:5" x14ac:dyDescent="0.25">
      <c r="A17" s="213">
        <v>2023</v>
      </c>
      <c r="B17" s="214" t="s">
        <v>1049</v>
      </c>
      <c r="C17" s="214" t="s">
        <v>1067</v>
      </c>
      <c r="D17" s="214" t="s">
        <v>1041</v>
      </c>
      <c r="E17" s="215" t="s">
        <v>1041</v>
      </c>
    </row>
    <row r="18" spans="1:5" x14ac:dyDescent="0.25">
      <c r="A18" s="213">
        <v>2024</v>
      </c>
      <c r="B18" s="214" t="s">
        <v>1068</v>
      </c>
      <c r="C18" s="214" t="s">
        <v>1069</v>
      </c>
      <c r="D18" s="214" t="s">
        <v>1041</v>
      </c>
      <c r="E18" s="215" t="s">
        <v>1041</v>
      </c>
    </row>
    <row r="19" spans="1:5" x14ac:dyDescent="0.25">
      <c r="A19" s="213"/>
      <c r="B19" s="214"/>
      <c r="C19" s="214"/>
      <c r="D19" s="214"/>
      <c r="E19" s="215"/>
    </row>
    <row r="20" spans="1:5" x14ac:dyDescent="0.25">
      <c r="A20" s="213"/>
      <c r="B20" s="214"/>
      <c r="C20" s="214"/>
      <c r="D20" s="214"/>
      <c r="E20" s="215"/>
    </row>
    <row r="21" spans="1:5" x14ac:dyDescent="0.25">
      <c r="A21" s="213"/>
      <c r="B21" s="214"/>
      <c r="C21" s="214"/>
      <c r="D21" s="214"/>
      <c r="E21" s="215"/>
    </row>
    <row r="22" spans="1:5" x14ac:dyDescent="0.25">
      <c r="A22" s="213"/>
      <c r="B22" s="214"/>
      <c r="C22" s="214"/>
      <c r="D22" s="214"/>
      <c r="E22" s="215"/>
    </row>
    <row r="23" spans="1:5" x14ac:dyDescent="0.25">
      <c r="A23" s="213"/>
      <c r="B23" s="214"/>
      <c r="C23" s="214"/>
      <c r="D23" s="214"/>
      <c r="E23" s="215"/>
    </row>
    <row r="24" spans="1:5" x14ac:dyDescent="0.25">
      <c r="A24" s="213"/>
      <c r="B24" s="214"/>
      <c r="C24" s="214"/>
      <c r="D24" s="214"/>
      <c r="E24" s="215"/>
    </row>
    <row r="25" spans="1:5" x14ac:dyDescent="0.25">
      <c r="A25" s="213"/>
      <c r="B25" s="214"/>
      <c r="C25" s="214"/>
      <c r="D25" s="214"/>
      <c r="E25" s="215"/>
    </row>
    <row r="26" spans="1:5" x14ac:dyDescent="0.25">
      <c r="A26" s="213"/>
      <c r="B26" s="214"/>
      <c r="C26" s="214"/>
      <c r="D26" s="214"/>
      <c r="E26" s="215"/>
    </row>
    <row r="27" spans="1:5" x14ac:dyDescent="0.25">
      <c r="A27" s="213"/>
      <c r="B27" s="214"/>
      <c r="C27" s="214"/>
      <c r="D27" s="214"/>
      <c r="E27" s="215"/>
    </row>
    <row r="28" spans="1:5" x14ac:dyDescent="0.25">
      <c r="A28" s="213"/>
      <c r="B28" s="214"/>
      <c r="C28" s="214"/>
      <c r="D28" s="214"/>
      <c r="E28" s="215"/>
    </row>
    <row r="29" spans="1:5" x14ac:dyDescent="0.25">
      <c r="A29" s="213"/>
      <c r="B29" s="214"/>
      <c r="C29" s="214"/>
      <c r="D29" s="214"/>
      <c r="E29" s="215"/>
    </row>
    <row r="30" spans="1:5" x14ac:dyDescent="0.25">
      <c r="A30" s="213"/>
      <c r="B30" s="214"/>
      <c r="C30" s="214"/>
      <c r="D30" s="214"/>
      <c r="E30" s="215"/>
    </row>
    <row r="31" spans="1:5" x14ac:dyDescent="0.25">
      <c r="A31" s="213"/>
      <c r="B31" s="214"/>
      <c r="C31" s="214"/>
      <c r="D31" s="214"/>
      <c r="E31" s="215"/>
    </row>
    <row r="32" spans="1:5" x14ac:dyDescent="0.25">
      <c r="A32" s="213"/>
      <c r="B32" s="214"/>
      <c r="C32" s="214"/>
      <c r="D32" s="214"/>
      <c r="E32" s="215"/>
    </row>
    <row r="33" spans="1:5" x14ac:dyDescent="0.25">
      <c r="A33" s="213"/>
      <c r="B33" s="214"/>
      <c r="C33" s="214"/>
      <c r="D33" s="214"/>
      <c r="E33" s="215"/>
    </row>
    <row r="34" spans="1:5" x14ac:dyDescent="0.25">
      <c r="A34" s="213"/>
      <c r="B34" s="214"/>
      <c r="C34" s="214"/>
      <c r="D34" s="214"/>
      <c r="E34" s="215"/>
    </row>
    <row r="35" spans="1:5" x14ac:dyDescent="0.25">
      <c r="A35" s="213"/>
      <c r="B35" s="214"/>
      <c r="C35" s="214"/>
      <c r="D35" s="214"/>
      <c r="E35" s="215"/>
    </row>
    <row r="36" spans="1:5" x14ac:dyDescent="0.25">
      <c r="A36" s="213"/>
      <c r="B36" s="214"/>
      <c r="C36" s="214"/>
      <c r="D36" s="214"/>
      <c r="E36" s="215"/>
    </row>
    <row r="37" spans="1:5" x14ac:dyDescent="0.25">
      <c r="A37" s="213"/>
      <c r="B37" s="214"/>
      <c r="C37" s="214"/>
      <c r="D37" s="214"/>
      <c r="E37" s="215"/>
    </row>
    <row r="38" spans="1:5" x14ac:dyDescent="0.25">
      <c r="A38" s="213"/>
      <c r="B38" s="214"/>
      <c r="C38" s="214"/>
      <c r="D38" s="214"/>
      <c r="E38" s="215"/>
    </row>
    <row r="39" spans="1:5" x14ac:dyDescent="0.25">
      <c r="A39" s="213"/>
      <c r="B39" s="214"/>
      <c r="C39" s="214"/>
      <c r="D39" s="214"/>
      <c r="E39" s="215"/>
    </row>
    <row r="40" spans="1:5" x14ac:dyDescent="0.25">
      <c r="A40" s="213"/>
      <c r="B40" s="214"/>
      <c r="C40" s="214"/>
      <c r="D40" s="214"/>
      <c r="E40" s="215"/>
    </row>
    <row r="41" spans="1:5" x14ac:dyDescent="0.25">
      <c r="A41" s="213"/>
      <c r="B41" s="214"/>
      <c r="C41" s="214"/>
      <c r="D41" s="214"/>
      <c r="E41" s="215"/>
    </row>
    <row r="42" spans="1:5" x14ac:dyDescent="0.25">
      <c r="A42" s="213"/>
      <c r="B42" s="214"/>
      <c r="C42" s="214"/>
      <c r="D42" s="214"/>
      <c r="E42" s="215"/>
    </row>
    <row r="43" spans="1:5" x14ac:dyDescent="0.25">
      <c r="A43" s="213"/>
      <c r="B43" s="214"/>
      <c r="C43" s="214"/>
      <c r="D43" s="214"/>
      <c r="E43" s="215"/>
    </row>
    <row r="44" spans="1:5" x14ac:dyDescent="0.25">
      <c r="A44" s="213"/>
      <c r="B44" s="214"/>
      <c r="C44" s="214"/>
      <c r="D44" s="214"/>
      <c r="E44" s="215"/>
    </row>
    <row r="45" spans="1:5" x14ac:dyDescent="0.25">
      <c r="A45" s="213"/>
      <c r="B45" s="214"/>
      <c r="C45" s="214"/>
      <c r="D45" s="214"/>
      <c r="E45" s="215"/>
    </row>
    <row r="46" spans="1:5" ht="13.5" thickBot="1" x14ac:dyDescent="0.3">
      <c r="A46" s="217"/>
      <c r="B46" s="218"/>
      <c r="C46" s="218"/>
      <c r="D46" s="218"/>
      <c r="E46" s="219"/>
    </row>
    <row r="47" spans="1:5" ht="4.5" customHeight="1" x14ac:dyDescent="0.25"/>
    <row r="48" spans="1:5" x14ac:dyDescent="0.25">
      <c r="A48" s="593" t="s">
        <v>903</v>
      </c>
      <c r="B48" s="592"/>
      <c r="C48" s="592"/>
      <c r="D48" s="592"/>
      <c r="E48" s="592"/>
    </row>
  </sheetData>
  <sheetProtection algorithmName="SHA-512" hashValue="7f8AVW0C/CmoyMrHbkZ93uWGWiTtAtrFoGWYQtkyyZIaw8h5BgRL71PmNidTpnkO+UJiOEfi8cJUbyaqpc1bRg==" saltValue="HkJtrhP6dNHorXjcwrJdgg==" spinCount="100000" sheet="1" objects="1" scenarios="1"/>
  <mergeCells count="7">
    <mergeCell ref="A48:E48"/>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0534-5297-4B87-B1B4-A50C98F9DAB9}">
  <sheetPr codeName="Sheet24">
    <tabColor rgb="FFFFFF00"/>
  </sheetPr>
  <dimension ref="A1:E48"/>
  <sheetViews>
    <sheetView showZeros="0" view="pageLayout" zoomScaleNormal="100" workbookViewId="0">
      <selection activeCell="D24" sqref="D24"/>
    </sheetView>
  </sheetViews>
  <sheetFormatPr defaultColWidth="9.140625" defaultRowHeight="12.75" x14ac:dyDescent="0.25"/>
  <cols>
    <col min="1" max="1" width="20.140625" style="71" customWidth="1"/>
    <col min="2" max="2" width="18.42578125" style="71" customWidth="1"/>
    <col min="3" max="3" width="13.5703125" style="71" customWidth="1"/>
    <col min="4" max="4" width="23.140625" style="71" customWidth="1"/>
    <col min="5" max="5" width="25.85546875" style="71" customWidth="1"/>
    <col min="6" max="16384" width="9.140625" style="71"/>
  </cols>
  <sheetData>
    <row r="1" spans="1:5" ht="24.95" customHeight="1" x14ac:dyDescent="0.25">
      <c r="A1" s="591" t="s">
        <v>446</v>
      </c>
      <c r="B1" s="591"/>
      <c r="C1" s="591"/>
      <c r="D1" s="591"/>
      <c r="E1" s="591"/>
    </row>
    <row r="2" spans="1:5" ht="22.5" x14ac:dyDescent="0.25">
      <c r="A2" s="591" t="s">
        <v>722</v>
      </c>
      <c r="B2" s="591"/>
      <c r="C2" s="591"/>
      <c r="D2" s="591"/>
      <c r="E2" s="591"/>
    </row>
    <row r="3" spans="1:5" ht="15" customHeight="1" x14ac:dyDescent="0.25">
      <c r="A3" s="593"/>
      <c r="B3" s="593"/>
      <c r="C3" s="593"/>
    </row>
    <row r="4" spans="1:5" ht="20.100000000000001" customHeight="1" x14ac:dyDescent="0.25">
      <c r="A4" s="601" t="str">
        <f>'KEY INPUTS'!B2</f>
        <v>Weymouth Township FD No. 1</v>
      </c>
      <c r="B4" s="601"/>
      <c r="C4" s="601"/>
      <c r="D4" s="601"/>
      <c r="E4" s="601"/>
    </row>
    <row r="5" spans="1:5" ht="20.100000000000001" customHeight="1" x14ac:dyDescent="0.25">
      <c r="A5" s="83"/>
      <c r="B5" s="83"/>
      <c r="C5" s="83"/>
    </row>
    <row r="6" spans="1:5" ht="15.75" customHeight="1" x14ac:dyDescent="0.25">
      <c r="A6" s="616" t="str">
        <f>"FISCAL YEAR: January 1, "&amp;'KEY INPUTS'!B1&amp;" to December 31, "&amp;'KEY INPUTS'!B1&amp;""</f>
        <v>FISCAL YEAR: January 1, 2025 to December 31, 2025</v>
      </c>
      <c r="B6" s="616"/>
      <c r="C6" s="616"/>
      <c r="D6" s="616"/>
      <c r="E6" s="616"/>
    </row>
    <row r="7" spans="1:5" ht="15.75" x14ac:dyDescent="0.25">
      <c r="A7" s="89"/>
      <c r="B7" s="89"/>
      <c r="C7" s="89"/>
    </row>
    <row r="8" spans="1:5" ht="15.75" customHeight="1" x14ac:dyDescent="0.25">
      <c r="A8" s="761" t="s">
        <v>718</v>
      </c>
      <c r="B8" s="761"/>
      <c r="C8" s="761"/>
      <c r="D8" s="761"/>
      <c r="E8" s="761"/>
    </row>
    <row r="9" spans="1:5" ht="14.1" customHeight="1" thickBot="1" x14ac:dyDescent="0.3">
      <c r="A9" s="88"/>
    </row>
    <row r="10" spans="1:5" ht="14.1" customHeight="1" thickBot="1" x14ac:dyDescent="0.3">
      <c r="A10" s="207" t="s">
        <v>474</v>
      </c>
      <c r="B10" s="208" t="s">
        <v>781</v>
      </c>
      <c r="C10" s="208" t="s">
        <v>715</v>
      </c>
      <c r="D10" s="208" t="s">
        <v>716</v>
      </c>
      <c r="E10" s="209" t="s">
        <v>717</v>
      </c>
    </row>
    <row r="11" spans="1:5" ht="14.1" customHeight="1" x14ac:dyDescent="0.25">
      <c r="A11" s="210"/>
      <c r="B11" s="211"/>
      <c r="C11" s="211"/>
      <c r="D11" s="211"/>
      <c r="E11" s="212"/>
    </row>
    <row r="12" spans="1:5" ht="14.1" customHeight="1" x14ac:dyDescent="0.25">
      <c r="A12" s="213"/>
      <c r="B12" s="214"/>
      <c r="C12" s="214"/>
      <c r="D12" s="214"/>
      <c r="E12" s="215"/>
    </row>
    <row r="13" spans="1:5" ht="14.1" customHeight="1" x14ac:dyDescent="0.25">
      <c r="A13" s="216"/>
      <c r="B13" s="214"/>
      <c r="C13" s="214"/>
      <c r="D13" s="214"/>
      <c r="E13" s="215"/>
    </row>
    <row r="14" spans="1:5" x14ac:dyDescent="0.25">
      <c r="A14" s="213"/>
      <c r="B14" s="214"/>
      <c r="C14" s="214"/>
      <c r="D14" s="214"/>
      <c r="E14" s="215"/>
    </row>
    <row r="15" spans="1:5" x14ac:dyDescent="0.25">
      <c r="A15" s="213"/>
      <c r="B15" s="214"/>
      <c r="C15" s="214"/>
      <c r="D15" s="214"/>
      <c r="E15" s="215"/>
    </row>
    <row r="16" spans="1:5" x14ac:dyDescent="0.25">
      <c r="A16" s="213"/>
      <c r="B16" s="214"/>
      <c r="C16" s="214"/>
      <c r="D16" s="214"/>
      <c r="E16" s="215"/>
    </row>
    <row r="17" spans="1:5" x14ac:dyDescent="0.25">
      <c r="A17" s="213"/>
      <c r="B17" s="214"/>
      <c r="C17" s="214"/>
      <c r="D17" s="214"/>
      <c r="E17" s="215"/>
    </row>
    <row r="18" spans="1:5" x14ac:dyDescent="0.25">
      <c r="A18" s="213"/>
      <c r="B18" s="214"/>
      <c r="C18" s="214"/>
      <c r="D18" s="214"/>
      <c r="E18" s="215"/>
    </row>
    <row r="19" spans="1:5" x14ac:dyDescent="0.25">
      <c r="A19" s="213"/>
      <c r="B19" s="214"/>
      <c r="C19" s="214"/>
      <c r="D19" s="214"/>
      <c r="E19" s="215"/>
    </row>
    <row r="20" spans="1:5" x14ac:dyDescent="0.25">
      <c r="A20" s="213"/>
      <c r="B20" s="214"/>
      <c r="C20" s="214"/>
      <c r="D20" s="214"/>
      <c r="E20" s="215"/>
    </row>
    <row r="21" spans="1:5" x14ac:dyDescent="0.25">
      <c r="A21" s="213"/>
      <c r="B21" s="214"/>
      <c r="C21" s="214"/>
      <c r="D21" s="214"/>
      <c r="E21" s="215"/>
    </row>
    <row r="22" spans="1:5" x14ac:dyDescent="0.25">
      <c r="A22" s="213"/>
      <c r="B22" s="214"/>
      <c r="C22" s="214"/>
      <c r="D22" s="214"/>
      <c r="E22" s="215"/>
    </row>
    <row r="23" spans="1:5" x14ac:dyDescent="0.25">
      <c r="A23" s="213"/>
      <c r="B23" s="214"/>
      <c r="C23" s="214"/>
      <c r="D23" s="214"/>
      <c r="E23" s="215"/>
    </row>
    <row r="24" spans="1:5" x14ac:dyDescent="0.25">
      <c r="A24" s="213"/>
      <c r="B24" s="214"/>
      <c r="C24" s="214"/>
      <c r="D24" s="214"/>
      <c r="E24" s="215"/>
    </row>
    <row r="25" spans="1:5" x14ac:dyDescent="0.25">
      <c r="A25" s="213"/>
      <c r="B25" s="214"/>
      <c r="C25" s="214"/>
      <c r="D25" s="214"/>
      <c r="E25" s="215"/>
    </row>
    <row r="26" spans="1:5" x14ac:dyDescent="0.25">
      <c r="A26" s="213"/>
      <c r="B26" s="214"/>
      <c r="C26" s="214"/>
      <c r="D26" s="214"/>
      <c r="E26" s="215"/>
    </row>
    <row r="27" spans="1:5" x14ac:dyDescent="0.25">
      <c r="A27" s="213"/>
      <c r="B27" s="214"/>
      <c r="C27" s="214"/>
      <c r="D27" s="214"/>
      <c r="E27" s="215"/>
    </row>
    <row r="28" spans="1:5" x14ac:dyDescent="0.25">
      <c r="A28" s="213"/>
      <c r="B28" s="214"/>
      <c r="C28" s="214"/>
      <c r="D28" s="214"/>
      <c r="E28" s="215"/>
    </row>
    <row r="29" spans="1:5" x14ac:dyDescent="0.25">
      <c r="A29" s="213"/>
      <c r="B29" s="214"/>
      <c r="C29" s="214"/>
      <c r="D29" s="214"/>
      <c r="E29" s="215"/>
    </row>
    <row r="30" spans="1:5" x14ac:dyDescent="0.25">
      <c r="A30" s="213"/>
      <c r="B30" s="214"/>
      <c r="C30" s="214"/>
      <c r="D30" s="214"/>
      <c r="E30" s="215"/>
    </row>
    <row r="31" spans="1:5" x14ac:dyDescent="0.25">
      <c r="A31" s="213"/>
      <c r="B31" s="214"/>
      <c r="C31" s="214"/>
      <c r="D31" s="214"/>
      <c r="E31" s="215"/>
    </row>
    <row r="32" spans="1:5" x14ac:dyDescent="0.25">
      <c r="A32" s="213"/>
      <c r="B32" s="214"/>
      <c r="C32" s="214"/>
      <c r="D32" s="214"/>
      <c r="E32" s="215"/>
    </row>
    <row r="33" spans="1:5" x14ac:dyDescent="0.25">
      <c r="A33" s="213"/>
      <c r="B33" s="214"/>
      <c r="C33" s="214"/>
      <c r="D33" s="214"/>
      <c r="E33" s="215"/>
    </row>
    <row r="34" spans="1:5" x14ac:dyDescent="0.25">
      <c r="A34" s="213"/>
      <c r="B34" s="214"/>
      <c r="C34" s="214"/>
      <c r="D34" s="214"/>
      <c r="E34" s="215"/>
    </row>
    <row r="35" spans="1:5" x14ac:dyDescent="0.25">
      <c r="A35" s="213"/>
      <c r="B35" s="214"/>
      <c r="C35" s="214"/>
      <c r="D35" s="214"/>
      <c r="E35" s="215"/>
    </row>
    <row r="36" spans="1:5" x14ac:dyDescent="0.25">
      <c r="A36" s="213"/>
      <c r="B36" s="214"/>
      <c r="C36" s="214"/>
      <c r="D36" s="214"/>
      <c r="E36" s="215"/>
    </row>
    <row r="37" spans="1:5" x14ac:dyDescent="0.25">
      <c r="A37" s="213"/>
      <c r="B37" s="214"/>
      <c r="C37" s="214"/>
      <c r="D37" s="214"/>
      <c r="E37" s="215"/>
    </row>
    <row r="38" spans="1:5" x14ac:dyDescent="0.25">
      <c r="A38" s="213"/>
      <c r="B38" s="214"/>
      <c r="C38" s="214"/>
      <c r="D38" s="214"/>
      <c r="E38" s="215"/>
    </row>
    <row r="39" spans="1:5" x14ac:dyDescent="0.25">
      <c r="A39" s="213"/>
      <c r="B39" s="214"/>
      <c r="C39" s="214"/>
      <c r="D39" s="214"/>
      <c r="E39" s="215"/>
    </row>
    <row r="40" spans="1:5" x14ac:dyDescent="0.25">
      <c r="A40" s="213"/>
      <c r="B40" s="214"/>
      <c r="C40" s="214"/>
      <c r="D40" s="214"/>
      <c r="E40" s="215"/>
    </row>
    <row r="41" spans="1:5" x14ac:dyDescent="0.25">
      <c r="A41" s="213"/>
      <c r="B41" s="214"/>
      <c r="C41" s="214"/>
      <c r="D41" s="214"/>
      <c r="E41" s="215"/>
    </row>
    <row r="42" spans="1:5" x14ac:dyDescent="0.25">
      <c r="A42" s="213"/>
      <c r="B42" s="214"/>
      <c r="C42" s="214"/>
      <c r="D42" s="214"/>
      <c r="E42" s="215"/>
    </row>
    <row r="43" spans="1:5" x14ac:dyDescent="0.25">
      <c r="A43" s="213"/>
      <c r="B43" s="214"/>
      <c r="C43" s="214"/>
      <c r="D43" s="214"/>
      <c r="E43" s="215"/>
    </row>
    <row r="44" spans="1:5" x14ac:dyDescent="0.25">
      <c r="A44" s="213"/>
      <c r="B44" s="214"/>
      <c r="C44" s="214"/>
      <c r="D44" s="214"/>
      <c r="E44" s="215"/>
    </row>
    <row r="45" spans="1:5" x14ac:dyDescent="0.25">
      <c r="A45" s="213"/>
      <c r="B45" s="214"/>
      <c r="C45" s="214"/>
      <c r="D45" s="214"/>
      <c r="E45" s="215"/>
    </row>
    <row r="46" spans="1:5" ht="13.5" thickBot="1" x14ac:dyDescent="0.3">
      <c r="A46" s="217"/>
      <c r="B46" s="218"/>
      <c r="C46" s="218"/>
      <c r="D46" s="218"/>
      <c r="E46" s="219"/>
    </row>
    <row r="47" spans="1:5" ht="4.5" customHeight="1" x14ac:dyDescent="0.25"/>
    <row r="48" spans="1:5" x14ac:dyDescent="0.25">
      <c r="A48" s="593" t="s">
        <v>902</v>
      </c>
      <c r="B48" s="592"/>
      <c r="C48" s="592"/>
      <c r="D48" s="592"/>
      <c r="E48" s="592"/>
    </row>
  </sheetData>
  <sheetProtection algorithmName="SHA-512" hashValue="KsJGzwiJsKjjVBhQUi002WZRJi4G1JCyfEmxZ6odmHYeJgVkYd7Vt5gGg5tlweRgJUED7GRkDm2VUIEHLOHXkQ==" saltValue="s85z5fIPWwYlTBICEw8dZw==" spinCount="100000" sheet="1" objects="1" scenarios="1"/>
  <mergeCells count="7">
    <mergeCell ref="A48:E48"/>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18C11-D4C7-4A85-8C19-29E89E4B2329}">
  <sheetPr codeName="Sheet39">
    <tabColor rgb="FFFFFF00"/>
  </sheetPr>
  <dimension ref="A1:E48"/>
  <sheetViews>
    <sheetView showZeros="0" view="pageLayout" zoomScaleNormal="100" workbookViewId="0">
      <selection activeCell="C30" sqref="C30"/>
    </sheetView>
  </sheetViews>
  <sheetFormatPr defaultColWidth="9.140625" defaultRowHeight="12.75" x14ac:dyDescent="0.25"/>
  <cols>
    <col min="1" max="1" width="20.140625" style="71" customWidth="1"/>
    <col min="2" max="2" width="18.42578125" style="71" customWidth="1"/>
    <col min="3" max="3" width="13.5703125" style="71" customWidth="1"/>
    <col min="4" max="4" width="23.140625" style="71" customWidth="1"/>
    <col min="5" max="5" width="25.85546875" style="71" customWidth="1"/>
    <col min="6" max="16384" width="9.140625" style="71"/>
  </cols>
  <sheetData>
    <row r="1" spans="1:5" ht="24.95" customHeight="1" x14ac:dyDescent="0.25">
      <c r="A1" s="591" t="s">
        <v>446</v>
      </c>
      <c r="B1" s="591"/>
      <c r="C1" s="591"/>
      <c r="D1" s="591"/>
      <c r="E1" s="591"/>
    </row>
    <row r="2" spans="1:5" ht="22.5" x14ac:dyDescent="0.25">
      <c r="A2" s="591" t="s">
        <v>722</v>
      </c>
      <c r="B2" s="591"/>
      <c r="C2" s="591"/>
      <c r="D2" s="591"/>
      <c r="E2" s="591"/>
    </row>
    <row r="3" spans="1:5" ht="15" customHeight="1" x14ac:dyDescent="0.25">
      <c r="A3" s="593"/>
      <c r="B3" s="593"/>
      <c r="C3" s="593"/>
    </row>
    <row r="4" spans="1:5" ht="20.100000000000001" customHeight="1" x14ac:dyDescent="0.25">
      <c r="A4" s="601" t="str">
        <f>'KEY INPUTS'!B2</f>
        <v>Weymouth Township FD No. 1</v>
      </c>
      <c r="B4" s="601"/>
      <c r="C4" s="601"/>
      <c r="D4" s="601"/>
      <c r="E4" s="601"/>
    </row>
    <row r="5" spans="1:5" ht="20.100000000000001" customHeight="1" x14ac:dyDescent="0.25">
      <c r="A5" s="83"/>
      <c r="B5" s="83"/>
      <c r="C5" s="83"/>
    </row>
    <row r="6" spans="1:5" ht="15.75" customHeight="1" x14ac:dyDescent="0.25">
      <c r="A6" s="616" t="str">
        <f>"FISCAL YEAR: January 1, "&amp;'KEY INPUTS'!B1&amp;" to December 31, "&amp;'KEY INPUTS'!B1&amp;""</f>
        <v>FISCAL YEAR: January 1, 2025 to December 31, 2025</v>
      </c>
      <c r="B6" s="616"/>
      <c r="C6" s="616"/>
      <c r="D6" s="616"/>
      <c r="E6" s="616"/>
    </row>
    <row r="7" spans="1:5" ht="15.75" x14ac:dyDescent="0.25">
      <c r="A7" s="89"/>
      <c r="B7" s="89"/>
      <c r="C7" s="89"/>
    </row>
    <row r="8" spans="1:5" ht="15.75" customHeight="1" x14ac:dyDescent="0.25">
      <c r="A8" s="761" t="s">
        <v>718</v>
      </c>
      <c r="B8" s="761"/>
      <c r="C8" s="761"/>
      <c r="D8" s="761"/>
      <c r="E8" s="761"/>
    </row>
    <row r="9" spans="1:5" ht="14.1" customHeight="1" thickBot="1" x14ac:dyDescent="0.3">
      <c r="A9" s="88"/>
    </row>
    <row r="10" spans="1:5" ht="14.1" customHeight="1" thickBot="1" x14ac:dyDescent="0.3">
      <c r="A10" s="207" t="s">
        <v>474</v>
      </c>
      <c r="B10" s="208" t="s">
        <v>781</v>
      </c>
      <c r="C10" s="208" t="s">
        <v>715</v>
      </c>
      <c r="D10" s="208" t="s">
        <v>716</v>
      </c>
      <c r="E10" s="209" t="s">
        <v>717</v>
      </c>
    </row>
    <row r="11" spans="1:5" ht="14.1" customHeight="1" x14ac:dyDescent="0.25">
      <c r="A11" s="210"/>
      <c r="B11" s="211"/>
      <c r="C11" s="211"/>
      <c r="D11" s="211"/>
      <c r="E11" s="212"/>
    </row>
    <row r="12" spans="1:5" ht="14.1" customHeight="1" x14ac:dyDescent="0.25">
      <c r="A12" s="213"/>
      <c r="B12" s="214"/>
      <c r="C12" s="214"/>
      <c r="D12" s="214"/>
      <c r="E12" s="215"/>
    </row>
    <row r="13" spans="1:5" ht="14.1" customHeight="1" x14ac:dyDescent="0.25">
      <c r="A13" s="216"/>
      <c r="B13" s="214"/>
      <c r="C13" s="214"/>
      <c r="D13" s="214"/>
      <c r="E13" s="215"/>
    </row>
    <row r="14" spans="1:5" x14ac:dyDescent="0.25">
      <c r="A14" s="213"/>
      <c r="B14" s="214"/>
      <c r="C14" s="214"/>
      <c r="D14" s="214"/>
      <c r="E14" s="215"/>
    </row>
    <row r="15" spans="1:5" x14ac:dyDescent="0.25">
      <c r="A15" s="213"/>
      <c r="B15" s="214"/>
      <c r="C15" s="214"/>
      <c r="D15" s="214"/>
      <c r="E15" s="215"/>
    </row>
    <row r="16" spans="1:5" x14ac:dyDescent="0.25">
      <c r="A16" s="213"/>
      <c r="B16" s="214"/>
      <c r="C16" s="214"/>
      <c r="D16" s="214"/>
      <c r="E16" s="215"/>
    </row>
    <row r="17" spans="1:5" x14ac:dyDescent="0.25">
      <c r="A17" s="213"/>
      <c r="B17" s="214"/>
      <c r="C17" s="214"/>
      <c r="D17" s="214"/>
      <c r="E17" s="215"/>
    </row>
    <row r="18" spans="1:5" x14ac:dyDescent="0.25">
      <c r="A18" s="213"/>
      <c r="B18" s="214"/>
      <c r="C18" s="214"/>
      <c r="D18" s="214"/>
      <c r="E18" s="215"/>
    </row>
    <row r="19" spans="1:5" x14ac:dyDescent="0.25">
      <c r="A19" s="213"/>
      <c r="B19" s="214"/>
      <c r="C19" s="214"/>
      <c r="D19" s="214"/>
      <c r="E19" s="215"/>
    </row>
    <row r="20" spans="1:5" x14ac:dyDescent="0.25">
      <c r="A20" s="213"/>
      <c r="B20" s="214"/>
      <c r="C20" s="214"/>
      <c r="D20" s="214"/>
      <c r="E20" s="215"/>
    </row>
    <row r="21" spans="1:5" x14ac:dyDescent="0.25">
      <c r="A21" s="213"/>
      <c r="B21" s="214"/>
      <c r="C21" s="214"/>
      <c r="D21" s="214"/>
      <c r="E21" s="215"/>
    </row>
    <row r="22" spans="1:5" x14ac:dyDescent="0.25">
      <c r="A22" s="213"/>
      <c r="B22" s="214"/>
      <c r="C22" s="214"/>
      <c r="D22" s="214"/>
      <c r="E22" s="215"/>
    </row>
    <row r="23" spans="1:5" x14ac:dyDescent="0.25">
      <c r="A23" s="213"/>
      <c r="B23" s="214"/>
      <c r="C23" s="214"/>
      <c r="D23" s="214"/>
      <c r="E23" s="215"/>
    </row>
    <row r="24" spans="1:5" x14ac:dyDescent="0.25">
      <c r="A24" s="213"/>
      <c r="B24" s="214"/>
      <c r="C24" s="214"/>
      <c r="D24" s="214"/>
      <c r="E24" s="215"/>
    </row>
    <row r="25" spans="1:5" x14ac:dyDescent="0.25">
      <c r="A25" s="213"/>
      <c r="B25" s="214"/>
      <c r="C25" s="214"/>
      <c r="D25" s="214"/>
      <c r="E25" s="215"/>
    </row>
    <row r="26" spans="1:5" x14ac:dyDescent="0.25">
      <c r="A26" s="213"/>
      <c r="B26" s="214"/>
      <c r="C26" s="214"/>
      <c r="D26" s="214"/>
      <c r="E26" s="215"/>
    </row>
    <row r="27" spans="1:5" x14ac:dyDescent="0.25">
      <c r="A27" s="213"/>
      <c r="B27" s="214"/>
      <c r="C27" s="214"/>
      <c r="D27" s="214"/>
      <c r="E27" s="215"/>
    </row>
    <row r="28" spans="1:5" x14ac:dyDescent="0.25">
      <c r="A28" s="213"/>
      <c r="B28" s="214"/>
      <c r="C28" s="214"/>
      <c r="D28" s="214"/>
      <c r="E28" s="215"/>
    </row>
    <row r="29" spans="1:5" x14ac:dyDescent="0.25">
      <c r="A29" s="213"/>
      <c r="B29" s="214"/>
      <c r="C29" s="214"/>
      <c r="D29" s="214"/>
      <c r="E29" s="215"/>
    </row>
    <row r="30" spans="1:5" x14ac:dyDescent="0.25">
      <c r="A30" s="213"/>
      <c r="B30" s="214"/>
      <c r="C30" s="214"/>
      <c r="D30" s="214"/>
      <c r="E30" s="215"/>
    </row>
    <row r="31" spans="1:5" x14ac:dyDescent="0.25">
      <c r="A31" s="213"/>
      <c r="B31" s="214"/>
      <c r="C31" s="214"/>
      <c r="D31" s="214"/>
      <c r="E31" s="215"/>
    </row>
    <row r="32" spans="1:5" x14ac:dyDescent="0.25">
      <c r="A32" s="213"/>
      <c r="B32" s="214"/>
      <c r="C32" s="214"/>
      <c r="D32" s="214"/>
      <c r="E32" s="215"/>
    </row>
    <row r="33" spans="1:5" x14ac:dyDescent="0.25">
      <c r="A33" s="213"/>
      <c r="B33" s="214"/>
      <c r="C33" s="214"/>
      <c r="D33" s="214"/>
      <c r="E33" s="215"/>
    </row>
    <row r="34" spans="1:5" x14ac:dyDescent="0.25">
      <c r="A34" s="213"/>
      <c r="B34" s="214"/>
      <c r="C34" s="214"/>
      <c r="D34" s="214"/>
      <c r="E34" s="215"/>
    </row>
    <row r="35" spans="1:5" x14ac:dyDescent="0.25">
      <c r="A35" s="213"/>
      <c r="B35" s="214"/>
      <c r="C35" s="214"/>
      <c r="D35" s="214"/>
      <c r="E35" s="215"/>
    </row>
    <row r="36" spans="1:5" x14ac:dyDescent="0.25">
      <c r="A36" s="213"/>
      <c r="B36" s="214"/>
      <c r="C36" s="214"/>
      <c r="D36" s="214"/>
      <c r="E36" s="215"/>
    </row>
    <row r="37" spans="1:5" x14ac:dyDescent="0.25">
      <c r="A37" s="213"/>
      <c r="B37" s="214"/>
      <c r="C37" s="214"/>
      <c r="D37" s="214"/>
      <c r="E37" s="215"/>
    </row>
    <row r="38" spans="1:5" x14ac:dyDescent="0.25">
      <c r="A38" s="213"/>
      <c r="B38" s="214"/>
      <c r="C38" s="214"/>
      <c r="D38" s="214"/>
      <c r="E38" s="215"/>
    </row>
    <row r="39" spans="1:5" x14ac:dyDescent="0.25">
      <c r="A39" s="213"/>
      <c r="B39" s="214"/>
      <c r="C39" s="214"/>
      <c r="D39" s="214"/>
      <c r="E39" s="215"/>
    </row>
    <row r="40" spans="1:5" x14ac:dyDescent="0.25">
      <c r="A40" s="213"/>
      <c r="B40" s="214"/>
      <c r="C40" s="214"/>
      <c r="D40" s="214"/>
      <c r="E40" s="215"/>
    </row>
    <row r="41" spans="1:5" x14ac:dyDescent="0.25">
      <c r="A41" s="213"/>
      <c r="B41" s="214"/>
      <c r="C41" s="214"/>
      <c r="D41" s="214"/>
      <c r="E41" s="215"/>
    </row>
    <row r="42" spans="1:5" x14ac:dyDescent="0.25">
      <c r="A42" s="213"/>
      <c r="B42" s="214"/>
      <c r="C42" s="214"/>
      <c r="D42" s="214"/>
      <c r="E42" s="215"/>
    </row>
    <row r="43" spans="1:5" x14ac:dyDescent="0.25">
      <c r="A43" s="213"/>
      <c r="B43" s="214"/>
      <c r="C43" s="214"/>
      <c r="D43" s="214"/>
      <c r="E43" s="215"/>
    </row>
    <row r="44" spans="1:5" x14ac:dyDescent="0.25">
      <c r="A44" s="213"/>
      <c r="B44" s="214"/>
      <c r="C44" s="214"/>
      <c r="D44" s="214"/>
      <c r="E44" s="215"/>
    </row>
    <row r="45" spans="1:5" x14ac:dyDescent="0.25">
      <c r="A45" s="213"/>
      <c r="B45" s="214"/>
      <c r="C45" s="214"/>
      <c r="D45" s="214"/>
      <c r="E45" s="215"/>
    </row>
    <row r="46" spans="1:5" ht="13.5" thickBot="1" x14ac:dyDescent="0.3">
      <c r="A46" s="217"/>
      <c r="B46" s="218"/>
      <c r="C46" s="218"/>
      <c r="D46" s="218"/>
      <c r="E46" s="219"/>
    </row>
    <row r="47" spans="1:5" ht="4.5" customHeight="1" x14ac:dyDescent="0.25"/>
    <row r="48" spans="1:5" x14ac:dyDescent="0.25">
      <c r="A48" s="593" t="s">
        <v>934</v>
      </c>
      <c r="B48" s="592"/>
      <c r="C48" s="592"/>
      <c r="D48" s="592"/>
      <c r="E48" s="592"/>
    </row>
  </sheetData>
  <sheetProtection algorithmName="SHA-512" hashValue="v32e3Nqzgw0KI6S5xlYhv2dGp99CW79G/5ni1F6tSSO6pbp3buXfcAFmAhROLv6Xd/X+mtjUK9wGN3zW9+qMCQ==" saltValue="VZ/or++LtadyTrv50Z6CSQ==" spinCount="100000" sheet="1" objects="1" scenarios="1"/>
  <mergeCells count="7">
    <mergeCell ref="A48:E48"/>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E002-8A71-465E-A76A-D9990899F788}">
  <sheetPr codeName="Sheet25">
    <tabColor rgb="FFFFFF00"/>
  </sheetPr>
  <dimension ref="A1:F46"/>
  <sheetViews>
    <sheetView showZeros="0" zoomScaleNormal="100" workbookViewId="0">
      <selection activeCell="F32" sqref="F32"/>
    </sheetView>
  </sheetViews>
  <sheetFormatPr defaultColWidth="9.140625" defaultRowHeight="12.75" x14ac:dyDescent="0.25"/>
  <cols>
    <col min="1" max="1" width="20.5703125" style="71" customWidth="1"/>
    <col min="2" max="2" width="42.42578125" style="71" customWidth="1"/>
    <col min="3" max="3" width="1.140625" style="71" customWidth="1"/>
    <col min="4" max="4" width="11" style="71" customWidth="1"/>
    <col min="5" max="5" width="11.5703125" style="71" customWidth="1"/>
    <col min="6" max="16384" width="9.140625" style="71"/>
  </cols>
  <sheetData>
    <row r="1" spans="1:6" ht="17.100000000000001" customHeight="1" x14ac:dyDescent="0.25">
      <c r="A1" s="602" t="s">
        <v>472</v>
      </c>
      <c r="B1" s="602"/>
      <c r="C1" s="602"/>
      <c r="D1" s="602"/>
      <c r="E1" s="602"/>
      <c r="F1" s="602"/>
    </row>
    <row r="2" spans="1:6" s="220" customFormat="1" ht="22.35" customHeight="1" x14ac:dyDescent="0.25">
      <c r="A2" s="658"/>
      <c r="B2" s="658"/>
      <c r="C2" s="658"/>
      <c r="D2" s="658"/>
      <c r="E2" s="658"/>
    </row>
    <row r="3" spans="1:6" ht="20.100000000000001" customHeight="1" x14ac:dyDescent="0.25">
      <c r="A3" s="601" t="str">
        <f>'Questionnaire (2)'!A4:C4</f>
        <v>Weymouth Township FD No. 1</v>
      </c>
      <c r="B3" s="601"/>
      <c r="C3" s="601"/>
      <c r="D3" s="601"/>
      <c r="E3" s="601"/>
      <c r="F3" s="601"/>
    </row>
    <row r="4" spans="1:6" ht="15.75" customHeight="1" x14ac:dyDescent="0.25">
      <c r="A4" s="83"/>
      <c r="B4" s="83"/>
      <c r="C4" s="83"/>
      <c r="D4" s="83"/>
      <c r="E4" s="83"/>
    </row>
    <row r="5" spans="1:6" ht="15.75" customHeight="1" x14ac:dyDescent="0.25">
      <c r="A5" s="616" t="str">
        <f>"FISCAL YEAR: January 1, "&amp;'KEY INPUTS'!B1&amp;" to December 31, "&amp;'KEY INPUTS'!B1&amp;""</f>
        <v>FISCAL YEAR: January 1, 2025 to December 31, 2025</v>
      </c>
      <c r="B5" s="616"/>
      <c r="C5" s="616"/>
      <c r="D5" s="616"/>
      <c r="E5" s="616"/>
      <c r="F5" s="616"/>
    </row>
    <row r="6" spans="1:6" ht="12.95" customHeight="1" x14ac:dyDescent="0.25">
      <c r="A6" s="199"/>
      <c r="B6" s="199"/>
    </row>
    <row r="7" spans="1:6" ht="14.1" customHeight="1" x14ac:dyDescent="0.25">
      <c r="A7" s="762" t="s">
        <v>471</v>
      </c>
      <c r="B7" s="762"/>
      <c r="C7" s="762"/>
      <c r="D7" s="762"/>
      <c r="E7" s="762"/>
      <c r="F7" s="762"/>
    </row>
    <row r="8" spans="1:6" ht="14.1" customHeight="1" x14ac:dyDescent="0.25">
      <c r="A8" s="202"/>
    </row>
    <row r="9" spans="1:6" ht="14.1" customHeight="1" x14ac:dyDescent="0.25">
      <c r="A9" s="88" t="s">
        <v>864</v>
      </c>
    </row>
    <row r="10" spans="1:6" ht="14.1" customHeight="1" x14ac:dyDescent="0.25">
      <c r="A10" s="71" t="s">
        <v>863</v>
      </c>
    </row>
    <row r="11" spans="1:6" ht="14.1" customHeight="1" x14ac:dyDescent="0.25">
      <c r="A11" s="127" t="s">
        <v>470</v>
      </c>
    </row>
    <row r="12" spans="1:6" ht="14.1" customHeight="1" x14ac:dyDescent="0.25">
      <c r="A12" s="71" t="s">
        <v>865</v>
      </c>
    </row>
    <row r="13" spans="1:6" ht="14.1" customHeight="1" x14ac:dyDescent="0.25"/>
    <row r="14" spans="1:6" ht="14.1" customHeight="1" x14ac:dyDescent="0.25">
      <c r="A14" s="127" t="s">
        <v>469</v>
      </c>
    </row>
    <row r="15" spans="1:6" ht="14.1" customHeight="1" x14ac:dyDescent="0.25">
      <c r="A15" s="127" t="s">
        <v>468</v>
      </c>
    </row>
    <row r="16" spans="1:6" ht="14.1" customHeight="1" x14ac:dyDescent="0.25">
      <c r="A16" s="88"/>
    </row>
    <row r="17" spans="1:1" x14ac:dyDescent="0.25">
      <c r="A17" s="127" t="s">
        <v>467</v>
      </c>
    </row>
    <row r="18" spans="1:1" x14ac:dyDescent="0.25">
      <c r="A18" s="127" t="s">
        <v>466</v>
      </c>
    </row>
    <row r="19" spans="1:1" x14ac:dyDescent="0.25">
      <c r="A19" s="127" t="s">
        <v>465</v>
      </c>
    </row>
    <row r="20" spans="1:1" x14ac:dyDescent="0.25">
      <c r="A20" s="127" t="s">
        <v>464</v>
      </c>
    </row>
    <row r="22" spans="1:1" x14ac:dyDescent="0.25">
      <c r="A22" s="127" t="s">
        <v>463</v>
      </c>
    </row>
    <row r="23" spans="1:1" x14ac:dyDescent="0.25">
      <c r="A23" s="127" t="s">
        <v>462</v>
      </c>
    </row>
    <row r="24" spans="1:1" x14ac:dyDescent="0.25">
      <c r="A24" s="127" t="s">
        <v>461</v>
      </c>
    </row>
    <row r="25" spans="1:1" x14ac:dyDescent="0.25">
      <c r="A25" s="127" t="s">
        <v>460</v>
      </c>
    </row>
    <row r="26" spans="1:1" x14ac:dyDescent="0.25">
      <c r="A26" s="127" t="s">
        <v>459</v>
      </c>
    </row>
    <row r="27" spans="1:1" x14ac:dyDescent="0.25">
      <c r="A27" s="127" t="s">
        <v>458</v>
      </c>
    </row>
    <row r="29" spans="1:1" x14ac:dyDescent="0.25">
      <c r="A29" s="127" t="s">
        <v>457</v>
      </c>
    </row>
    <row r="30" spans="1:1" x14ac:dyDescent="0.25">
      <c r="A30" s="127" t="s">
        <v>456</v>
      </c>
    </row>
    <row r="32" spans="1:1" x14ac:dyDescent="0.25">
      <c r="A32" s="127"/>
    </row>
    <row r="33" spans="1:6" x14ac:dyDescent="0.25">
      <c r="A33" s="127"/>
    </row>
    <row r="46" spans="1:6" x14ac:dyDescent="0.25">
      <c r="A46" s="593" t="s">
        <v>867</v>
      </c>
      <c r="B46" s="593"/>
      <c r="C46" s="593"/>
      <c r="D46" s="593"/>
      <c r="E46" s="593"/>
      <c r="F46" s="593"/>
    </row>
  </sheetData>
  <sheetProtection algorithmName="SHA-512" hashValue="YFgpeun8Qw5qKfjicUI85Hp3aLDd0Aa8r9cDZijo0aAQdGuL6sVPQf3x6ae0jPzEouvu0X7g+xPb/nFpfaHL0Q==" saltValue="hDVLwWp691zi5DjL/V0HNw==" spinCount="100000" sheet="1" objects="1" scenarios="1"/>
  <mergeCells count="6">
    <mergeCell ref="A1:F1"/>
    <mergeCell ref="A46:F46"/>
    <mergeCell ref="A5:F5"/>
    <mergeCell ref="A3:F3"/>
    <mergeCell ref="A7:F7"/>
    <mergeCell ref="A2:E2"/>
  </mergeCells>
  <printOptions horizontalCentered="1"/>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8E92-F22B-4265-BC0C-05A8A99345FE}">
  <sheetPr codeName="Sheet26">
    <tabColor rgb="FFFFFF00"/>
  </sheetPr>
  <dimension ref="A1:R40"/>
  <sheetViews>
    <sheetView showZeros="0" zoomScaleNormal="100" workbookViewId="0">
      <selection activeCell="E10" sqref="E10"/>
    </sheetView>
  </sheetViews>
  <sheetFormatPr defaultColWidth="3.7109375" defaultRowHeight="15" x14ac:dyDescent="0.25"/>
  <cols>
    <col min="1" max="1" width="3" bestFit="1" customWidth="1"/>
    <col min="2" max="2" width="25.140625" customWidth="1"/>
    <col min="3" max="3" width="18.42578125" customWidth="1"/>
    <col min="4" max="4" width="9.85546875" customWidth="1"/>
    <col min="5" max="7" width="3.5703125" bestFit="1" customWidth="1"/>
    <col min="8" max="8" width="17.42578125" customWidth="1"/>
    <col min="9" max="9" width="10.5703125" customWidth="1"/>
    <col min="10" max="10" width="14.5703125" customWidth="1"/>
    <col min="11" max="11" width="17.28515625" customWidth="1"/>
    <col min="12" max="12" width="18.7109375" customWidth="1"/>
    <col min="13" max="13" width="19.42578125" customWidth="1"/>
    <col min="14" max="14" width="16.42578125" customWidth="1"/>
    <col min="15" max="15" width="7.140625" customWidth="1"/>
    <col min="16" max="16" width="13.7109375" customWidth="1"/>
    <col min="17" max="17" width="17.140625" bestFit="1" customWidth="1"/>
    <col min="18" max="18" width="16.28515625" customWidth="1"/>
  </cols>
  <sheetData>
    <row r="1" spans="1:18" x14ac:dyDescent="0.25">
      <c r="A1" s="768" t="str">
        <f>'Information Sheet'!B9</f>
        <v>Weymouth Township FD No. 1</v>
      </c>
      <c r="B1" s="768"/>
      <c r="C1" s="768"/>
      <c r="D1" s="768"/>
      <c r="E1" s="768"/>
      <c r="F1" s="768"/>
      <c r="G1" s="768"/>
      <c r="H1" s="768"/>
      <c r="I1" s="768"/>
      <c r="J1" s="768"/>
      <c r="K1" s="768"/>
      <c r="L1" s="768"/>
      <c r="M1" s="768"/>
      <c r="N1" s="768"/>
      <c r="O1" s="768"/>
      <c r="P1" s="3"/>
      <c r="Q1" s="3"/>
      <c r="R1" s="3"/>
    </row>
    <row r="2" spans="1:18" x14ac:dyDescent="0.25">
      <c r="A2" s="768" t="str">
        <f>'Information Sheet'!B10</f>
        <v>Atlantic</v>
      </c>
      <c r="B2" s="768"/>
      <c r="C2" s="768"/>
      <c r="D2" s="768"/>
      <c r="E2" s="768"/>
      <c r="F2" s="768"/>
      <c r="G2" s="768"/>
      <c r="H2" s="768"/>
      <c r="I2" s="768"/>
      <c r="J2" s="768"/>
      <c r="K2" s="768"/>
      <c r="L2" s="768"/>
      <c r="M2" s="768"/>
      <c r="N2" s="768"/>
      <c r="O2" s="768"/>
      <c r="P2" s="3"/>
      <c r="Q2" s="3"/>
      <c r="R2" s="3"/>
    </row>
    <row r="3" spans="1:18" x14ac:dyDescent="0.25">
      <c r="E3" s="3"/>
      <c r="F3" s="3"/>
      <c r="G3" s="3"/>
      <c r="H3" s="765" t="s">
        <v>942</v>
      </c>
      <c r="I3" s="765"/>
      <c r="J3" s="765"/>
    </row>
    <row r="4" spans="1:18" ht="15" customHeight="1" x14ac:dyDescent="0.25">
      <c r="E4" s="764" t="s">
        <v>279</v>
      </c>
      <c r="F4" s="764"/>
      <c r="G4" s="764"/>
      <c r="H4" s="766"/>
      <c r="I4" s="766"/>
      <c r="J4" s="766"/>
    </row>
    <row r="5" spans="1:18" ht="105.75" thickBot="1" x14ac:dyDescent="0.3">
      <c r="A5" s="221"/>
      <c r="B5" s="221" t="s">
        <v>280</v>
      </c>
      <c r="C5" s="221" t="s">
        <v>281</v>
      </c>
      <c r="D5" s="222" t="s">
        <v>282</v>
      </c>
      <c r="E5" s="223" t="s">
        <v>283</v>
      </c>
      <c r="F5" s="223" t="s">
        <v>284</v>
      </c>
      <c r="G5" s="224" t="s">
        <v>285</v>
      </c>
      <c r="H5" s="221" t="s">
        <v>286</v>
      </c>
      <c r="I5" s="221" t="s">
        <v>287</v>
      </c>
      <c r="J5" s="225" t="s">
        <v>288</v>
      </c>
      <c r="K5" s="221" t="s">
        <v>289</v>
      </c>
      <c r="L5" s="222" t="s">
        <v>290</v>
      </c>
      <c r="M5" s="421"/>
      <c r="N5" s="421"/>
      <c r="O5" s="421"/>
      <c r="P5" s="421"/>
      <c r="Q5" s="421"/>
      <c r="R5" s="421"/>
    </row>
    <row r="6" spans="1:18" x14ac:dyDescent="0.25">
      <c r="A6">
        <v>1</v>
      </c>
      <c r="B6" s="49" t="s">
        <v>1008</v>
      </c>
      <c r="C6" s="49" t="s">
        <v>1050</v>
      </c>
      <c r="D6" s="50">
        <v>8</v>
      </c>
      <c r="E6" s="13" t="s">
        <v>756</v>
      </c>
      <c r="F6" s="13"/>
      <c r="G6" s="51"/>
      <c r="H6" s="141">
        <v>0</v>
      </c>
      <c r="I6" s="141">
        <v>0</v>
      </c>
      <c r="J6" s="171">
        <v>0</v>
      </c>
      <c r="K6" s="141">
        <v>0</v>
      </c>
      <c r="L6" s="426">
        <f>SUM(H6:K6)</f>
        <v>0</v>
      </c>
      <c r="M6" s="422"/>
      <c r="N6" s="422"/>
      <c r="O6" s="423"/>
      <c r="P6" s="424"/>
      <c r="Q6" s="424"/>
      <c r="R6" s="142"/>
    </row>
    <row r="7" spans="1:18" x14ac:dyDescent="0.25">
      <c r="A7">
        <v>2</v>
      </c>
      <c r="B7" s="49" t="s">
        <v>1009</v>
      </c>
      <c r="C7" s="49" t="s">
        <v>676</v>
      </c>
      <c r="D7" s="52">
        <v>8</v>
      </c>
      <c r="E7" s="13" t="s">
        <v>756</v>
      </c>
      <c r="F7" s="13"/>
      <c r="G7" s="53"/>
      <c r="H7" s="141">
        <v>0</v>
      </c>
      <c r="I7" s="141">
        <v>0</v>
      </c>
      <c r="J7" s="172">
        <v>0</v>
      </c>
      <c r="K7" s="141">
        <v>0</v>
      </c>
      <c r="L7" s="426">
        <f t="shared" ref="L7:L20" si="0">SUM(H7:K7)</f>
        <v>0</v>
      </c>
      <c r="M7" s="425"/>
      <c r="N7" s="425"/>
      <c r="O7" s="423"/>
      <c r="P7" s="424"/>
      <c r="Q7" s="424"/>
      <c r="R7" s="142"/>
    </row>
    <row r="8" spans="1:18" x14ac:dyDescent="0.25">
      <c r="A8">
        <v>3</v>
      </c>
      <c r="B8" s="49" t="s">
        <v>1010</v>
      </c>
      <c r="C8" s="49" t="s">
        <v>677</v>
      </c>
      <c r="D8" s="52">
        <v>8</v>
      </c>
      <c r="E8" s="13" t="s">
        <v>756</v>
      </c>
      <c r="F8" s="13"/>
      <c r="G8" s="53"/>
      <c r="H8" s="141">
        <v>0</v>
      </c>
      <c r="I8" s="141">
        <v>0</v>
      </c>
      <c r="J8" s="172">
        <v>0</v>
      </c>
      <c r="K8" s="141">
        <v>0</v>
      </c>
      <c r="L8" s="426">
        <f t="shared" si="0"/>
        <v>0</v>
      </c>
      <c r="M8" s="425"/>
      <c r="N8" s="425"/>
      <c r="O8" s="423"/>
      <c r="P8" s="424"/>
      <c r="Q8" s="424"/>
      <c r="R8" s="142"/>
    </row>
    <row r="9" spans="1:18" x14ac:dyDescent="0.25">
      <c r="A9">
        <v>4</v>
      </c>
      <c r="B9" s="49" t="s">
        <v>1011</v>
      </c>
      <c r="C9" s="49" t="s">
        <v>283</v>
      </c>
      <c r="D9" s="52">
        <v>8</v>
      </c>
      <c r="E9" s="13" t="s">
        <v>756</v>
      </c>
      <c r="F9" s="13"/>
      <c r="G9" s="53"/>
      <c r="H9" s="141">
        <v>0</v>
      </c>
      <c r="I9" s="141">
        <v>0</v>
      </c>
      <c r="J9" s="172">
        <v>0</v>
      </c>
      <c r="K9" s="141">
        <v>0</v>
      </c>
      <c r="L9" s="426">
        <f t="shared" si="0"/>
        <v>0</v>
      </c>
      <c r="M9" s="425"/>
      <c r="N9" s="425"/>
      <c r="O9" s="423"/>
      <c r="P9" s="424"/>
      <c r="Q9" s="424"/>
      <c r="R9" s="142"/>
    </row>
    <row r="10" spans="1:18" x14ac:dyDescent="0.25">
      <c r="A10">
        <v>5</v>
      </c>
      <c r="B10" s="49" t="s">
        <v>1012</v>
      </c>
      <c r="C10" s="49" t="s">
        <v>283</v>
      </c>
      <c r="D10" s="52">
        <v>0</v>
      </c>
      <c r="E10" s="13" t="s">
        <v>756</v>
      </c>
      <c r="F10" s="13"/>
      <c r="G10" s="53" t="s">
        <v>756</v>
      </c>
      <c r="H10" s="141">
        <v>0</v>
      </c>
      <c r="I10" s="141">
        <v>0</v>
      </c>
      <c r="J10" s="172">
        <v>0</v>
      </c>
      <c r="K10" s="141">
        <v>0</v>
      </c>
      <c r="L10" s="426">
        <f t="shared" si="0"/>
        <v>0</v>
      </c>
      <c r="M10" s="425"/>
      <c r="N10" s="425"/>
      <c r="O10" s="423"/>
      <c r="P10" s="424"/>
      <c r="Q10" s="424"/>
      <c r="R10" s="142"/>
    </row>
    <row r="11" spans="1:18" x14ac:dyDescent="0.25">
      <c r="A11">
        <v>6</v>
      </c>
      <c r="B11" s="49"/>
      <c r="C11" s="49"/>
      <c r="D11" s="52"/>
      <c r="E11" s="13"/>
      <c r="F11" s="13"/>
      <c r="G11" s="53"/>
      <c r="H11" s="141"/>
      <c r="I11" s="141"/>
      <c r="J11" s="172"/>
      <c r="K11" s="141"/>
      <c r="L11" s="426">
        <f t="shared" si="0"/>
        <v>0</v>
      </c>
      <c r="M11" s="425"/>
      <c r="N11" s="425"/>
      <c r="O11" s="423"/>
      <c r="P11" s="424"/>
      <c r="Q11" s="424"/>
      <c r="R11" s="142"/>
    </row>
    <row r="12" spans="1:18" x14ac:dyDescent="0.25">
      <c r="A12">
        <v>7</v>
      </c>
      <c r="B12" s="49"/>
      <c r="C12" s="49"/>
      <c r="D12" s="52"/>
      <c r="E12" s="13"/>
      <c r="F12" s="13"/>
      <c r="G12" s="53"/>
      <c r="H12" s="141"/>
      <c r="I12" s="141"/>
      <c r="J12" s="172"/>
      <c r="K12" s="141"/>
      <c r="L12" s="426">
        <f t="shared" si="0"/>
        <v>0</v>
      </c>
      <c r="M12" s="425"/>
      <c r="N12" s="425"/>
      <c r="O12" s="423"/>
      <c r="P12" s="424"/>
      <c r="Q12" s="424"/>
      <c r="R12" s="142"/>
    </row>
    <row r="13" spans="1:18" x14ac:dyDescent="0.25">
      <c r="A13">
        <v>8</v>
      </c>
      <c r="B13" s="49"/>
      <c r="C13" s="49"/>
      <c r="D13" s="52"/>
      <c r="E13" s="13"/>
      <c r="F13" s="13"/>
      <c r="G13" s="53"/>
      <c r="H13" s="141"/>
      <c r="I13" s="141"/>
      <c r="J13" s="172"/>
      <c r="K13" s="141"/>
      <c r="L13" s="426">
        <f t="shared" si="0"/>
        <v>0</v>
      </c>
      <c r="M13" s="425"/>
      <c r="N13" s="425"/>
      <c r="O13" s="423"/>
      <c r="P13" s="424"/>
      <c r="Q13" s="424"/>
      <c r="R13" s="142"/>
    </row>
    <row r="14" spans="1:18" x14ac:dyDescent="0.25">
      <c r="A14">
        <v>9</v>
      </c>
      <c r="B14" s="49"/>
      <c r="C14" s="49"/>
      <c r="D14" s="52"/>
      <c r="E14" s="13"/>
      <c r="F14" s="13"/>
      <c r="G14" s="53"/>
      <c r="H14" s="141"/>
      <c r="I14" s="141"/>
      <c r="J14" s="172"/>
      <c r="K14" s="141"/>
      <c r="L14" s="426">
        <f t="shared" si="0"/>
        <v>0</v>
      </c>
      <c r="M14" s="425"/>
      <c r="N14" s="425"/>
      <c r="O14" s="423"/>
      <c r="P14" s="424"/>
      <c r="Q14" s="424"/>
      <c r="R14" s="142"/>
    </row>
    <row r="15" spans="1:18" x14ac:dyDescent="0.25">
      <c r="A15">
        <v>10</v>
      </c>
      <c r="B15" s="49"/>
      <c r="C15" s="49"/>
      <c r="D15" s="52"/>
      <c r="E15" s="13"/>
      <c r="F15" s="13"/>
      <c r="G15" s="53"/>
      <c r="H15" s="141"/>
      <c r="I15" s="141"/>
      <c r="J15" s="172"/>
      <c r="K15" s="141"/>
      <c r="L15" s="426">
        <f t="shared" si="0"/>
        <v>0</v>
      </c>
      <c r="M15" s="425"/>
      <c r="N15" s="425"/>
      <c r="O15" s="423"/>
      <c r="P15" s="424"/>
      <c r="Q15" s="424"/>
      <c r="R15" s="142"/>
    </row>
    <row r="16" spans="1:18" x14ac:dyDescent="0.25">
      <c r="A16">
        <v>11</v>
      </c>
      <c r="B16" s="49"/>
      <c r="C16" s="49"/>
      <c r="D16" s="52"/>
      <c r="E16" s="13"/>
      <c r="F16" s="13"/>
      <c r="G16" s="53"/>
      <c r="H16" s="141"/>
      <c r="I16" s="141"/>
      <c r="J16" s="172"/>
      <c r="K16" s="141"/>
      <c r="L16" s="426">
        <f t="shared" si="0"/>
        <v>0</v>
      </c>
      <c r="M16" s="425"/>
      <c r="N16" s="425"/>
      <c r="O16" s="423"/>
      <c r="P16" s="424"/>
      <c r="Q16" s="424"/>
      <c r="R16" s="142"/>
    </row>
    <row r="17" spans="1:18" x14ac:dyDescent="0.25">
      <c r="A17">
        <v>12</v>
      </c>
      <c r="B17" s="49"/>
      <c r="C17" s="49"/>
      <c r="D17" s="52"/>
      <c r="E17" s="13"/>
      <c r="F17" s="13"/>
      <c r="G17" s="53"/>
      <c r="H17" s="141"/>
      <c r="I17" s="141"/>
      <c r="J17" s="172"/>
      <c r="K17" s="141"/>
      <c r="L17" s="426">
        <f t="shared" si="0"/>
        <v>0</v>
      </c>
      <c r="M17" s="425"/>
      <c r="N17" s="425"/>
      <c r="O17" s="423"/>
      <c r="P17" s="424"/>
      <c r="Q17" s="424"/>
      <c r="R17" s="142"/>
    </row>
    <row r="18" spans="1:18" x14ac:dyDescent="0.25">
      <c r="A18">
        <v>13</v>
      </c>
      <c r="B18" s="49"/>
      <c r="C18" s="49"/>
      <c r="D18" s="52"/>
      <c r="E18" s="13"/>
      <c r="F18" s="13"/>
      <c r="G18" s="53"/>
      <c r="H18" s="141"/>
      <c r="I18" s="141"/>
      <c r="J18" s="172"/>
      <c r="K18" s="141"/>
      <c r="L18" s="426">
        <f t="shared" si="0"/>
        <v>0</v>
      </c>
      <c r="M18" s="425"/>
      <c r="N18" s="425"/>
      <c r="O18" s="423"/>
      <c r="P18" s="424"/>
      <c r="Q18" s="424"/>
      <c r="R18" s="142"/>
    </row>
    <row r="19" spans="1:18" x14ac:dyDescent="0.25">
      <c r="A19">
        <v>14</v>
      </c>
      <c r="B19" s="49"/>
      <c r="C19" s="49"/>
      <c r="D19" s="52"/>
      <c r="E19" s="13"/>
      <c r="F19" s="13"/>
      <c r="G19" s="53"/>
      <c r="H19" s="141"/>
      <c r="I19" s="141"/>
      <c r="J19" s="172"/>
      <c r="K19" s="141"/>
      <c r="L19" s="426">
        <f t="shared" si="0"/>
        <v>0</v>
      </c>
      <c r="M19" s="425"/>
      <c r="N19" s="425"/>
      <c r="O19" s="423"/>
      <c r="P19" s="424"/>
      <c r="Q19" s="424"/>
      <c r="R19" s="142"/>
    </row>
    <row r="20" spans="1:18" x14ac:dyDescent="0.25">
      <c r="A20">
        <v>15</v>
      </c>
      <c r="B20" s="429"/>
      <c r="C20" s="429"/>
      <c r="D20" s="430"/>
      <c r="E20" s="431"/>
      <c r="F20" s="431"/>
      <c r="G20" s="432"/>
      <c r="H20" s="144"/>
      <c r="I20" s="144"/>
      <c r="J20" s="173"/>
      <c r="K20" s="144"/>
      <c r="L20" s="427">
        <f t="shared" si="0"/>
        <v>0</v>
      </c>
      <c r="M20" s="425"/>
      <c r="N20" s="425"/>
      <c r="O20" s="423"/>
      <c r="P20" s="424"/>
      <c r="Q20" s="424"/>
      <c r="R20" s="142"/>
    </row>
    <row r="21" spans="1:18" ht="15.75" thickBot="1" x14ac:dyDescent="0.3">
      <c r="B21" t="s">
        <v>291</v>
      </c>
      <c r="H21" s="143">
        <f>SUM(H6:H20)</f>
        <v>0</v>
      </c>
      <c r="I21" s="143">
        <f t="shared" ref="I21:J21" si="1">SUM(I6:I20)</f>
        <v>0</v>
      </c>
      <c r="J21" s="143">
        <f t="shared" si="1"/>
        <v>0</v>
      </c>
      <c r="K21" s="143">
        <f>SUM(K6:K20)</f>
        <v>0</v>
      </c>
      <c r="L21" s="428">
        <f>SUM(L6:L20)</f>
        <v>0</v>
      </c>
      <c r="M21" s="5"/>
      <c r="N21" s="5"/>
      <c r="O21" s="5"/>
      <c r="P21" s="142"/>
      <c r="Q21" s="142"/>
      <c r="R21" s="142"/>
    </row>
    <row r="22" spans="1:18" ht="15.75" thickTop="1" x14ac:dyDescent="0.25"/>
    <row r="23" spans="1:18" ht="15" customHeight="1" x14ac:dyDescent="0.25">
      <c r="B23" s="767" t="s">
        <v>292</v>
      </c>
      <c r="C23" s="767"/>
      <c r="D23" s="767"/>
      <c r="E23" s="767"/>
      <c r="F23" s="767"/>
      <c r="G23" s="767"/>
      <c r="H23" s="767"/>
      <c r="I23" s="767"/>
      <c r="J23" s="767"/>
      <c r="K23" s="767"/>
      <c r="L23" s="767"/>
      <c r="M23" s="767"/>
      <c r="N23" s="81" t="s">
        <v>1020</v>
      </c>
    </row>
    <row r="40" spans="1:15" x14ac:dyDescent="0.25">
      <c r="A40" s="763" t="s">
        <v>868</v>
      </c>
      <c r="B40" s="763"/>
      <c r="C40" s="763"/>
      <c r="D40" s="763"/>
      <c r="E40" s="763"/>
      <c r="F40" s="763"/>
      <c r="G40" s="763"/>
      <c r="H40" s="763"/>
      <c r="I40" s="763"/>
      <c r="J40" s="763"/>
      <c r="K40" s="763"/>
      <c r="L40" s="763"/>
      <c r="M40" s="763"/>
      <c r="N40" s="763"/>
      <c r="O40" s="763"/>
    </row>
  </sheetData>
  <sheetProtection algorithmName="SHA-512" hashValue="9ArxiVi0auUcTGyNd0PwEMgvV9Pw00vfJ1Fbss8ot42pcA0LSIaF1E3P5ZhUADqRWVzcVitqSxXPcj3BHnQLTg==" saltValue="GVcUPQNosgMyyMPRKNEz6w==" spinCount="100000" sheet="1" objects="1" scenarios="1"/>
  <mergeCells count="6">
    <mergeCell ref="A40:O40"/>
    <mergeCell ref="E4:G4"/>
    <mergeCell ref="H3:J4"/>
    <mergeCell ref="B23:M23"/>
    <mergeCell ref="A1:O1"/>
    <mergeCell ref="A2:O2"/>
  </mergeCells>
  <printOptions horizontalCentered="1"/>
  <pageMargins left="0.25" right="0.25" top="0.75" bottom="0.75" header="0.3" footer="0.3"/>
  <pageSetup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1765-509E-4501-888D-73E5B3B1FACB}">
  <sheetPr codeName="Sheet27">
    <tabColor rgb="FFFFFF00"/>
  </sheetPr>
  <dimension ref="A1:I35"/>
  <sheetViews>
    <sheetView view="pageLayout" topLeftCell="A9" zoomScaleNormal="100" workbookViewId="0">
      <selection activeCell="E33" sqref="E33"/>
    </sheetView>
  </sheetViews>
  <sheetFormatPr defaultColWidth="9.140625" defaultRowHeight="15" x14ac:dyDescent="0.25"/>
  <cols>
    <col min="1" max="1" width="46.140625" style="261" customWidth="1"/>
    <col min="2" max="2" width="16.28515625" style="262" bestFit="1" customWidth="1"/>
    <col min="3" max="3" width="13.28515625" style="262" customWidth="1"/>
    <col min="4" max="4" width="14" style="262" bestFit="1" customWidth="1"/>
    <col min="5" max="5" width="14.28515625" style="262" customWidth="1"/>
    <col min="6" max="6" width="13.42578125" style="262" bestFit="1" customWidth="1"/>
    <col min="7" max="7" width="12.85546875" style="262" customWidth="1"/>
    <col min="8" max="8" width="14" style="262" bestFit="1" customWidth="1"/>
    <col min="9" max="9" width="10.28515625" style="261" customWidth="1"/>
  </cols>
  <sheetData>
    <row r="1" spans="1:9" x14ac:dyDescent="0.25">
      <c r="A1" s="768" t="str">
        <f>'Information Sheet'!B9</f>
        <v>Weymouth Township FD No. 1</v>
      </c>
      <c r="B1" s="768"/>
      <c r="C1" s="768"/>
      <c r="D1" s="768"/>
      <c r="E1" s="768"/>
      <c r="F1" s="768"/>
      <c r="G1" s="768"/>
      <c r="H1" s="768"/>
      <c r="I1" s="768"/>
    </row>
    <row r="2" spans="1:9" x14ac:dyDescent="0.25">
      <c r="A2" s="768" t="str">
        <f>'Information Sheet'!B10</f>
        <v>Atlantic</v>
      </c>
      <c r="B2" s="768"/>
      <c r="C2" s="768"/>
      <c r="D2" s="768"/>
      <c r="E2" s="768"/>
      <c r="F2" s="768"/>
      <c r="G2" s="768"/>
      <c r="H2" s="768"/>
      <c r="I2" s="768"/>
    </row>
    <row r="3" spans="1:9" x14ac:dyDescent="0.25">
      <c r="A3"/>
      <c r="B3"/>
      <c r="C3" s="36"/>
      <c r="D3" s="226"/>
      <c r="E3" s="94"/>
      <c r="F3" s="94"/>
      <c r="G3" s="38"/>
      <c r="H3" s="94"/>
      <c r="I3" s="94"/>
    </row>
    <row r="4" spans="1:9" ht="75" x14ac:dyDescent="0.25">
      <c r="A4" s="227"/>
      <c r="B4" s="228" t="s">
        <v>293</v>
      </c>
      <c r="C4" s="228" t="s">
        <v>294</v>
      </c>
      <c r="D4" s="228" t="s">
        <v>295</v>
      </c>
      <c r="E4" s="228" t="s">
        <v>296</v>
      </c>
      <c r="F4" s="228" t="s">
        <v>297</v>
      </c>
      <c r="G4" s="228" t="s">
        <v>298</v>
      </c>
      <c r="H4" s="228" t="s">
        <v>299</v>
      </c>
      <c r="I4" s="229" t="s">
        <v>300</v>
      </c>
    </row>
    <row r="5" spans="1:9" x14ac:dyDescent="0.25">
      <c r="A5" s="230"/>
      <c r="B5" s="231"/>
      <c r="C5" s="231"/>
      <c r="D5" s="231"/>
      <c r="E5" s="231"/>
      <c r="F5" s="231"/>
      <c r="G5" s="231"/>
      <c r="H5" s="231"/>
      <c r="I5" s="232"/>
    </row>
    <row r="6" spans="1:9" x14ac:dyDescent="0.25">
      <c r="A6" s="453" t="s">
        <v>301</v>
      </c>
      <c r="B6" s="462"/>
      <c r="C6" s="463"/>
      <c r="D6" s="463"/>
      <c r="E6" s="463"/>
      <c r="F6" s="463"/>
      <c r="G6" s="463"/>
      <c r="H6" s="463"/>
      <c r="I6" s="464"/>
    </row>
    <row r="7" spans="1:9" x14ac:dyDescent="0.25">
      <c r="A7" s="454" t="s">
        <v>302</v>
      </c>
      <c r="B7" s="54"/>
      <c r="C7" s="174"/>
      <c r="D7" s="233">
        <f>B7*C7</f>
        <v>0</v>
      </c>
      <c r="E7" s="54"/>
      <c r="F7" s="174"/>
      <c r="G7" s="233">
        <f>E7*F7</f>
        <v>0</v>
      </c>
      <c r="H7" s="234">
        <f>D7-G7</f>
        <v>0</v>
      </c>
      <c r="I7" s="235">
        <f>IFERROR(H7/G7,0)</f>
        <v>0</v>
      </c>
    </row>
    <row r="8" spans="1:9" x14ac:dyDescent="0.25">
      <c r="A8" s="454" t="s">
        <v>303</v>
      </c>
      <c r="B8" s="54"/>
      <c r="C8" s="174"/>
      <c r="D8" s="233">
        <f>B8*C8</f>
        <v>0</v>
      </c>
      <c r="E8" s="54"/>
      <c r="F8" s="174"/>
      <c r="G8" s="233">
        <f>E8*F8</f>
        <v>0</v>
      </c>
      <c r="H8" s="234">
        <f>D8-G8</f>
        <v>0</v>
      </c>
      <c r="I8" s="235">
        <f t="shared" ref="I8:I12" si="0">IFERROR(H8/G8,0)</f>
        <v>0</v>
      </c>
    </row>
    <row r="9" spans="1:9" x14ac:dyDescent="0.25">
      <c r="A9" s="454" t="s">
        <v>304</v>
      </c>
      <c r="B9" s="54"/>
      <c r="C9" s="174"/>
      <c r="D9" s="233">
        <f>B9*C9</f>
        <v>0</v>
      </c>
      <c r="E9" s="54"/>
      <c r="F9" s="174"/>
      <c r="G9" s="233">
        <f>E9*F9</f>
        <v>0</v>
      </c>
      <c r="H9" s="234">
        <f>D9-G9</f>
        <v>0</v>
      </c>
      <c r="I9" s="235">
        <f t="shared" si="0"/>
        <v>0</v>
      </c>
    </row>
    <row r="10" spans="1:9" x14ac:dyDescent="0.25">
      <c r="A10" s="454" t="s">
        <v>305</v>
      </c>
      <c r="B10" s="55"/>
      <c r="C10" s="174"/>
      <c r="D10" s="233">
        <f>B10*C10</f>
        <v>0</v>
      </c>
      <c r="E10" s="55"/>
      <c r="F10" s="174"/>
      <c r="G10" s="233">
        <f>E10*F10</f>
        <v>0</v>
      </c>
      <c r="H10" s="234">
        <f>D10-G10</f>
        <v>0</v>
      </c>
      <c r="I10" s="235">
        <f t="shared" si="0"/>
        <v>0</v>
      </c>
    </row>
    <row r="11" spans="1:9" x14ac:dyDescent="0.25">
      <c r="A11" s="454" t="s">
        <v>306</v>
      </c>
      <c r="B11" s="236"/>
      <c r="C11" s="465"/>
      <c r="D11" s="175"/>
      <c r="E11" s="236"/>
      <c r="F11" s="465"/>
      <c r="G11" s="175"/>
      <c r="H11" s="234">
        <f>D11-G11</f>
        <v>0</v>
      </c>
      <c r="I11" s="235">
        <f t="shared" si="0"/>
        <v>0</v>
      </c>
    </row>
    <row r="12" spans="1:9" x14ac:dyDescent="0.25">
      <c r="A12" s="454" t="s">
        <v>307</v>
      </c>
      <c r="B12" s="238">
        <f>SUM(B7:B11)</f>
        <v>0</v>
      </c>
      <c r="C12" s="465"/>
      <c r="D12" s="234">
        <f>SUM(D7:D11)</f>
        <v>0</v>
      </c>
      <c r="E12" s="238">
        <f t="shared" ref="E12:H12" si="1">SUM(E7:E11)</f>
        <v>0</v>
      </c>
      <c r="F12" s="465"/>
      <c r="G12" s="234">
        <f t="shared" si="1"/>
        <v>0</v>
      </c>
      <c r="H12" s="234">
        <f t="shared" si="1"/>
        <v>0</v>
      </c>
      <c r="I12" s="235">
        <f t="shared" si="0"/>
        <v>0</v>
      </c>
    </row>
    <row r="13" spans="1:9" x14ac:dyDescent="0.25">
      <c r="A13" s="455"/>
      <c r="B13" s="236"/>
      <c r="C13" s="240"/>
      <c r="D13" s="240"/>
      <c r="E13" s="236"/>
      <c r="F13" s="240"/>
      <c r="G13" s="240"/>
      <c r="H13" s="237"/>
      <c r="I13" s="235"/>
    </row>
    <row r="14" spans="1:9" x14ac:dyDescent="0.25">
      <c r="A14" s="453" t="s">
        <v>308</v>
      </c>
      <c r="B14" s="241"/>
      <c r="C14" s="242"/>
      <c r="D14" s="243"/>
      <c r="E14" s="241"/>
      <c r="F14" s="242"/>
      <c r="G14" s="243"/>
      <c r="H14" s="242"/>
      <c r="I14" s="235"/>
    </row>
    <row r="15" spans="1:9" x14ac:dyDescent="0.25">
      <c r="A15" s="454" t="s">
        <v>302</v>
      </c>
      <c r="B15" s="54"/>
      <c r="C15" s="174"/>
      <c r="D15" s="244">
        <f>B15*C15</f>
        <v>0</v>
      </c>
      <c r="E15" s="54"/>
      <c r="F15" s="174"/>
      <c r="G15" s="233">
        <f>E15*F15</f>
        <v>0</v>
      </c>
      <c r="H15" s="234">
        <f>D15-G15</f>
        <v>0</v>
      </c>
      <c r="I15" s="235">
        <f t="shared" ref="I15:I20" si="2">IFERROR(H15/G15,0)</f>
        <v>0</v>
      </c>
    </row>
    <row r="16" spans="1:9" x14ac:dyDescent="0.25">
      <c r="A16" s="454" t="s">
        <v>303</v>
      </c>
      <c r="B16" s="54"/>
      <c r="C16" s="174"/>
      <c r="D16" s="244">
        <f>B16*C16</f>
        <v>0</v>
      </c>
      <c r="E16" s="54"/>
      <c r="F16" s="174"/>
      <c r="G16" s="233">
        <f>E16*F16</f>
        <v>0</v>
      </c>
      <c r="H16" s="234">
        <f>D16-G16</f>
        <v>0</v>
      </c>
      <c r="I16" s="235">
        <f t="shared" si="2"/>
        <v>0</v>
      </c>
    </row>
    <row r="17" spans="1:9" x14ac:dyDescent="0.25">
      <c r="A17" s="454" t="s">
        <v>304</v>
      </c>
      <c r="B17" s="54"/>
      <c r="C17" s="174"/>
      <c r="D17" s="244">
        <f>B17*C17</f>
        <v>0</v>
      </c>
      <c r="E17" s="54"/>
      <c r="F17" s="174"/>
      <c r="G17" s="233">
        <f>E17*F17</f>
        <v>0</v>
      </c>
      <c r="H17" s="234">
        <f>D17-G17</f>
        <v>0</v>
      </c>
      <c r="I17" s="235">
        <f t="shared" si="2"/>
        <v>0</v>
      </c>
    </row>
    <row r="18" spans="1:9" x14ac:dyDescent="0.25">
      <c r="A18" s="454" t="s">
        <v>305</v>
      </c>
      <c r="B18" s="55"/>
      <c r="C18" s="174"/>
      <c r="D18" s="244">
        <f>B18*C18</f>
        <v>0</v>
      </c>
      <c r="E18" s="55"/>
      <c r="F18" s="174"/>
      <c r="G18" s="233">
        <f>E18*F18</f>
        <v>0</v>
      </c>
      <c r="H18" s="234">
        <f>D18-G18</f>
        <v>0</v>
      </c>
      <c r="I18" s="235">
        <f t="shared" si="2"/>
        <v>0</v>
      </c>
    </row>
    <row r="19" spans="1:9" x14ac:dyDescent="0.25">
      <c r="A19" s="454" t="s">
        <v>306</v>
      </c>
      <c r="B19" s="236"/>
      <c r="C19" s="465"/>
      <c r="D19" s="56"/>
      <c r="E19" s="236"/>
      <c r="F19" s="465"/>
      <c r="G19" s="175"/>
      <c r="H19" s="245">
        <f>D19-G19</f>
        <v>0</v>
      </c>
      <c r="I19" s="235">
        <f t="shared" si="2"/>
        <v>0</v>
      </c>
    </row>
    <row r="20" spans="1:9" x14ac:dyDescent="0.25">
      <c r="A20" s="454" t="s">
        <v>307</v>
      </c>
      <c r="B20" s="238">
        <f>SUM(B15:B19)</f>
        <v>0</v>
      </c>
      <c r="C20" s="465"/>
      <c r="D20" s="246">
        <f t="shared" ref="D20:E20" si="3">SUM(D15:D19)</f>
        <v>0</v>
      </c>
      <c r="E20" s="238">
        <f t="shared" si="3"/>
        <v>0</v>
      </c>
      <c r="F20" s="465"/>
      <c r="G20" s="234">
        <f t="shared" ref="G20:H20" si="4">SUM(G15:G19)</f>
        <v>0</v>
      </c>
      <c r="H20" s="234">
        <f t="shared" si="4"/>
        <v>0</v>
      </c>
      <c r="I20" s="235">
        <f t="shared" si="2"/>
        <v>0</v>
      </c>
    </row>
    <row r="21" spans="1:9" x14ac:dyDescent="0.25">
      <c r="A21" s="455"/>
      <c r="B21" s="236"/>
      <c r="C21" s="240"/>
      <c r="D21" s="240"/>
      <c r="E21" s="236"/>
      <c r="F21" s="240"/>
      <c r="G21" s="240"/>
      <c r="H21" s="237"/>
      <c r="I21" s="235"/>
    </row>
    <row r="22" spans="1:9" x14ac:dyDescent="0.25">
      <c r="A22" s="453" t="s">
        <v>309</v>
      </c>
      <c r="B22" s="466"/>
      <c r="C22" s="467"/>
      <c r="D22" s="468"/>
      <c r="E22" s="466"/>
      <c r="F22" s="467"/>
      <c r="G22" s="243"/>
      <c r="H22" s="242"/>
      <c r="I22" s="235"/>
    </row>
    <row r="23" spans="1:9" x14ac:dyDescent="0.25">
      <c r="A23" s="454" t="s">
        <v>302</v>
      </c>
      <c r="B23" s="54"/>
      <c r="C23" s="174"/>
      <c r="D23" s="233">
        <f>B23*C23</f>
        <v>0</v>
      </c>
      <c r="E23" s="54"/>
      <c r="F23" s="174"/>
      <c r="G23" s="233">
        <f>E23*F23</f>
        <v>0</v>
      </c>
      <c r="H23" s="234">
        <f>D23-G23</f>
        <v>0</v>
      </c>
      <c r="I23" s="235">
        <f t="shared" ref="I23:I28" si="5">IFERROR(H23/G23,0)</f>
        <v>0</v>
      </c>
    </row>
    <row r="24" spans="1:9" x14ac:dyDescent="0.25">
      <c r="A24" s="454" t="s">
        <v>303</v>
      </c>
      <c r="B24" s="54"/>
      <c r="C24" s="174"/>
      <c r="D24" s="233">
        <f>B24*C24</f>
        <v>0</v>
      </c>
      <c r="E24" s="54"/>
      <c r="F24" s="174"/>
      <c r="G24" s="233">
        <f>E24*F24</f>
        <v>0</v>
      </c>
      <c r="H24" s="234">
        <f>D24-G24</f>
        <v>0</v>
      </c>
      <c r="I24" s="235">
        <f t="shared" si="5"/>
        <v>0</v>
      </c>
    </row>
    <row r="25" spans="1:9" x14ac:dyDescent="0.25">
      <c r="A25" s="454" t="s">
        <v>304</v>
      </c>
      <c r="B25" s="54"/>
      <c r="C25" s="174"/>
      <c r="D25" s="233">
        <f>B25*C25</f>
        <v>0</v>
      </c>
      <c r="E25" s="54"/>
      <c r="F25" s="174"/>
      <c r="G25" s="233">
        <f>E25*F25</f>
        <v>0</v>
      </c>
      <c r="H25" s="234">
        <f>D25-G25</f>
        <v>0</v>
      </c>
      <c r="I25" s="235">
        <f t="shared" si="5"/>
        <v>0</v>
      </c>
    </row>
    <row r="26" spans="1:9" x14ac:dyDescent="0.25">
      <c r="A26" s="454" t="s">
        <v>305</v>
      </c>
      <c r="B26" s="55"/>
      <c r="C26" s="174"/>
      <c r="D26" s="233">
        <f>B26*C26</f>
        <v>0</v>
      </c>
      <c r="E26" s="55"/>
      <c r="F26" s="174"/>
      <c r="G26" s="233">
        <f>E26*F26</f>
        <v>0</v>
      </c>
      <c r="H26" s="234">
        <f>D26-G26</f>
        <v>0</v>
      </c>
      <c r="I26" s="235">
        <f t="shared" si="5"/>
        <v>0</v>
      </c>
    </row>
    <row r="27" spans="1:9" x14ac:dyDescent="0.25">
      <c r="A27" s="454" t="s">
        <v>306</v>
      </c>
      <c r="B27" s="236"/>
      <c r="C27" s="465"/>
      <c r="D27" s="175"/>
      <c r="E27" s="236"/>
      <c r="F27" s="465"/>
      <c r="G27" s="175"/>
      <c r="H27" s="245">
        <f>D27-G27</f>
        <v>0</v>
      </c>
      <c r="I27" s="235">
        <f t="shared" si="5"/>
        <v>0</v>
      </c>
    </row>
    <row r="28" spans="1:9" x14ac:dyDescent="0.25">
      <c r="A28" s="454" t="s">
        <v>307</v>
      </c>
      <c r="B28" s="238">
        <f>SUM(B23:B27)</f>
        <v>0</v>
      </c>
      <c r="C28" s="465"/>
      <c r="D28" s="234">
        <f t="shared" ref="D28:E28" si="6">SUM(D23:D27)</f>
        <v>0</v>
      </c>
      <c r="E28" s="238">
        <f t="shared" si="6"/>
        <v>0</v>
      </c>
      <c r="F28" s="465"/>
      <c r="G28" s="234">
        <f t="shared" ref="G28:H28" si="7">SUM(G23:G27)</f>
        <v>0</v>
      </c>
      <c r="H28" s="234">
        <f t="shared" si="7"/>
        <v>0</v>
      </c>
      <c r="I28" s="235">
        <f t="shared" si="5"/>
        <v>0</v>
      </c>
    </row>
    <row r="29" spans="1:9" x14ac:dyDescent="0.25">
      <c r="A29" s="239"/>
      <c r="B29" s="247"/>
      <c r="C29" s="248"/>
      <c r="D29" s="249"/>
      <c r="E29" s="250"/>
      <c r="F29" s="248"/>
      <c r="G29" s="249"/>
      <c r="H29" s="251"/>
      <c r="I29" s="235"/>
    </row>
    <row r="30" spans="1:9" ht="15.75" thickBot="1" x14ac:dyDescent="0.3">
      <c r="A30" s="252" t="s">
        <v>310</v>
      </c>
      <c r="B30" s="253">
        <f>+B28+B20+B12</f>
        <v>0</v>
      </c>
      <c r="C30" s="254"/>
      <c r="D30" s="255">
        <f>+D28+D20+D12</f>
        <v>0</v>
      </c>
      <c r="E30" s="256">
        <f>+E28+E20+E12</f>
        <v>0</v>
      </c>
      <c r="F30" s="254"/>
      <c r="G30" s="255">
        <f>+G28+G20+G12</f>
        <v>0</v>
      </c>
      <c r="H30" s="256">
        <f>+H28+H20+H12</f>
        <v>0</v>
      </c>
      <c r="I30" s="235">
        <f>IFERROR(H30/G30,0)</f>
        <v>0</v>
      </c>
    </row>
    <row r="31" spans="1:9" ht="15.75" thickTop="1" x14ac:dyDescent="0.25">
      <c r="A31" s="252"/>
      <c r="B31" s="257"/>
      <c r="C31" s="258"/>
      <c r="D31" s="257"/>
      <c r="E31" s="257"/>
      <c r="F31" s="258"/>
      <c r="G31" s="257"/>
      <c r="H31" s="257"/>
      <c r="I31" s="259"/>
    </row>
    <row r="32" spans="1:9" ht="15" customHeight="1" x14ac:dyDescent="0.25">
      <c r="A32" s="769" t="s">
        <v>311</v>
      </c>
      <c r="B32" s="769"/>
      <c r="C32" s="769"/>
      <c r="D32" s="82" t="s">
        <v>1037</v>
      </c>
      <c r="E32" s="260"/>
      <c r="F32" s="517"/>
      <c r="G32" s="517"/>
      <c r="H32" s="517"/>
      <c r="I32" s="517"/>
    </row>
    <row r="33" spans="1:9" x14ac:dyDescent="0.25">
      <c r="A33" s="769" t="s">
        <v>312</v>
      </c>
      <c r="B33" s="769"/>
      <c r="C33" s="769"/>
      <c r="D33" s="82" t="s">
        <v>1037</v>
      </c>
      <c r="E33" s="260"/>
      <c r="F33" s="517"/>
      <c r="G33" s="772" t="s">
        <v>996</v>
      </c>
      <c r="H33" s="772"/>
      <c r="I33" s="772"/>
    </row>
    <row r="34" spans="1:9" x14ac:dyDescent="0.25">
      <c r="A34" s="259"/>
      <c r="B34" s="260"/>
      <c r="C34" s="260"/>
      <c r="D34" s="260"/>
      <c r="E34" s="260"/>
      <c r="F34" s="260"/>
      <c r="G34" s="772"/>
      <c r="H34" s="772"/>
      <c r="I34" s="772"/>
    </row>
    <row r="35" spans="1:9" x14ac:dyDescent="0.25">
      <c r="A35" s="770" t="s">
        <v>869</v>
      </c>
      <c r="B35" s="771"/>
      <c r="C35" s="771"/>
      <c r="D35" s="771"/>
      <c r="E35" s="771"/>
      <c r="F35" s="771"/>
      <c r="G35" s="771"/>
      <c r="H35" s="771"/>
      <c r="I35" s="771"/>
    </row>
  </sheetData>
  <sheetProtection algorithmName="SHA-512" hashValue="6xx0w0l8mZM1+EmxBGU7r9gSbp5yP8E4HDU8MhnwrTyQl9iluIyxQIjM7Wi6rtEOT9IUGsc38RG7wPNrXlRTkQ==" saltValue="utaBcO7k3KofCB7PKfbZwQ==" spinCount="100000" sheet="1" objects="1" scenarios="1"/>
  <mergeCells count="6">
    <mergeCell ref="A1:I1"/>
    <mergeCell ref="A2:I2"/>
    <mergeCell ref="A32:C32"/>
    <mergeCell ref="A33:C33"/>
    <mergeCell ref="A35:I35"/>
    <mergeCell ref="G33:I34"/>
  </mergeCells>
  <dataValidations count="1">
    <dataValidation type="list" allowBlank="1" showInputMessage="1" showErrorMessage="1" sqref="D32 D33" xr:uid="{FBBCA9EE-1A8F-41EE-91FC-991592A15B85}">
      <formula1>"Yes,No"</formula1>
    </dataValidation>
  </dataValidations>
  <printOptions horizontalCentered="1"/>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8AD0A-6B1E-454A-B304-C7B64024735A}">
  <sheetPr codeName="Sheet56">
    <tabColor rgb="FFFFC000"/>
  </sheetPr>
  <dimension ref="B1:D42"/>
  <sheetViews>
    <sheetView workbookViewId="0">
      <selection activeCell="E28" sqref="E28"/>
    </sheetView>
  </sheetViews>
  <sheetFormatPr defaultRowHeight="15" x14ac:dyDescent="0.25"/>
  <cols>
    <col min="2" max="2" width="59" bestFit="1" customWidth="1"/>
    <col min="3" max="4" width="25.85546875" customWidth="1"/>
  </cols>
  <sheetData>
    <row r="1" spans="2:4" ht="23.25" x14ac:dyDescent="0.35">
      <c r="B1" s="574" t="s">
        <v>793</v>
      </c>
      <c r="C1" s="574"/>
      <c r="D1" s="574"/>
    </row>
    <row r="3" spans="2:4" x14ac:dyDescent="0.25">
      <c r="C3" s="95" t="s">
        <v>816</v>
      </c>
      <c r="D3" s="95" t="s">
        <v>817</v>
      </c>
    </row>
    <row r="4" spans="2:4" x14ac:dyDescent="0.25">
      <c r="B4" s="3" t="s">
        <v>803</v>
      </c>
    </row>
    <row r="5" spans="2:4" x14ac:dyDescent="0.25">
      <c r="B5" t="s">
        <v>25</v>
      </c>
      <c r="C5">
        <f>'F-1 Budget Summary'!D24</f>
        <v>186415.22999999998</v>
      </c>
      <c r="D5">
        <f>'F-1 Budget Summary'!F24</f>
        <v>272549</v>
      </c>
    </row>
    <row r="6" spans="2:4" x14ac:dyDescent="0.25">
      <c r="B6" t="s">
        <v>810</v>
      </c>
      <c r="C6">
        <f>'F-1 Budget Summary'!D22</f>
        <v>134640.22999999998</v>
      </c>
      <c r="D6">
        <f>'F-1 Budget Summary'!F22</f>
        <v>133290</v>
      </c>
    </row>
    <row r="7" spans="2:4" x14ac:dyDescent="0.25">
      <c r="B7" t="s">
        <v>801</v>
      </c>
      <c r="C7">
        <f>'F-2 Revenues (Proposed)'!D9</f>
        <v>0</v>
      </c>
      <c r="D7">
        <f>'F-2 Revenues (Proposed)'!F9</f>
        <v>0</v>
      </c>
    </row>
    <row r="9" spans="2:4" x14ac:dyDescent="0.25">
      <c r="B9" s="3" t="s">
        <v>804</v>
      </c>
    </row>
    <row r="10" spans="2:4" x14ac:dyDescent="0.25">
      <c r="B10" t="s">
        <v>37</v>
      </c>
      <c r="C10">
        <f>'F-1 Budget Summary'!D48</f>
        <v>186415.22999999998</v>
      </c>
      <c r="D10">
        <f>'F-1 Budget Summary'!F48</f>
        <v>272549</v>
      </c>
    </row>
    <row r="11" spans="2:4" x14ac:dyDescent="0.25">
      <c r="B11" t="s">
        <v>794</v>
      </c>
      <c r="C11">
        <f>'F-1 Budget Summary'!D30</f>
        <v>108150.23</v>
      </c>
      <c r="D11">
        <f>'F-1 Budget Summary'!F30</f>
        <v>106800</v>
      </c>
    </row>
    <row r="13" spans="2:4" x14ac:dyDescent="0.25">
      <c r="B13" t="s">
        <v>802</v>
      </c>
      <c r="C13">
        <f>'F-4 Salary &amp; Benefit Schedule'!D42</f>
        <v>0</v>
      </c>
    </row>
    <row r="14" spans="2:4" x14ac:dyDescent="0.25">
      <c r="B14" t="s">
        <v>822</v>
      </c>
      <c r="C14" s="6">
        <f>'F-4 Salary &amp; Benefit Schedule'!B42</f>
        <v>0</v>
      </c>
    </row>
    <row r="15" spans="2:4" x14ac:dyDescent="0.25">
      <c r="C15" s="6"/>
    </row>
    <row r="16" spans="2:4" x14ac:dyDescent="0.25">
      <c r="B16" t="s">
        <v>815</v>
      </c>
      <c r="C16">
        <f>'Page N-4 (2 of 2)'!L21</f>
        <v>0</v>
      </c>
    </row>
    <row r="19" spans="2:4" x14ac:dyDescent="0.25">
      <c r="B19" s="3" t="s">
        <v>805</v>
      </c>
    </row>
    <row r="20" spans="2:4" x14ac:dyDescent="0.25">
      <c r="B20" t="s">
        <v>34</v>
      </c>
      <c r="C20">
        <f>'F-1 Budget Summary'!D42</f>
        <v>979.52</v>
      </c>
      <c r="D20">
        <f>'F-1 Budget Summary'!F42</f>
        <v>120000</v>
      </c>
    </row>
    <row r="21" spans="2:4" x14ac:dyDescent="0.25">
      <c r="B21" t="s">
        <v>811</v>
      </c>
      <c r="C21">
        <f>'F-5 Capital Budget Proposed'!G25</f>
        <v>0</v>
      </c>
      <c r="D21">
        <f>'F-5 Capital Budget Proposed'!H25</f>
        <v>120000</v>
      </c>
    </row>
    <row r="22" spans="2:4" x14ac:dyDescent="0.25">
      <c r="B22" t="s">
        <v>795</v>
      </c>
      <c r="C22">
        <f>'F-5 Capital Budget Proposed'!G26</f>
        <v>979.52</v>
      </c>
      <c r="D22">
        <f>'F-5 Capital Budget Proposed'!H26</f>
        <v>0</v>
      </c>
    </row>
    <row r="24" spans="2:4" x14ac:dyDescent="0.25">
      <c r="B24" s="3" t="s">
        <v>806</v>
      </c>
    </row>
    <row r="25" spans="2:4" x14ac:dyDescent="0.25">
      <c r="B25" t="s">
        <v>812</v>
      </c>
      <c r="C25">
        <f>'F-1 Budget Summary'!D44</f>
        <v>20101.25</v>
      </c>
      <c r="D25">
        <f>'F-1 Budget Summary'!F44</f>
        <v>0</v>
      </c>
    </row>
    <row r="26" spans="2:4" x14ac:dyDescent="0.25">
      <c r="B26" t="s">
        <v>813</v>
      </c>
      <c r="C26">
        <f>'F-1 Budget Summary'!D46</f>
        <v>14084.23</v>
      </c>
      <c r="D26">
        <f>'F-1 Budget Summary'!F46</f>
        <v>0</v>
      </c>
    </row>
    <row r="28" spans="2:4" x14ac:dyDescent="0.25">
      <c r="B28" t="s">
        <v>152</v>
      </c>
      <c r="C28" s="159">
        <f>'F-6 Debt Service - Principal'!Q35</f>
        <v>253908.26</v>
      </c>
    </row>
    <row r="29" spans="2:4" x14ac:dyDescent="0.25">
      <c r="B29" t="s">
        <v>814</v>
      </c>
      <c r="C29" s="159">
        <f>'F-7 Debt Service - Interest'!N35</f>
        <v>87946.54</v>
      </c>
    </row>
    <row r="31" spans="2:4" x14ac:dyDescent="0.25">
      <c r="B31" s="3" t="s">
        <v>796</v>
      </c>
    </row>
    <row r="32" spans="2:4" x14ac:dyDescent="0.25">
      <c r="B32" t="s">
        <v>800</v>
      </c>
      <c r="C32">
        <f>'F-2 Revenues (Proposed)'!D5</f>
        <v>0</v>
      </c>
      <c r="D32">
        <f>'F-2 Revenues (Proposed)'!F5</f>
        <v>0</v>
      </c>
    </row>
    <row r="33" spans="2:4" x14ac:dyDescent="0.25">
      <c r="B33" t="s">
        <v>797</v>
      </c>
      <c r="C33">
        <f>'F-8 Fund Balance'!D13</f>
        <v>10554</v>
      </c>
    </row>
    <row r="35" spans="2:4" x14ac:dyDescent="0.25">
      <c r="B35" t="s">
        <v>798</v>
      </c>
      <c r="C35">
        <f>'F-2 Revenues (Proposed)'!D6</f>
        <v>0</v>
      </c>
      <c r="D35">
        <f>'F-2 Revenues (Proposed)'!F6</f>
        <v>85000</v>
      </c>
    </row>
    <row r="36" spans="2:4" x14ac:dyDescent="0.25">
      <c r="B36" t="s">
        <v>799</v>
      </c>
      <c r="C36">
        <f>'F-8 Fund Balance'!D23</f>
        <v>3616</v>
      </c>
    </row>
    <row r="38" spans="2:4" x14ac:dyDescent="0.25">
      <c r="B38" s="3" t="s">
        <v>809</v>
      </c>
    </row>
    <row r="39" spans="2:4" x14ac:dyDescent="0.25">
      <c r="B39" t="s">
        <v>807</v>
      </c>
      <c r="C39">
        <f>'Health Benefits (N-5)'!D30</f>
        <v>0</v>
      </c>
      <c r="D39">
        <f>'Health Benefits (N-5)'!G30</f>
        <v>0</v>
      </c>
    </row>
    <row r="40" spans="2:4" x14ac:dyDescent="0.25">
      <c r="B40" t="s">
        <v>823</v>
      </c>
      <c r="C40" s="414">
        <f>'Health Benefits (N-5)'!B30</f>
        <v>0</v>
      </c>
      <c r="D40">
        <f>'Health Benefits (N-5)'!E30</f>
        <v>0</v>
      </c>
    </row>
    <row r="42" spans="2:4" x14ac:dyDescent="0.25">
      <c r="B42" t="s">
        <v>808</v>
      </c>
      <c r="C42">
        <f>'TOTAL Accumulated Absences'!C25</f>
        <v>0</v>
      </c>
    </row>
  </sheetData>
  <sheetProtection algorithmName="SHA-512" hashValue="hScoq/n09j2yWWpthdEaGmd3sNFXz3RONuLjRqa7hLUrS6l41bpAFA2bTHjePFaWc4FpH2PxBgiiSPc8MGXj+Q==" saltValue="VNp3dCo2zd6d3pNU0JnlRQ==" spinCount="100000" sheet="1" objects="1" scenarios="1"/>
  <mergeCells count="1">
    <mergeCell ref="B1:D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5F5D-F085-4ADE-B1EC-07B2C928FB14}">
  <sheetPr codeName="Sheet28">
    <tabColor rgb="FFFFFF00"/>
  </sheetPr>
  <dimension ref="A1:G27"/>
  <sheetViews>
    <sheetView view="pageLayout" zoomScaleNormal="100" workbookViewId="0">
      <selection activeCell="A7" sqref="A7"/>
    </sheetView>
  </sheetViews>
  <sheetFormatPr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t="s">
        <v>1020</v>
      </c>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870</v>
      </c>
      <c r="B26" s="763"/>
      <c r="C26" s="763"/>
      <c r="D26" s="763"/>
      <c r="E26" s="763"/>
      <c r="F26" s="763"/>
      <c r="G26" s="763"/>
    </row>
    <row r="27" spans="1:7" x14ac:dyDescent="0.25">
      <c r="C27" s="69"/>
    </row>
  </sheetData>
  <sheetProtection algorithmName="SHA-512" hashValue="oybxysDUOB18p4qhwctIp2qCkzDWPPgzqrNshojqUGjQ8P9ibUI/+0cP+z9M4FRcUuyQv9cD+4O+LEVJ0aSJUQ==" saltValue="0KYg1+54mHNHs1pWbZACi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FAB7B-0F73-4329-97C9-17829682F6C4}">
  <sheetPr codeName="Sheet29">
    <tabColor rgb="FFFFFF00"/>
  </sheetPr>
  <dimension ref="A1:G27"/>
  <sheetViews>
    <sheetView view="pageLayout" zoomScaleNormal="100" workbookViewId="0">
      <selection activeCell="A26" sqref="A26:G26"/>
    </sheetView>
  </sheetViews>
  <sheetFormatPr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872</v>
      </c>
      <c r="B26" s="763"/>
      <c r="C26" s="763"/>
      <c r="D26" s="763"/>
      <c r="E26" s="763"/>
      <c r="F26" s="763"/>
      <c r="G26" s="763"/>
    </row>
    <row r="27" spans="1:7" x14ac:dyDescent="0.25">
      <c r="C27" s="69"/>
    </row>
  </sheetData>
  <sheetProtection algorithmName="SHA-512" hashValue="KqFZ85nZU1EDNlguecSHoatyO3HFs8Z0a/5hn87nzR3IYsv+onv9SddrXyXzjf44XHbMjAvUy3N1/4zRgQyu3w==" saltValue="DWmYoDdZQiugBCE3iq1R/Q=="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8151-5339-407A-A89B-74EDCC86BCB9}">
  <sheetPr codeName="Sheet30">
    <tabColor rgb="FFFFFF00"/>
  </sheetPr>
  <dimension ref="A1:G27"/>
  <sheetViews>
    <sheetView view="pageLayout" zoomScaleNormal="100" workbookViewId="0">
      <selection activeCell="A26" sqref="A26:G26"/>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873</v>
      </c>
      <c r="B26" s="763"/>
      <c r="C26" s="763"/>
      <c r="D26" s="763"/>
      <c r="E26" s="763"/>
      <c r="F26" s="763"/>
      <c r="G26" s="763"/>
    </row>
    <row r="27" spans="1:7" x14ac:dyDescent="0.25">
      <c r="C27" s="69"/>
    </row>
  </sheetData>
  <sheetProtection algorithmName="SHA-512" hashValue="zK+dB+z/Vd1IVQcDNMV6m7gqzyMxUsFpX7x6emSGFkRjwYkZEBUw922bXsLZN9OinZVZ2+awTV11hb+mEhdu5Q==" saltValue="ViWDQ2prwswb1q2p0nnkY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604F-F3D0-426D-AE23-C960F3EF7A0D}">
  <sheetPr codeName="Sheet31">
    <tabColor rgb="FFFFFF00"/>
  </sheetPr>
  <dimension ref="A1:G27"/>
  <sheetViews>
    <sheetView view="pageLayout" zoomScaleNormal="100" workbookViewId="0">
      <selection activeCell="A26" sqref="A26:G26"/>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874</v>
      </c>
      <c r="B26" s="763"/>
      <c r="C26" s="763"/>
      <c r="D26" s="763"/>
      <c r="E26" s="763"/>
      <c r="F26" s="763"/>
      <c r="G26" s="763"/>
    </row>
    <row r="27" spans="1:7" x14ac:dyDescent="0.25">
      <c r="C27" s="69"/>
    </row>
  </sheetData>
  <sheetProtection algorithmName="SHA-512" hashValue="bXGkte4yUfFMniqk04jMYSltUbsy9LPJPMYCl8jIoLfYJ58bildLEMVW7cKaENvoQ5U6qGIlbOgmxo0lU/2PpA==" saltValue="/shAYCANwbvcZ7NUJL4/l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1EAC-56AA-47E5-A79A-25D2EB7E54D8}">
  <sheetPr codeName="Sheet32">
    <tabColor rgb="FFFFFF00"/>
  </sheetPr>
  <dimension ref="A1:G27"/>
  <sheetViews>
    <sheetView view="pageLayout" zoomScaleNormal="100" workbookViewId="0">
      <selection activeCell="A26" sqref="A26:G26"/>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875</v>
      </c>
      <c r="B26" s="763"/>
      <c r="C26" s="763"/>
      <c r="D26" s="763"/>
      <c r="E26" s="763"/>
      <c r="F26" s="763"/>
      <c r="G26" s="763"/>
    </row>
    <row r="27" spans="1:7" x14ac:dyDescent="0.25">
      <c r="C27" s="69"/>
    </row>
  </sheetData>
  <sheetProtection algorithmName="SHA-512" hashValue="nzM/ejOlNd5rrMw6ZY2tEB90R+b9iBlrE+u5ftErRvLxOn9wUu83j9p/L60rdOi1JRjYkYTLMpqm6oMCtVxXAA==" saltValue="knBXUSRvTEfhITbai00VTQ=="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125D-5D04-4687-B4D9-F76D469E1F2C}">
  <sheetPr codeName="Sheet33">
    <tabColor rgb="FFFFFF00"/>
  </sheetPr>
  <dimension ref="A1:G26"/>
  <sheetViews>
    <sheetView view="pageLayout" zoomScaleNormal="100" workbookViewId="0">
      <selection activeCell="B13" sqref="B13"/>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3" spans="1:6" ht="14.45" customHeight="1" x14ac:dyDescent="0.25"/>
    <row r="4" spans="1:6" x14ac:dyDescent="0.25">
      <c r="A4" s="57" t="s">
        <v>313</v>
      </c>
      <c r="B4" s="58"/>
      <c r="C4" s="58"/>
      <c r="D4" s="58"/>
      <c r="E4" s="58"/>
      <c r="F4" s="58"/>
    </row>
    <row r="5" spans="1:6" ht="14.45" customHeight="1"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876</v>
      </c>
      <c r="B26" s="763"/>
      <c r="C26" s="763"/>
      <c r="D26" s="763"/>
      <c r="E26" s="763"/>
      <c r="F26" s="763"/>
      <c r="G26" s="763"/>
    </row>
  </sheetData>
  <sheetProtection algorithmName="SHA-512" hashValue="IEXWX6ovinBB4fWkl396CWLiYn8lga9UzJnQk/HXnaDMBsTGgzWpchS31K8kSatFbKi64xPF0SmqOIRedOz3ow==" saltValue="DbfYkQvoYBZjdNfhhFY13g=="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E327-76BB-43E8-A5B4-C515174BDA4A}">
  <sheetPr codeName="Sheet34">
    <tabColor rgb="FFFFFF00"/>
  </sheetPr>
  <dimension ref="A1:G27"/>
  <sheetViews>
    <sheetView view="pageLayout" zoomScaleNormal="100" workbookViewId="0">
      <selection activeCell="C19" sqref="C19"/>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(this page only)"</f>
        <v>Total liability for accumulated compensated absences at January 1, 2024 (this page only)</v>
      </c>
      <c r="B25" s="774"/>
      <c r="C25" s="170">
        <f>SUM(C7:C24)</f>
        <v>0</v>
      </c>
      <c r="D25" s="68"/>
      <c r="E25" s="68"/>
      <c r="F25" s="68"/>
    </row>
    <row r="26" spans="1:7" ht="15.75" thickTop="1" x14ac:dyDescent="0.25">
      <c r="A26" s="763" t="s">
        <v>877</v>
      </c>
      <c r="B26" s="763"/>
      <c r="C26" s="763"/>
      <c r="D26" s="763"/>
      <c r="E26" s="763"/>
      <c r="F26" s="763"/>
      <c r="G26" s="763"/>
    </row>
    <row r="27" spans="1:7" x14ac:dyDescent="0.25">
      <c r="C27" s="69"/>
    </row>
  </sheetData>
  <sheetProtection algorithmName="SHA-512" hashValue="ZTf7dhgXmY7b2zGhDQBNJZKptktDaotM2j+7LJZZhbNauCGiJM67YjxmHjoRd9UaA6vc5X8gS/H14VZBS6vhHA==" saltValue="xwqiR+vupgqHo8B0N/aw1w=="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A5A7-1D21-428D-A763-7477F4F1B0CB}">
  <sheetPr codeName="Sheet35">
    <tabColor rgb="FFFFFF00"/>
  </sheetPr>
  <dimension ref="A1:G27"/>
  <sheetViews>
    <sheetView view="pageLayout" zoomScaleNormal="100" workbookViewId="0">
      <selection activeCell="B7" sqref="B7"/>
    </sheetView>
  </sheetViews>
  <sheetFormatPr defaultColWidth="9.140625" defaultRowHeight="15" x14ac:dyDescent="0.25"/>
  <cols>
    <col min="1" max="1" width="43.28515625" customWidth="1"/>
    <col min="2" max="2" width="26.5703125" customWidth="1"/>
    <col min="3" max="3" width="14.28515625" bestFit="1" customWidth="1"/>
    <col min="4" max="4" width="9.42578125" bestFit="1" customWidth="1"/>
    <col min="5" max="5" width="3.7109375" bestFit="1" customWidth="1"/>
    <col min="6" max="6" width="9.42578125" bestFit="1" customWidth="1"/>
  </cols>
  <sheetData>
    <row r="1" spans="1:6" x14ac:dyDescent="0.25">
      <c r="A1" s="768" t="str">
        <f>'Information Sheet'!B9</f>
        <v>Weymouth Township FD No. 1</v>
      </c>
      <c r="B1" s="768"/>
      <c r="C1" s="768"/>
      <c r="D1" s="768"/>
      <c r="E1" s="768"/>
      <c r="F1" s="768"/>
    </row>
    <row r="2" spans="1:6" x14ac:dyDescent="0.25">
      <c r="A2" s="768" t="str">
        <f>'Information Sheet'!B10</f>
        <v>Atlantic</v>
      </c>
      <c r="B2" s="768"/>
      <c r="C2" s="768"/>
      <c r="D2" s="768"/>
      <c r="E2" s="768"/>
      <c r="F2" s="768"/>
    </row>
    <row r="4" spans="1:6" x14ac:dyDescent="0.25">
      <c r="A4" s="57" t="s">
        <v>313</v>
      </c>
      <c r="B4" s="58"/>
      <c r="C4" s="58"/>
      <c r="D4" s="58"/>
      <c r="E4" s="58"/>
      <c r="F4" s="58"/>
    </row>
    <row r="5" spans="1:6" x14ac:dyDescent="0.25">
      <c r="A5" s="59"/>
      <c r="B5" s="59"/>
      <c r="C5" s="59"/>
      <c r="D5" s="773" t="s">
        <v>314</v>
      </c>
      <c r="E5" s="773"/>
      <c r="F5" s="773"/>
    </row>
    <row r="6" spans="1:6" ht="81.75" thickBot="1" x14ac:dyDescent="0.3">
      <c r="A6" s="60" t="s">
        <v>315</v>
      </c>
      <c r="B6" s="61" t="str">
        <f>"Gross Days of Accumulated Compensated Absences at January 1, "&amp;'Information Sheet'!B11-1&amp;""</f>
        <v>Gross Days of Accumulated Compensated Absences at January 1, 2024</v>
      </c>
      <c r="C6" s="61" t="s">
        <v>316</v>
      </c>
      <c r="D6" s="62" t="s">
        <v>317</v>
      </c>
      <c r="E6" s="62" t="s">
        <v>318</v>
      </c>
      <c r="F6" s="62" t="s">
        <v>319</v>
      </c>
    </row>
    <row r="7" spans="1:6" x14ac:dyDescent="0.25">
      <c r="A7" s="63" t="s">
        <v>1020</v>
      </c>
      <c r="B7" s="64"/>
      <c r="C7" s="168"/>
      <c r="D7" s="78"/>
      <c r="E7" s="78"/>
      <c r="F7" s="78"/>
    </row>
    <row r="8" spans="1:6" x14ac:dyDescent="0.25">
      <c r="A8" s="65"/>
      <c r="B8" s="66"/>
      <c r="C8" s="169"/>
      <c r="D8" s="79"/>
      <c r="E8" s="79"/>
      <c r="F8" s="79"/>
    </row>
    <row r="9" spans="1:6" x14ac:dyDescent="0.25">
      <c r="A9" s="65"/>
      <c r="B9" s="66"/>
      <c r="C9" s="169"/>
      <c r="D9" s="79"/>
      <c r="E9" s="79"/>
      <c r="F9" s="79"/>
    </row>
    <row r="10" spans="1:6" x14ac:dyDescent="0.25">
      <c r="A10" s="65"/>
      <c r="B10" s="66"/>
      <c r="C10" s="169"/>
      <c r="D10" s="79"/>
      <c r="E10" s="79"/>
      <c r="F10" s="79"/>
    </row>
    <row r="11" spans="1:6" x14ac:dyDescent="0.25">
      <c r="A11" s="65"/>
      <c r="B11" s="66"/>
      <c r="C11" s="169"/>
      <c r="D11" s="79"/>
      <c r="E11" s="79"/>
      <c r="F11" s="79"/>
    </row>
    <row r="12" spans="1:6" x14ac:dyDescent="0.25">
      <c r="A12" s="65"/>
      <c r="B12" s="66"/>
      <c r="C12" s="169"/>
      <c r="D12" s="79"/>
      <c r="E12" s="79"/>
      <c r="F12" s="79"/>
    </row>
    <row r="13" spans="1:6" x14ac:dyDescent="0.25">
      <c r="A13" s="65"/>
      <c r="B13" s="66"/>
      <c r="C13" s="169"/>
      <c r="D13" s="79"/>
      <c r="E13" s="79"/>
      <c r="F13" s="79"/>
    </row>
    <row r="14" spans="1:6" x14ac:dyDescent="0.25">
      <c r="A14" s="65"/>
      <c r="B14" s="66"/>
      <c r="C14" s="169"/>
      <c r="D14" s="79"/>
      <c r="E14" s="79"/>
      <c r="F14" s="79"/>
    </row>
    <row r="15" spans="1:6" x14ac:dyDescent="0.25">
      <c r="A15" s="65"/>
      <c r="B15" s="66"/>
      <c r="C15" s="169"/>
      <c r="D15" s="79"/>
      <c r="E15" s="79"/>
      <c r="F15" s="79"/>
    </row>
    <row r="16" spans="1:6" x14ac:dyDescent="0.25">
      <c r="A16" s="65"/>
      <c r="B16" s="66"/>
      <c r="C16" s="169"/>
      <c r="D16" s="79"/>
      <c r="E16" s="79"/>
      <c r="F16" s="79"/>
    </row>
    <row r="17" spans="1:7" x14ac:dyDescent="0.25">
      <c r="A17" s="65"/>
      <c r="B17" s="66"/>
      <c r="C17" s="169"/>
      <c r="D17" s="79"/>
      <c r="E17" s="79"/>
      <c r="F17" s="79"/>
    </row>
    <row r="18" spans="1:7" x14ac:dyDescent="0.25">
      <c r="A18" s="65"/>
      <c r="B18" s="66"/>
      <c r="C18" s="169"/>
      <c r="D18" s="79"/>
      <c r="E18" s="79"/>
      <c r="F18" s="79"/>
    </row>
    <row r="19" spans="1:7" x14ac:dyDescent="0.25">
      <c r="A19" s="65"/>
      <c r="B19" s="66"/>
      <c r="C19" s="169"/>
      <c r="D19" s="79"/>
      <c r="E19" s="79"/>
      <c r="F19" s="79"/>
    </row>
    <row r="20" spans="1:7" x14ac:dyDescent="0.25">
      <c r="A20" s="65"/>
      <c r="B20" s="66"/>
      <c r="C20" s="169"/>
      <c r="D20" s="79"/>
      <c r="E20" s="79"/>
      <c r="F20" s="79"/>
    </row>
    <row r="21" spans="1:7" x14ac:dyDescent="0.25">
      <c r="A21" s="65"/>
      <c r="B21" s="66"/>
      <c r="C21" s="169"/>
      <c r="D21" s="79"/>
      <c r="E21" s="79"/>
      <c r="F21" s="79"/>
    </row>
    <row r="22" spans="1:7" x14ac:dyDescent="0.25">
      <c r="A22" s="65"/>
      <c r="B22" s="66"/>
      <c r="C22" s="169"/>
      <c r="D22" s="79"/>
      <c r="E22" s="79"/>
      <c r="F22" s="79"/>
    </row>
    <row r="23" spans="1:7" x14ac:dyDescent="0.25">
      <c r="A23" s="65"/>
      <c r="B23" s="66"/>
      <c r="C23" s="169"/>
      <c r="D23" s="79"/>
      <c r="E23" s="79"/>
      <c r="F23" s="79"/>
    </row>
    <row r="24" spans="1:7" x14ac:dyDescent="0.25">
      <c r="A24" s="67"/>
      <c r="B24" s="67"/>
      <c r="C24" s="169"/>
      <c r="D24" s="80"/>
      <c r="E24" s="80"/>
      <c r="F24" s="80"/>
    </row>
    <row r="25" spans="1:7" ht="15.75" thickBot="1" x14ac:dyDescent="0.3">
      <c r="A25" s="774" t="str">
        <f>"Total liability for accumulated compensated absences at January 1, "&amp;'Information Sheet'!B11-1&amp;" (all pages)"</f>
        <v>Total liability for accumulated compensated absences at January 1, 2024 (all pages)</v>
      </c>
      <c r="B25" s="774"/>
      <c r="C25" s="170">
        <f>SUM(C7:C24)+'Accumulated Absences (N-6)'!C25+'Accumulated Absences (N-6) (2)'!C25+'Accumulated Absences (N-6) (3)'!C25+'Accumulated Absences (N-6) (4)'!C25+'Accumulated Absences (N-6) (5)'!C25+'Accumulated Absences (N-6) (6)'!C25+'Accumulated Absences (N-6) (7)'!C25</f>
        <v>0</v>
      </c>
      <c r="D25" s="68"/>
      <c r="E25" s="68"/>
      <c r="F25" s="68"/>
    </row>
    <row r="26" spans="1:7" ht="15.75" thickTop="1" x14ac:dyDescent="0.25">
      <c r="A26" s="763" t="s">
        <v>871</v>
      </c>
      <c r="B26" s="763"/>
      <c r="C26" s="763"/>
      <c r="D26" s="763"/>
      <c r="E26" s="763"/>
      <c r="F26" s="763"/>
      <c r="G26" s="763"/>
    </row>
    <row r="27" spans="1:7" x14ac:dyDescent="0.25">
      <c r="C27" s="69"/>
    </row>
  </sheetData>
  <sheetProtection algorithmName="SHA-512" hashValue="GOuodGESL2csWzWxJQ1rr+I4YhjXg2SGk5DQn7vuXKZ7EXuwQhqLc6uUolBEwgJGo512HzlszYoMK6P/ZXbpPg==" saltValue="WkLLyAZqK3yfAm522T4cNA==" spinCount="100000" sheet="1" objects="1" scenarios="1"/>
  <mergeCells count="5">
    <mergeCell ref="A1:F1"/>
    <mergeCell ref="A2:F2"/>
    <mergeCell ref="D5:F5"/>
    <mergeCell ref="A25:B25"/>
    <mergeCell ref="A26:G26"/>
  </mergeCells>
  <printOptions horizontalCentered="1"/>
  <pageMargins left="0.7" right="0.7" top="0.75" bottom="0.7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B883-5081-453F-A966-699307BD31A0}">
  <sheetPr codeName="Sheet36">
    <tabColor rgb="FF92D050"/>
  </sheetPr>
  <dimension ref="A1:F14"/>
  <sheetViews>
    <sheetView view="pageLayout" zoomScaleNormal="100" workbookViewId="0">
      <selection activeCell="F5" sqref="F5"/>
    </sheetView>
  </sheetViews>
  <sheetFormatPr defaultColWidth="9.140625" defaultRowHeight="12.75" x14ac:dyDescent="0.25"/>
  <cols>
    <col min="1" max="1" width="31.42578125" style="71" customWidth="1"/>
    <col min="2" max="2" width="19.28515625" style="71" customWidth="1"/>
    <col min="3" max="16384" width="9.140625" style="71"/>
  </cols>
  <sheetData>
    <row r="1" spans="1:6" ht="24.95" customHeight="1" x14ac:dyDescent="0.25"/>
    <row r="2" spans="1:6" ht="24.95" customHeight="1" x14ac:dyDescent="0.25"/>
    <row r="13" spans="1:6" ht="22.5" x14ac:dyDescent="0.25">
      <c r="A13" s="591" t="str">
        <f>""&amp;'KEY INPUTS'!B1&amp;" FIRE DISTRICT BUDGET"</f>
        <v>2025 FIRE DISTRICT BUDGET</v>
      </c>
      <c r="B13" s="591"/>
      <c r="C13" s="591"/>
      <c r="D13" s="591"/>
      <c r="E13" s="591"/>
      <c r="F13" s="591"/>
    </row>
    <row r="14" spans="1:6" ht="22.5" x14ac:dyDescent="0.25">
      <c r="A14" s="591" t="s">
        <v>473</v>
      </c>
      <c r="B14" s="591"/>
      <c r="C14" s="591"/>
      <c r="D14" s="591"/>
      <c r="E14" s="591"/>
      <c r="F14" s="591"/>
    </row>
  </sheetData>
  <sheetProtection password="CAF9" sheet="1" objects="1" scenarios="1"/>
  <mergeCells count="2">
    <mergeCell ref="A13:F13"/>
    <mergeCell ref="A14:F14"/>
  </mergeCells>
  <printOptions horizontalCentered="1"/>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714-C04A-4219-8DBB-958679F0C550}">
  <sheetPr codeName="Sheet1">
    <tabColor rgb="FF92D050"/>
  </sheetPr>
  <dimension ref="A1:C45"/>
  <sheetViews>
    <sheetView view="pageLayout" topLeftCell="A5" zoomScaleNormal="100" workbookViewId="0">
      <selection activeCell="B26" sqref="B26"/>
    </sheetView>
  </sheetViews>
  <sheetFormatPr defaultColWidth="9.140625" defaultRowHeight="15" x14ac:dyDescent="0.25"/>
  <cols>
    <col min="1" max="1" width="54.7109375" customWidth="1"/>
    <col min="2" max="2" width="44.7109375" customWidth="1"/>
    <col min="3" max="3" width="12.42578125" customWidth="1"/>
  </cols>
  <sheetData>
    <row r="1" spans="1:3" x14ac:dyDescent="0.25">
      <c r="A1" s="115" t="s">
        <v>0</v>
      </c>
      <c r="B1" s="116"/>
      <c r="C1" s="116"/>
    </row>
    <row r="2" spans="1:3" ht="36.75" customHeight="1" x14ac:dyDescent="0.25">
      <c r="A2" s="775" t="s">
        <v>1</v>
      </c>
      <c r="B2" s="775"/>
      <c r="C2" s="775"/>
    </row>
    <row r="3" spans="1:3" ht="15" customHeight="1" x14ac:dyDescent="0.25">
      <c r="A3" s="775"/>
      <c r="B3" s="775"/>
      <c r="C3" s="775"/>
    </row>
    <row r="4" spans="1:3" ht="41.25" customHeight="1" x14ac:dyDescent="0.25">
      <c r="A4" s="775" t="s">
        <v>12</v>
      </c>
      <c r="B4" s="775"/>
      <c r="C4" s="775"/>
    </row>
    <row r="5" spans="1:3" x14ac:dyDescent="0.25">
      <c r="A5" s="778"/>
      <c r="B5" s="778"/>
      <c r="C5" s="778"/>
    </row>
    <row r="6" spans="1:3" x14ac:dyDescent="0.25">
      <c r="A6" s="117"/>
      <c r="B6" s="117"/>
      <c r="C6" s="117"/>
    </row>
    <row r="7" spans="1:3" x14ac:dyDescent="0.25">
      <c r="A7" s="779"/>
      <c r="B7" s="779"/>
      <c r="C7" s="779"/>
    </row>
    <row r="8" spans="1:3" ht="15.75" thickBot="1" x14ac:dyDescent="0.3"/>
    <row r="9" spans="1:3" ht="15.75" thickBot="1" x14ac:dyDescent="0.3">
      <c r="A9" s="128" t="s">
        <v>2</v>
      </c>
      <c r="B9" s="118" t="str">
        <f>'KEY INPUTS'!B2</f>
        <v>Weymouth Township FD No. 1</v>
      </c>
      <c r="C9" s="119"/>
    </row>
    <row r="10" spans="1:3" ht="15.75" thickBot="1" x14ac:dyDescent="0.3">
      <c r="A10" s="129" t="s">
        <v>3</v>
      </c>
      <c r="B10" s="120" t="str">
        <f>'KEY INPUTS'!B3</f>
        <v>Atlantic</v>
      </c>
      <c r="C10" s="119"/>
    </row>
    <row r="11" spans="1:3" ht="15.75" thickBot="1" x14ac:dyDescent="0.3">
      <c r="A11" s="130" t="s">
        <v>320</v>
      </c>
      <c r="B11" s="121">
        <f>'KEY INPUTS'!B1</f>
        <v>2025</v>
      </c>
      <c r="C11" s="119"/>
    </row>
    <row r="12" spans="1:3" ht="15.75" thickBot="1" x14ac:dyDescent="0.3">
      <c r="A12" s="119"/>
      <c r="B12" s="122"/>
      <c r="C12" s="119"/>
    </row>
    <row r="13" spans="1:3" x14ac:dyDescent="0.25">
      <c r="A13" s="776" t="s">
        <v>4</v>
      </c>
      <c r="B13" s="777"/>
    </row>
    <row r="14" spans="1:3" x14ac:dyDescent="0.25">
      <c r="A14" s="123" t="str">
        <f>""&amp;B11-1&amp;" Adopted Budget - Amount to be Raised by Taxation"</f>
        <v>2024 Adopted Budget - Amount to be Raised by Taxation</v>
      </c>
      <c r="B14" s="131">
        <v>133290</v>
      </c>
    </row>
    <row r="15" spans="1:3" x14ac:dyDescent="0.25">
      <c r="A15" s="123" t="str">
        <f>"Cap Bank Available from "&amp;B11-3&amp;" (See Levy Cap Certification)"</f>
        <v>Cap Bank Available from 2022 (See Levy Cap Certification)</v>
      </c>
      <c r="B15" s="132">
        <v>5155</v>
      </c>
    </row>
    <row r="16" spans="1:3" x14ac:dyDescent="0.25">
      <c r="A16" s="123" t="str">
        <f>"Cap Bank Available from "&amp;B11-2&amp;" (See Levy Cap Certification)"</f>
        <v>Cap Bank Available from 2023 (See Levy Cap Certification)</v>
      </c>
      <c r="B16" s="132">
        <v>322</v>
      </c>
    </row>
    <row r="17" spans="1:2" x14ac:dyDescent="0.25">
      <c r="A17" s="123" t="str">
        <f>"Cap Bank Available from "&amp;B11-1&amp;" (See Levy Cap Certification)"</f>
        <v>Cap Bank Available from 2024 (See Levy Cap Certification)</v>
      </c>
      <c r="B17" s="132">
        <v>18140</v>
      </c>
    </row>
    <row r="18" spans="1:2" x14ac:dyDescent="0.25">
      <c r="A18" s="123" t="str">
        <f>"Cap Bank Used from "&amp;B11-3&amp;""</f>
        <v>Cap Bank Used from 2022</v>
      </c>
      <c r="B18" s="132"/>
    </row>
    <row r="19" spans="1:2" x14ac:dyDescent="0.25">
      <c r="A19" s="123" t="str">
        <f>"Cap Bank Used from "&amp;B11-2&amp;""</f>
        <v>Cap Bank Used from 2023</v>
      </c>
      <c r="B19" s="132"/>
    </row>
    <row r="20" spans="1:2" x14ac:dyDescent="0.25">
      <c r="A20" s="123" t="str">
        <f>"Cap Bank Used from "&amp;B11-1&amp;""</f>
        <v>Cap Bank Used from 2024</v>
      </c>
      <c r="B20" s="132"/>
    </row>
    <row r="21" spans="1:2" x14ac:dyDescent="0.25">
      <c r="A21" s="124" t="s">
        <v>5</v>
      </c>
      <c r="B21" s="132"/>
    </row>
    <row r="22" spans="1:2" x14ac:dyDescent="0.25">
      <c r="A22" s="124" t="s">
        <v>6</v>
      </c>
      <c r="B22" s="132"/>
    </row>
    <row r="23" spans="1:2" ht="30" x14ac:dyDescent="0.25">
      <c r="A23" s="123" t="s">
        <v>7</v>
      </c>
      <c r="B23" s="133"/>
    </row>
    <row r="24" spans="1:2" x14ac:dyDescent="0.25">
      <c r="A24" s="124" t="s">
        <v>8</v>
      </c>
      <c r="B24" s="133">
        <v>165582900</v>
      </c>
    </row>
    <row r="25" spans="1:2" ht="30" x14ac:dyDescent="0.25">
      <c r="A25" s="123" t="s">
        <v>9</v>
      </c>
      <c r="B25" s="132">
        <v>337000</v>
      </c>
    </row>
    <row r="26" spans="1:2" x14ac:dyDescent="0.25">
      <c r="A26" s="123" t="s">
        <v>10</v>
      </c>
      <c r="B26" s="70">
        <v>8.1000000000000003E-2</v>
      </c>
    </row>
    <row r="27" spans="1:2" ht="15.75" thickBot="1" x14ac:dyDescent="0.3">
      <c r="A27" s="125" t="s">
        <v>11</v>
      </c>
      <c r="B27" s="413">
        <f>IFERROR(('F-1 Budget Summary'!D22/(B24+B25)*100),"-")</f>
        <v>8.1147728512372522E-2</v>
      </c>
    </row>
    <row r="45" spans="1:3" x14ac:dyDescent="0.25">
      <c r="A45" s="763" t="s">
        <v>895</v>
      </c>
      <c r="B45" s="763"/>
      <c r="C45" s="763"/>
    </row>
  </sheetData>
  <sheetProtection algorithmName="SHA-512" hashValue="lJmTnhVbZmzL+7c49bxop391gVriapJUNh41oYQIIFLNqES6O4+a80X1ZjCwlr0zUTE13RRuho/9m/Vy2Bcnmg==" saltValue="DtwEe0Agbjk1VPwWzfsS+w==" spinCount="100000" sheet="1" objects="1" scenarios="1"/>
  <mergeCells count="7">
    <mergeCell ref="A2:C2"/>
    <mergeCell ref="A4:C4"/>
    <mergeCell ref="A45:C45"/>
    <mergeCell ref="A13:B13"/>
    <mergeCell ref="A3:C3"/>
    <mergeCell ref="A5:C5"/>
    <mergeCell ref="A7:C7"/>
  </mergeCells>
  <dataValidations count="1">
    <dataValidation type="decimal" operator="greaterThanOrEqual" allowBlank="1" showInputMessage="1" showErrorMessage="1" error="This cell must contain a positive number. " sqref="B23" xr:uid="{D477D8CB-4DB3-4A54-A9CE-3CDDD39FC279}">
      <formula1>0</formula1>
    </dataValidation>
  </dataValidations>
  <printOptions horizontalCentered="1"/>
  <pageMargins left="0.25" right="0.25" top="0.75" bottom="0.75" header="0.3" footer="0.3"/>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8E03-B687-434C-A84B-DA08D6A5F9B8}">
  <sheetPr codeName="Sheet57">
    <tabColor rgb="FFC00000"/>
  </sheetPr>
  <dimension ref="A1:L17"/>
  <sheetViews>
    <sheetView zoomScaleNormal="100" workbookViewId="0">
      <selection activeCell="B7" sqref="B7"/>
    </sheetView>
  </sheetViews>
  <sheetFormatPr defaultColWidth="9.140625" defaultRowHeight="15" x14ac:dyDescent="0.25"/>
  <cols>
    <col min="1" max="1" width="2.85546875" bestFit="1" customWidth="1"/>
    <col min="2" max="2" width="104.140625" customWidth="1"/>
    <col min="3" max="3" width="13.28515625" customWidth="1"/>
    <col min="12" max="12" width="10.85546875" bestFit="1" customWidth="1"/>
  </cols>
  <sheetData>
    <row r="1" spans="1:12" ht="21" x14ac:dyDescent="0.35">
      <c r="B1" s="415" t="s">
        <v>904</v>
      </c>
    </row>
    <row r="2" spans="1:12" x14ac:dyDescent="0.25">
      <c r="L2" s="91" t="s">
        <v>905</v>
      </c>
    </row>
    <row r="3" spans="1:12" x14ac:dyDescent="0.25">
      <c r="A3" t="s">
        <v>824</v>
      </c>
      <c r="B3" s="7" t="s">
        <v>837</v>
      </c>
      <c r="L3" s="91" t="s">
        <v>916</v>
      </c>
    </row>
    <row r="4" spans="1:12" x14ac:dyDescent="0.25">
      <c r="A4" t="s">
        <v>825</v>
      </c>
      <c r="B4" s="7" t="s">
        <v>826</v>
      </c>
    </row>
    <row r="5" spans="1:12" x14ac:dyDescent="0.25">
      <c r="A5" t="s">
        <v>827</v>
      </c>
      <c r="B5" s="7" t="s">
        <v>828</v>
      </c>
    </row>
    <row r="6" spans="1:12" x14ac:dyDescent="0.25">
      <c r="A6" t="s">
        <v>829</v>
      </c>
      <c r="B6" s="7" t="s">
        <v>838</v>
      </c>
    </row>
    <row r="7" spans="1:12" x14ac:dyDescent="0.25">
      <c r="A7" t="s">
        <v>830</v>
      </c>
      <c r="B7" s="7" t="s">
        <v>839</v>
      </c>
    </row>
    <row r="8" spans="1:12" ht="45" x14ac:dyDescent="0.25">
      <c r="A8" t="s">
        <v>831</v>
      </c>
      <c r="B8" s="7" t="s">
        <v>840</v>
      </c>
    </row>
    <row r="9" spans="1:12" ht="30" x14ac:dyDescent="0.25">
      <c r="A9" t="s">
        <v>832</v>
      </c>
      <c r="B9" s="7" t="s">
        <v>913</v>
      </c>
    </row>
    <row r="10" spans="1:12" x14ac:dyDescent="0.25">
      <c r="A10" t="s">
        <v>834</v>
      </c>
      <c r="B10" s="7" t="s">
        <v>833</v>
      </c>
    </row>
    <row r="11" spans="1:12" ht="45" x14ac:dyDescent="0.25">
      <c r="A11" t="s">
        <v>835</v>
      </c>
      <c r="B11" s="7" t="s">
        <v>907</v>
      </c>
    </row>
    <row r="12" spans="1:12" x14ac:dyDescent="0.25">
      <c r="B12" s="436" t="s">
        <v>909</v>
      </c>
    </row>
    <row r="13" spans="1:12" ht="45" x14ac:dyDescent="0.25">
      <c r="A13" t="s">
        <v>836</v>
      </c>
      <c r="B13" s="7" t="s">
        <v>908</v>
      </c>
    </row>
    <row r="14" spans="1:12" x14ac:dyDescent="0.25">
      <c r="B14" s="436" t="s">
        <v>909</v>
      </c>
    </row>
    <row r="15" spans="1:12" ht="30" x14ac:dyDescent="0.25">
      <c r="A15" t="s">
        <v>911</v>
      </c>
      <c r="B15" s="7" t="s">
        <v>914</v>
      </c>
    </row>
    <row r="16" spans="1:12" x14ac:dyDescent="0.25">
      <c r="A16" t="s">
        <v>912</v>
      </c>
      <c r="B16" s="7" t="s">
        <v>898</v>
      </c>
    </row>
    <row r="17" spans="2:2" x14ac:dyDescent="0.25">
      <c r="B17" s="436" t="s">
        <v>906</v>
      </c>
    </row>
  </sheetData>
  <sheetProtection algorithmName="SHA-512" hashValue="Zb6NgrrZec6bru6wFeSZTytTff7tQLlGApm18ksUFLYd9eo0grfGW1fsJ2xkGloMwfQjDDNxtOoy4a+DrK1zOA==" saltValue="bxtQDCDBNV80Nk4jRCcYtw==" spinCount="100000" sheet="1" objects="1" scenarios="1"/>
  <hyperlinks>
    <hyperlink ref="B17" r:id="rId1" xr:uid="{3E73ABBC-2A15-439D-9902-C03934B7C595}"/>
    <hyperlink ref="B12" r:id="rId2" xr:uid="{FA0A7B26-53A4-4BD2-B954-9757A0C1FA64}"/>
    <hyperlink ref="B14" r:id="rId3" xr:uid="{BC75ACBA-8CAA-4743-B29C-76C7444934E5}"/>
  </hyperlinks>
  <pageMargins left="0.7" right="0.7" top="0.75" bottom="0.75" header="0.3" footer="0.3"/>
  <pageSetup orientation="landscape"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A0E4-E3E9-46C5-B404-C7574104AE0A}">
  <sheetPr codeName="Sheet37">
    <tabColor rgb="FF92D050"/>
  </sheetPr>
  <dimension ref="A1:O52"/>
  <sheetViews>
    <sheetView view="pageLayout" topLeftCell="A20" zoomScaleNormal="100" workbookViewId="0">
      <selection activeCell="D46" sqref="D46"/>
    </sheetView>
  </sheetViews>
  <sheetFormatPr defaultColWidth="7.140625" defaultRowHeight="15" x14ac:dyDescent="0.25"/>
  <cols>
    <col min="1" max="1" width="1.7109375" customWidth="1"/>
    <col min="2" max="2" width="3.42578125" customWidth="1"/>
    <col min="3" max="3" width="47.7109375" customWidth="1"/>
    <col min="4" max="4" width="15.42578125" customWidth="1"/>
    <col min="5" max="5" width="1" customWidth="1"/>
    <col min="6" max="6" width="15.42578125" customWidth="1"/>
    <col min="7" max="7" width="1" customWidth="1"/>
    <col min="8" max="8" width="15.42578125" customWidth="1"/>
    <col min="9" max="9" width="12" customWidth="1"/>
  </cols>
  <sheetData>
    <row r="1" spans="1:15" x14ac:dyDescent="0.25">
      <c r="A1" s="768" t="str">
        <f>'Information Sheet'!B9</f>
        <v>Weymouth Township FD No. 1</v>
      </c>
      <c r="B1" s="768"/>
      <c r="C1" s="768"/>
      <c r="D1" s="768"/>
      <c r="E1" s="768"/>
      <c r="F1" s="768"/>
      <c r="G1" s="768"/>
      <c r="H1" s="768"/>
      <c r="I1" s="768"/>
    </row>
    <row r="2" spans="1:15" x14ac:dyDescent="0.25">
      <c r="A2" s="780" t="str">
        <f>'Information Sheet'!B10</f>
        <v>Atlantic</v>
      </c>
      <c r="B2" s="780"/>
      <c r="C2" s="780"/>
      <c r="D2" s="780"/>
      <c r="E2" s="780"/>
      <c r="F2" s="780"/>
      <c r="G2" s="780"/>
      <c r="H2" s="780"/>
      <c r="I2" s="780"/>
    </row>
    <row r="3" spans="1:15" ht="60" x14ac:dyDescent="0.25">
      <c r="D3" s="1" t="str">
        <f>""&amp;'Information Sheet'!B11&amp;" Proposed Budget"</f>
        <v>2025 Proposed Budget</v>
      </c>
      <c r="F3" s="1" t="str">
        <f>""&amp;'Information Sheet'!B11-1&amp;" Adopted Budget"</f>
        <v>2024 Adopted Budget</v>
      </c>
      <c r="G3" s="2"/>
      <c r="H3" s="1" t="s">
        <v>13</v>
      </c>
      <c r="I3" s="1" t="s">
        <v>14</v>
      </c>
    </row>
    <row r="4" spans="1:15" x14ac:dyDescent="0.25">
      <c r="A4" s="3" t="s">
        <v>15</v>
      </c>
      <c r="B4" s="3"/>
      <c r="C4" s="3"/>
      <c r="I4" s="4"/>
    </row>
    <row r="5" spans="1:15" x14ac:dyDescent="0.25">
      <c r="I5" s="4"/>
    </row>
    <row r="6" spans="1:15" x14ac:dyDescent="0.25">
      <c r="B6" t="s">
        <v>16</v>
      </c>
      <c r="D6" s="134">
        <f>'F-2 Revenues (Proposed)'!D7</f>
        <v>0</v>
      </c>
      <c r="E6" s="5"/>
      <c r="F6" s="134">
        <f>'F-2 Revenues (Proposed)'!F7</f>
        <v>85000</v>
      </c>
      <c r="G6" s="5"/>
      <c r="H6" s="134">
        <f>D6-F6</f>
        <v>-85000</v>
      </c>
      <c r="I6" s="438">
        <f>IFERROR(IF((AND(F6=0,H6&gt;0)),100%,H6/F6),0)</f>
        <v>-1</v>
      </c>
    </row>
    <row r="7" spans="1:15" x14ac:dyDescent="0.25">
      <c r="D7" s="5"/>
      <c r="E7" s="5"/>
      <c r="F7" s="5"/>
      <c r="G7" s="5"/>
      <c r="H7" s="5"/>
      <c r="I7" s="4"/>
    </row>
    <row r="8" spans="1:15" x14ac:dyDescent="0.25">
      <c r="B8" t="s">
        <v>17</v>
      </c>
      <c r="D8" s="134">
        <f>'F-2 Revenues (Proposed)'!D17</f>
        <v>0</v>
      </c>
      <c r="E8" s="6"/>
      <c r="F8" s="134">
        <f>'F-2 Revenues (Proposed)'!F17</f>
        <v>0</v>
      </c>
      <c r="G8" s="6"/>
      <c r="H8" s="134">
        <f>D8-F8</f>
        <v>0</v>
      </c>
      <c r="I8" s="4">
        <f>IFERROR(IF((AND(F8=0,H8&gt;0)),100%,H8/F8),0)</f>
        <v>0</v>
      </c>
    </row>
    <row r="9" spans="1:15" x14ac:dyDescent="0.25">
      <c r="D9" s="6"/>
      <c r="E9" s="6"/>
      <c r="F9" s="6"/>
      <c r="G9" s="6"/>
      <c r="H9" s="6"/>
      <c r="I9" s="4"/>
    </row>
    <row r="10" spans="1:15" x14ac:dyDescent="0.25">
      <c r="B10" t="s">
        <v>18</v>
      </c>
      <c r="D10" s="134">
        <f>'F-2 Revenues (Proposed)'!D23</f>
        <v>0</v>
      </c>
      <c r="E10" s="6"/>
      <c r="F10" s="134">
        <f>'F-2 Revenues (Proposed)'!F23</f>
        <v>0</v>
      </c>
      <c r="G10" s="6"/>
      <c r="H10" s="134">
        <f>D10-F10</f>
        <v>0</v>
      </c>
      <c r="I10" s="4">
        <f>IFERROR(IF((AND(F10=0,H10&gt;0)),100%,H10/F10),0)</f>
        <v>0</v>
      </c>
    </row>
    <row r="11" spans="1:15" x14ac:dyDescent="0.25">
      <c r="D11" s="6"/>
      <c r="E11" s="6"/>
      <c r="F11" s="6"/>
      <c r="G11" s="6"/>
      <c r="H11" s="6"/>
      <c r="I11" s="4"/>
    </row>
    <row r="12" spans="1:15" x14ac:dyDescent="0.25">
      <c r="B12" t="s">
        <v>19</v>
      </c>
      <c r="D12" s="134">
        <f>'F-2 Revenues (Proposed)'!D29</f>
        <v>0</v>
      </c>
      <c r="E12" s="6"/>
      <c r="F12" s="134">
        <f>'F-2 Revenues (Proposed)'!F29</f>
        <v>0</v>
      </c>
      <c r="G12" s="6"/>
      <c r="H12" s="134">
        <f>D12-F12</f>
        <v>0</v>
      </c>
      <c r="I12" s="4">
        <f>IFERROR(IF((AND(F12=0,H12&gt;0)),100%,H12/F12),0)</f>
        <v>0</v>
      </c>
    </row>
    <row r="13" spans="1:15" x14ac:dyDescent="0.25">
      <c r="D13" s="6"/>
      <c r="E13" s="6"/>
      <c r="F13" s="6"/>
      <c r="G13" s="6"/>
      <c r="H13" s="6"/>
      <c r="I13" s="4"/>
      <c r="O13" s="4"/>
    </row>
    <row r="14" spans="1:15" x14ac:dyDescent="0.25">
      <c r="B14" t="s">
        <v>20</v>
      </c>
      <c r="D14" s="134">
        <f>'F-2 Revenues (Proposed)'!D35</f>
        <v>51775</v>
      </c>
      <c r="E14" s="6"/>
      <c r="F14" s="134">
        <f>'F-2 Revenues (Proposed)'!F35</f>
        <v>54259</v>
      </c>
      <c r="G14" s="6"/>
      <c r="H14" s="134">
        <f>D14-F14</f>
        <v>-2484</v>
      </c>
      <c r="I14" s="4">
        <f>IFERROR(IF((AND(F14=0,H14&gt;0)),100%,H14/F14),0)</f>
        <v>-4.5780423524207962E-2</v>
      </c>
    </row>
    <row r="15" spans="1:15" x14ac:dyDescent="0.25">
      <c r="D15" s="6"/>
      <c r="E15" s="6"/>
      <c r="F15" s="6"/>
      <c r="G15" s="6"/>
      <c r="H15" s="6"/>
      <c r="I15" s="4"/>
    </row>
    <row r="16" spans="1:15" x14ac:dyDescent="0.25">
      <c r="B16" t="s">
        <v>21</v>
      </c>
      <c r="D16" s="134">
        <f>'F-2 Revenues (Proposed)'!D43</f>
        <v>0</v>
      </c>
      <c r="E16" s="6"/>
      <c r="F16" s="134">
        <f>'F-2 Revenues (Proposed)'!F43</f>
        <v>0</v>
      </c>
      <c r="G16" s="6"/>
      <c r="H16" s="134">
        <f t="shared" ref="H16:H18" si="0">D16-F16</f>
        <v>0</v>
      </c>
      <c r="I16" s="4">
        <f>IFERROR(IF((AND(F16=0,H16&gt;0)),100%,H16/F16),0)</f>
        <v>0</v>
      </c>
    </row>
    <row r="17" spans="1:9" x14ac:dyDescent="0.25">
      <c r="D17" s="6"/>
      <c r="E17" s="6"/>
      <c r="F17" s="6"/>
      <c r="G17" s="6"/>
      <c r="H17" s="6"/>
      <c r="I17" s="4"/>
    </row>
    <row r="18" spans="1:9" x14ac:dyDescent="0.25">
      <c r="B18" t="s">
        <v>22</v>
      </c>
      <c r="D18" s="135">
        <f>'F-2 Revenues (Proposed)'!D57</f>
        <v>0</v>
      </c>
      <c r="E18" s="6"/>
      <c r="F18" s="135">
        <f>'F-2 Revenues (Proposed)'!F57</f>
        <v>0</v>
      </c>
      <c r="G18" s="6"/>
      <c r="H18" s="135">
        <f t="shared" si="0"/>
        <v>0</v>
      </c>
      <c r="I18" s="4">
        <f>IFERROR(IF((AND(F18=0,H18&gt;0)),100%,H18/F18),0)</f>
        <v>0</v>
      </c>
    </row>
    <row r="19" spans="1:9" x14ac:dyDescent="0.25">
      <c r="D19" s="6"/>
      <c r="E19" s="6"/>
      <c r="F19" s="6"/>
      <c r="G19" s="6"/>
      <c r="I19" s="4"/>
    </row>
    <row r="20" spans="1:9" x14ac:dyDescent="0.25">
      <c r="C20" t="s">
        <v>23</v>
      </c>
      <c r="D20" s="134">
        <f>SUM(D6:D18)</f>
        <v>51775</v>
      </c>
      <c r="E20" s="6"/>
      <c r="F20" s="134">
        <f>SUM(F6:F18)</f>
        <v>139259</v>
      </c>
      <c r="G20" s="6"/>
      <c r="H20" s="134">
        <f>D20-F20</f>
        <v>-87484</v>
      </c>
      <c r="I20" s="4">
        <f>IFERROR(IF((AND(F20=0,H20&gt;0)),100%,H20/F20),0)</f>
        <v>-0.62821074400936383</v>
      </c>
    </row>
    <row r="21" spans="1:9" x14ac:dyDescent="0.25">
      <c r="D21" s="6"/>
      <c r="E21" s="6"/>
      <c r="F21" s="6"/>
      <c r="G21" s="6"/>
      <c r="H21" s="6"/>
      <c r="I21" s="4"/>
    </row>
    <row r="22" spans="1:9" x14ac:dyDescent="0.25">
      <c r="B22" t="s">
        <v>24</v>
      </c>
      <c r="D22" s="135">
        <f>'F-3 Appropriations (Proposed)'!D69-'F-2 Revenues (Proposed)'!D58</f>
        <v>134640.22999999998</v>
      </c>
      <c r="E22" s="6"/>
      <c r="F22" s="135">
        <f>'F-3 Appropriations (Proposed)'!F69-'F-2 Revenues (Proposed)'!F58</f>
        <v>133290</v>
      </c>
      <c r="G22" s="6"/>
      <c r="H22" s="135">
        <f>D22-F22</f>
        <v>1350.2299999999814</v>
      </c>
      <c r="I22" s="4">
        <f>IFERROR(IF((AND(F22=0,H22&gt;0)),100%,H22/F22),0)</f>
        <v>1.0130017255607932E-2</v>
      </c>
    </row>
    <row r="23" spans="1:9" x14ac:dyDescent="0.25">
      <c r="D23" s="6"/>
      <c r="E23" s="6"/>
      <c r="F23" s="6"/>
      <c r="G23" s="6"/>
      <c r="I23" s="4"/>
    </row>
    <row r="24" spans="1:9" x14ac:dyDescent="0.25">
      <c r="C24" t="s">
        <v>25</v>
      </c>
      <c r="D24" s="135">
        <f>+D20+D22</f>
        <v>186415.22999999998</v>
      </c>
      <c r="E24" s="6"/>
      <c r="F24" s="135">
        <f>F20+F22</f>
        <v>272549</v>
      </c>
      <c r="G24" s="6"/>
      <c r="H24" s="135">
        <f>D24-F24</f>
        <v>-86133.770000000019</v>
      </c>
      <c r="I24" s="4">
        <f>IFERROR(IF((AND(F24=0,H24&gt;0)),100%,H24/F24),0)</f>
        <v>-0.31603040187269082</v>
      </c>
    </row>
    <row r="25" spans="1:9" x14ac:dyDescent="0.25">
      <c r="D25" s="6"/>
      <c r="E25" s="6"/>
      <c r="F25" s="6"/>
      <c r="G25" s="6"/>
      <c r="I25" s="4"/>
    </row>
    <row r="26" spans="1:9" x14ac:dyDescent="0.25">
      <c r="A26" s="3" t="s">
        <v>26</v>
      </c>
      <c r="B26" s="3"/>
      <c r="C26" s="3"/>
      <c r="D26" s="6"/>
      <c r="E26" s="6"/>
      <c r="F26" s="6"/>
      <c r="G26" s="6"/>
      <c r="I26" s="4"/>
    </row>
    <row r="27" spans="1:9" x14ac:dyDescent="0.25">
      <c r="D27" s="6"/>
      <c r="E27" s="6"/>
      <c r="F27" s="6"/>
      <c r="G27" s="6"/>
      <c r="I27" s="4"/>
    </row>
    <row r="28" spans="1:9" x14ac:dyDescent="0.25">
      <c r="B28" t="s">
        <v>27</v>
      </c>
      <c r="D28" s="134">
        <f>'F-3 Appropriations (Proposed)'!D18</f>
        <v>18100</v>
      </c>
      <c r="E28" s="6"/>
      <c r="F28" s="134">
        <f>'F-3 Appropriations (Proposed)'!F18</f>
        <v>21749</v>
      </c>
      <c r="G28" s="6"/>
      <c r="H28" s="134">
        <f>D28-F28</f>
        <v>-3649</v>
      </c>
      <c r="I28" s="4">
        <f>IFERROR(IF((AND(F28=0,H28&gt;0)),100%,H28/F28),0)</f>
        <v>-0.16777782886569498</v>
      </c>
    </row>
    <row r="29" spans="1:9" x14ac:dyDescent="0.25">
      <c r="D29" s="6"/>
      <c r="E29" s="6"/>
      <c r="F29" s="6"/>
      <c r="G29" s="6"/>
      <c r="H29" s="6"/>
      <c r="I29" s="4"/>
    </row>
    <row r="30" spans="1:9" x14ac:dyDescent="0.25">
      <c r="B30" t="s">
        <v>28</v>
      </c>
      <c r="D30" s="134">
        <f>'F-3 Appropriations (Proposed)'!D36</f>
        <v>108150.23</v>
      </c>
      <c r="E30" s="6"/>
      <c r="F30" s="134">
        <f>'F-3 Appropriations (Proposed)'!F36</f>
        <v>106800</v>
      </c>
      <c r="G30" s="6"/>
      <c r="H30" s="134">
        <f t="shared" ref="H30:H46" si="1">D30-F30</f>
        <v>1350.2299999999959</v>
      </c>
      <c r="I30" s="4">
        <f>IFERROR(IF((AND(F30=0,H30&gt;0)),100%,H30/F30),0)</f>
        <v>1.2642602996254644E-2</v>
      </c>
    </row>
    <row r="31" spans="1:9" x14ac:dyDescent="0.25">
      <c r="D31" s="6"/>
      <c r="E31" s="6"/>
      <c r="F31" s="6"/>
      <c r="G31" s="6"/>
      <c r="H31" s="6"/>
      <c r="I31" s="4"/>
    </row>
    <row r="32" spans="1:9" x14ac:dyDescent="0.25">
      <c r="B32" t="s">
        <v>29</v>
      </c>
      <c r="D32" s="134">
        <f>'F-3 Appropriations (Proposed)'!D50</f>
        <v>0</v>
      </c>
      <c r="E32" s="6"/>
      <c r="F32" s="134">
        <f>'F-3 Appropriations (Proposed)'!F50</f>
        <v>0</v>
      </c>
      <c r="G32" s="6"/>
      <c r="H32" s="134">
        <f t="shared" si="1"/>
        <v>0</v>
      </c>
      <c r="I32" s="4">
        <f>IFERROR(IF((AND(F32=0,H32&gt;0)),100%,H32/F32),0)</f>
        <v>0</v>
      </c>
    </row>
    <row r="33" spans="2:9" x14ac:dyDescent="0.25">
      <c r="C33" t="s">
        <v>30</v>
      </c>
      <c r="D33" s="6"/>
      <c r="E33" s="6"/>
      <c r="F33" s="6"/>
      <c r="G33" s="6"/>
      <c r="H33" s="6"/>
      <c r="I33" s="4"/>
    </row>
    <row r="34" spans="2:9" x14ac:dyDescent="0.25">
      <c r="B34" s="540" t="s">
        <v>821</v>
      </c>
      <c r="C34" s="540"/>
      <c r="D34" s="134">
        <f>'F-3 Appropriations (Proposed)'!D55</f>
        <v>25000</v>
      </c>
      <c r="E34" s="6"/>
      <c r="F34" s="134">
        <f>'F-3 Appropriations (Proposed)'!F55</f>
        <v>24000</v>
      </c>
      <c r="G34" s="6"/>
      <c r="H34" s="134">
        <f t="shared" si="1"/>
        <v>1000</v>
      </c>
      <c r="I34" s="4">
        <f>IFERROR(IF((AND(F34=0,H34&gt;0)),100%,H34/F34),0)</f>
        <v>4.1666666666666664E-2</v>
      </c>
    </row>
    <row r="35" spans="2:9" x14ac:dyDescent="0.25">
      <c r="D35" s="6"/>
      <c r="E35" s="6"/>
      <c r="F35" s="6"/>
      <c r="G35" s="6"/>
      <c r="H35" s="6"/>
      <c r="I35" s="4"/>
    </row>
    <row r="36" spans="2:9" x14ac:dyDescent="0.25">
      <c r="B36" t="s">
        <v>31</v>
      </c>
      <c r="D36" s="134">
        <f>'F-3 Appropriations (Proposed)'!D63</f>
        <v>0</v>
      </c>
      <c r="E36" s="6"/>
      <c r="F36" s="134">
        <f>'F-3 Appropriations (Proposed)'!F63</f>
        <v>0</v>
      </c>
      <c r="G36" s="6"/>
      <c r="H36" s="134">
        <f t="shared" si="1"/>
        <v>0</v>
      </c>
      <c r="I36" s="4">
        <f>IFERROR(IF((AND(F36=0,H36&gt;0)),100%,H36/F36),0)</f>
        <v>0</v>
      </c>
    </row>
    <row r="37" spans="2:9" x14ac:dyDescent="0.25">
      <c r="D37" s="6"/>
      <c r="E37" s="6"/>
      <c r="F37" s="6"/>
      <c r="G37" s="6"/>
      <c r="H37" s="6"/>
      <c r="I37" s="4"/>
    </row>
    <row r="38" spans="2:9" x14ac:dyDescent="0.25">
      <c r="B38" t="s">
        <v>32</v>
      </c>
      <c r="D38" s="134">
        <f>'F-3 Appropriations (Proposed)'!D64</f>
        <v>0</v>
      </c>
      <c r="E38" s="6"/>
      <c r="F38" s="134">
        <f>'F-3 Appropriations (Proposed)'!F64</f>
        <v>0</v>
      </c>
      <c r="G38" s="6"/>
      <c r="H38" s="134">
        <f t="shared" si="1"/>
        <v>0</v>
      </c>
      <c r="I38" s="4">
        <f>IFERROR(IF((AND(F38=0,H38&gt;0)),100%,H38/F38),0)</f>
        <v>0</v>
      </c>
    </row>
    <row r="39" spans="2:9" x14ac:dyDescent="0.25">
      <c r="D39" s="6"/>
      <c r="E39" s="6"/>
      <c r="F39" s="6"/>
      <c r="G39" s="6"/>
      <c r="H39" s="6"/>
      <c r="I39" s="4"/>
    </row>
    <row r="40" spans="2:9" x14ac:dyDescent="0.25">
      <c r="B40" s="767" t="s">
        <v>33</v>
      </c>
      <c r="C40" s="767"/>
      <c r="D40" s="134">
        <f>'F-3 Appropriations (Proposed)'!D65</f>
        <v>0</v>
      </c>
      <c r="E40" s="6"/>
      <c r="F40" s="134">
        <f>'F-3 Appropriations (Proposed)'!F65</f>
        <v>0</v>
      </c>
      <c r="G40" s="6"/>
      <c r="H40" s="134">
        <f t="shared" si="1"/>
        <v>0</v>
      </c>
      <c r="I40" s="4">
        <f>IFERROR(IF((AND(F40=0,H40&gt;0)),100%,H40/F40),0)</f>
        <v>0</v>
      </c>
    </row>
    <row r="41" spans="2:9" x14ac:dyDescent="0.25">
      <c r="D41" s="6"/>
      <c r="E41" s="6"/>
      <c r="F41" s="6"/>
      <c r="G41" s="6"/>
      <c r="H41" s="6"/>
      <c r="I41" s="4"/>
    </row>
    <row r="42" spans="2:9" x14ac:dyDescent="0.25">
      <c r="B42" t="s">
        <v>34</v>
      </c>
      <c r="D42" s="134">
        <f>'F-3 Appropriations (Proposed)'!D66</f>
        <v>979.52</v>
      </c>
      <c r="E42" s="6"/>
      <c r="F42" s="134">
        <f>'F-3 Appropriations (Proposed)'!F66</f>
        <v>120000</v>
      </c>
      <c r="G42" s="6"/>
      <c r="H42" s="134">
        <f t="shared" si="1"/>
        <v>-119020.48</v>
      </c>
      <c r="I42" s="4">
        <f>IFERROR(IF((AND(F42=0,H42&gt;0)),100%,H42/F42),0)</f>
        <v>-0.99183733333333335</v>
      </c>
    </row>
    <row r="43" spans="2:9" x14ac:dyDescent="0.25">
      <c r="D43" s="6"/>
      <c r="E43" s="6"/>
      <c r="F43" s="6"/>
      <c r="G43" s="6"/>
      <c r="H43" s="6"/>
      <c r="I43" s="4"/>
    </row>
    <row r="44" spans="2:9" x14ac:dyDescent="0.25">
      <c r="B44" s="767" t="s">
        <v>35</v>
      </c>
      <c r="C44" s="767"/>
      <c r="D44" s="134">
        <f>'F-3 Appropriations (Proposed)'!D67</f>
        <v>20101.25</v>
      </c>
      <c r="E44" s="6"/>
      <c r="F44" s="134">
        <f>'F-3 Appropriations (Proposed)'!F67</f>
        <v>0</v>
      </c>
      <c r="G44" s="6"/>
      <c r="H44" s="134">
        <f t="shared" si="1"/>
        <v>20101.25</v>
      </c>
      <c r="I44" s="4">
        <f>IFERROR(IF((AND(F44=0,H44&gt;0)),100%,H44/F44),0)</f>
        <v>1</v>
      </c>
    </row>
    <row r="45" spans="2:9" x14ac:dyDescent="0.25">
      <c r="D45" s="6"/>
      <c r="E45" s="6"/>
      <c r="F45" s="6"/>
      <c r="G45" s="6"/>
      <c r="H45" s="6"/>
      <c r="I45" s="4"/>
    </row>
    <row r="46" spans="2:9" x14ac:dyDescent="0.25">
      <c r="B46" t="s">
        <v>36</v>
      </c>
      <c r="D46" s="135">
        <f>'F-3 Appropriations (Proposed)'!D68</f>
        <v>14084.23</v>
      </c>
      <c r="E46" s="6"/>
      <c r="F46" s="135">
        <f>'F-3 Appropriations (Proposed)'!F68</f>
        <v>0</v>
      </c>
      <c r="G46" s="6"/>
      <c r="H46" s="135">
        <f t="shared" si="1"/>
        <v>14084.23</v>
      </c>
      <c r="I46" s="4">
        <f>IFERROR(IF((AND(F46=0,H46&gt;0)),100%,H46/F46),0)</f>
        <v>1</v>
      </c>
    </row>
    <row r="47" spans="2:9" ht="8.25" customHeight="1" x14ac:dyDescent="0.25">
      <c r="D47" s="6"/>
      <c r="E47" s="6"/>
      <c r="F47" s="6"/>
      <c r="G47" s="6"/>
      <c r="H47" s="6"/>
      <c r="I47" s="4"/>
    </row>
    <row r="48" spans="2:9" x14ac:dyDescent="0.25">
      <c r="C48" s="7" t="s">
        <v>37</v>
      </c>
      <c r="D48" s="135">
        <f>SUM(D28:D46)</f>
        <v>186415.22999999998</v>
      </c>
      <c r="E48" s="6"/>
      <c r="F48" s="135">
        <f>SUM(F28:F46)</f>
        <v>272549</v>
      </c>
      <c r="G48" s="6"/>
      <c r="H48" s="135">
        <f>D48-F48</f>
        <v>-86133.770000000019</v>
      </c>
      <c r="I48" s="4">
        <f>IFERROR(IF((AND(F48=0,H48&gt;0)),100%,H48/F48),0)</f>
        <v>-0.31603040187269082</v>
      </c>
    </row>
    <row r="49" spans="1:9" ht="8.25" customHeight="1" x14ac:dyDescent="0.25">
      <c r="D49" s="6"/>
      <c r="E49" s="6"/>
      <c r="F49" s="6"/>
      <c r="G49" s="6"/>
      <c r="I49" s="4"/>
    </row>
    <row r="50" spans="1:9" ht="15.75" thickBot="1" x14ac:dyDescent="0.3">
      <c r="A50" s="3" t="s">
        <v>38</v>
      </c>
      <c r="D50" s="136">
        <f>D24-D48</f>
        <v>0</v>
      </c>
      <c r="F50" s="136">
        <f>F24-F48</f>
        <v>0</v>
      </c>
      <c r="G50" s="5"/>
      <c r="H50" s="136">
        <f>D50-F50</f>
        <v>0</v>
      </c>
      <c r="I50" s="4">
        <f>IFERROR(IF((AND(F50=0,H50&gt;0)),100%,H50/F50),0)</f>
        <v>0</v>
      </c>
    </row>
    <row r="51" spans="1:9" ht="15.75" thickTop="1" x14ac:dyDescent="0.25"/>
    <row r="52" spans="1:9" x14ac:dyDescent="0.25">
      <c r="A52" s="763" t="s">
        <v>894</v>
      </c>
      <c r="B52" s="763"/>
      <c r="C52" s="763"/>
      <c r="D52" s="763"/>
      <c r="E52" s="763"/>
      <c r="F52" s="763"/>
      <c r="G52" s="763"/>
      <c r="H52" s="763"/>
      <c r="I52" s="763"/>
    </row>
  </sheetData>
  <sheetProtection algorithmName="SHA-512" hashValue="M9NWUcNRdqkHyfqmCIpNF2kQmJkce1pndnFJIwQFZ+1PMom/zWELKQnRr6LVQo1gO/KvKElCXzVif+QxMS8zWg==" saltValue="Jy/IFAgZCXKLhQjgJIJnAA==" spinCount="100000" sheet="1" objects="1" scenarios="1"/>
  <mergeCells count="6">
    <mergeCell ref="A52:I52"/>
    <mergeCell ref="A1:I1"/>
    <mergeCell ref="A2:I2"/>
    <mergeCell ref="B34:C34"/>
    <mergeCell ref="B40:C40"/>
    <mergeCell ref="B44:C44"/>
  </mergeCells>
  <printOptions horizontalCentered="1"/>
  <pageMargins left="0.25" right="0.25" top="0.75" bottom="0.75" header="0.3" footer="0.3"/>
  <pageSetup scale="85" orientation="portrait" r:id="rId1"/>
  <headerFooter>
    <oddHeader xml:space="preserve">&amp;C&amp;"-,Bold"&amp;12
&amp;16Budget Summary&amp;"-,Regular"&amp;11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15F3-2995-4418-BF9A-526125D2ED9C}">
  <sheetPr codeName="Sheet38">
    <tabColor rgb="FF92D050"/>
  </sheetPr>
  <dimension ref="A1:L60"/>
  <sheetViews>
    <sheetView view="pageLayout" topLeftCell="A26" zoomScaleNormal="100" workbookViewId="0">
      <selection activeCell="D33" sqref="D33"/>
    </sheetView>
  </sheetViews>
  <sheetFormatPr defaultRowHeight="15" x14ac:dyDescent="0.25"/>
  <cols>
    <col min="1" max="1" width="3" customWidth="1"/>
    <col min="2" max="2" width="2.7109375" customWidth="1"/>
    <col min="3" max="3" width="52" customWidth="1"/>
    <col min="4" max="4" width="15.7109375" customWidth="1"/>
    <col min="5" max="5" width="1.85546875" customWidth="1"/>
    <col min="6" max="6" width="16" bestFit="1" customWidth="1"/>
    <col min="7" max="7" width="2" customWidth="1"/>
    <col min="8" max="8" width="15.140625" bestFit="1" customWidth="1"/>
    <col min="9" max="9" width="11.7109375" customWidth="1"/>
    <col min="12" max="12" width="14.5703125" style="38" hidden="1" customWidth="1"/>
  </cols>
  <sheetData>
    <row r="1" spans="1:12" x14ac:dyDescent="0.25">
      <c r="A1" s="768" t="str">
        <f>'Information Sheet'!B9</f>
        <v>Weymouth Township FD No. 1</v>
      </c>
      <c r="B1" s="768"/>
      <c r="C1" s="768"/>
      <c r="D1" s="768"/>
      <c r="E1" s="768"/>
      <c r="F1" s="768"/>
      <c r="G1" s="768"/>
      <c r="H1" s="768"/>
      <c r="I1" s="768"/>
    </row>
    <row r="2" spans="1:12" x14ac:dyDescent="0.25">
      <c r="A2" s="768" t="str">
        <f>'Information Sheet'!B10</f>
        <v>Atlantic</v>
      </c>
      <c r="B2" s="768"/>
      <c r="C2" s="768"/>
      <c r="D2" s="768"/>
      <c r="E2" s="768"/>
      <c r="F2" s="768"/>
      <c r="G2" s="768"/>
      <c r="H2" s="768"/>
      <c r="I2" s="768"/>
    </row>
    <row r="3" spans="1:12" ht="60" x14ac:dyDescent="0.25">
      <c r="D3" s="1" t="str">
        <f>""&amp;'Information Sheet'!B11&amp;" Proposed Budget"</f>
        <v>2025 Proposed Budget</v>
      </c>
      <c r="F3" s="1" t="str">
        <f>""&amp;'Information Sheet'!B11-1&amp;" Adopted Budget"</f>
        <v>2024 Adopted Budget</v>
      </c>
      <c r="G3" s="1"/>
      <c r="H3" s="1" t="s">
        <v>39</v>
      </c>
      <c r="I3" s="1" t="s">
        <v>14</v>
      </c>
      <c r="L3" s="8" t="s">
        <v>787</v>
      </c>
    </row>
    <row r="4" spans="1:12" x14ac:dyDescent="0.25">
      <c r="A4" s="9" t="s">
        <v>40</v>
      </c>
      <c r="I4" s="4"/>
    </row>
    <row r="5" spans="1:12" x14ac:dyDescent="0.25">
      <c r="B5" t="s">
        <v>41</v>
      </c>
      <c r="D5" s="134">
        <f>'F-8 Fund Balance'!D12</f>
        <v>0</v>
      </c>
      <c r="E5" s="5"/>
      <c r="F5" s="138"/>
      <c r="G5" s="5"/>
      <c r="H5" s="134">
        <f>D5-F5</f>
        <v>0</v>
      </c>
      <c r="I5" s="4">
        <f>IFERROR(IF((AND(F5=0,H5&gt;0)),100%,H5/F5),0)</f>
        <v>0</v>
      </c>
      <c r="L5" s="38" t="str">
        <f>IF(AND(F5="",D5&gt;0),"Yes","No")</f>
        <v>No</v>
      </c>
    </row>
    <row r="6" spans="1:12" x14ac:dyDescent="0.25">
      <c r="B6" t="s">
        <v>42</v>
      </c>
      <c r="D6" s="135">
        <f>'F-8 Fund Balance'!D21+'F-8 Fund Balance'!D22</f>
        <v>0</v>
      </c>
      <c r="E6" s="6"/>
      <c r="F6" s="139">
        <v>85000</v>
      </c>
      <c r="G6" s="6"/>
      <c r="H6" s="135">
        <f>D6-F6</f>
        <v>-85000</v>
      </c>
      <c r="I6" s="4">
        <f>IFERROR(IF((AND(F6=0,H6&gt;0)),100%,H6/F6),0)</f>
        <v>-1</v>
      </c>
      <c r="L6" s="38" t="str">
        <f>IF(AND(F6="",D6&gt;0),"Yes","No")</f>
        <v>No</v>
      </c>
    </row>
    <row r="7" spans="1:12" x14ac:dyDescent="0.25">
      <c r="C7" t="s">
        <v>16</v>
      </c>
      <c r="D7" s="137">
        <f>SUM(D5:D6)</f>
        <v>0</v>
      </c>
      <c r="E7" s="6"/>
      <c r="F7" s="137">
        <f>SUM(F5:F6)</f>
        <v>85000</v>
      </c>
      <c r="G7" s="6"/>
      <c r="H7" s="137">
        <f>D7-F7</f>
        <v>-85000</v>
      </c>
      <c r="I7" s="4">
        <f t="shared" ref="I7" si="0">IFERROR(IF((AND(F7=0,H7&gt;0)),100%,H7/F7),0)</f>
        <v>-1</v>
      </c>
    </row>
    <row r="8" spans="1:12" x14ac:dyDescent="0.25">
      <c r="A8" s="9" t="s">
        <v>43</v>
      </c>
      <c r="D8" s="6"/>
      <c r="E8" s="6"/>
      <c r="F8" s="6"/>
      <c r="G8" s="6"/>
      <c r="I8" s="4"/>
    </row>
    <row r="9" spans="1:12" x14ac:dyDescent="0.25">
      <c r="B9" t="s">
        <v>44</v>
      </c>
      <c r="D9" s="138"/>
      <c r="E9" s="6"/>
      <c r="F9" s="138"/>
      <c r="G9" s="6"/>
      <c r="H9" s="134">
        <f>D9-F9</f>
        <v>0</v>
      </c>
      <c r="I9" s="4">
        <f>IFERROR(IF((AND(F9=0,H9&gt;0)),100%,H9/F9),0)</f>
        <v>0</v>
      </c>
      <c r="L9" s="38" t="str">
        <f t="shared" ref="L9:L16" si="1">IF(AND(F9="",D9&gt;0),"Yes","No")</f>
        <v>No</v>
      </c>
    </row>
    <row r="10" spans="1:12" x14ac:dyDescent="0.25">
      <c r="B10" t="s">
        <v>45</v>
      </c>
      <c r="D10" s="138"/>
      <c r="E10" s="6"/>
      <c r="F10" s="138"/>
      <c r="G10" s="6"/>
      <c r="H10" s="134">
        <f t="shared" ref="H10:H16" si="2">D10-F10</f>
        <v>0</v>
      </c>
      <c r="I10" s="4">
        <f t="shared" ref="I10:I17" si="3">IFERROR(IF((AND(F10=0,H10&gt;0)),100%,H10/F10),0)</f>
        <v>0</v>
      </c>
      <c r="L10" s="38" t="str">
        <f t="shared" si="1"/>
        <v>No</v>
      </c>
    </row>
    <row r="11" spans="1:12" x14ac:dyDescent="0.25">
      <c r="B11" t="s">
        <v>46</v>
      </c>
      <c r="D11" s="138"/>
      <c r="E11" s="6"/>
      <c r="F11" s="138"/>
      <c r="G11" s="6"/>
      <c r="H11" s="134">
        <f t="shared" si="2"/>
        <v>0</v>
      </c>
      <c r="I11" s="4">
        <f t="shared" si="3"/>
        <v>0</v>
      </c>
      <c r="L11" s="38" t="str">
        <f t="shared" si="1"/>
        <v>No</v>
      </c>
    </row>
    <row r="12" spans="1:12" x14ac:dyDescent="0.25">
      <c r="B12" t="s">
        <v>47</v>
      </c>
      <c r="D12" s="138"/>
      <c r="E12" s="6"/>
      <c r="F12" s="138"/>
      <c r="G12" s="6"/>
      <c r="H12" s="134">
        <f t="shared" si="2"/>
        <v>0</v>
      </c>
      <c r="I12" s="4">
        <f t="shared" si="3"/>
        <v>0</v>
      </c>
      <c r="L12" s="38" t="str">
        <f t="shared" si="1"/>
        <v>No</v>
      </c>
    </row>
    <row r="13" spans="1:12" x14ac:dyDescent="0.25">
      <c r="B13" t="s">
        <v>48</v>
      </c>
      <c r="D13" s="138"/>
      <c r="E13" s="6"/>
      <c r="F13" s="138"/>
      <c r="G13" s="6"/>
      <c r="H13" s="134">
        <f t="shared" si="2"/>
        <v>0</v>
      </c>
      <c r="I13" s="4">
        <f t="shared" si="3"/>
        <v>0</v>
      </c>
      <c r="L13" s="38" t="str">
        <f t="shared" si="1"/>
        <v>No</v>
      </c>
    </row>
    <row r="14" spans="1:12" x14ac:dyDescent="0.25">
      <c r="B14" t="s">
        <v>49</v>
      </c>
      <c r="D14" s="138"/>
      <c r="E14" s="6"/>
      <c r="F14" s="138"/>
      <c r="G14" s="6"/>
      <c r="H14" s="134">
        <f t="shared" si="2"/>
        <v>0</v>
      </c>
      <c r="I14" s="4">
        <f t="shared" si="3"/>
        <v>0</v>
      </c>
      <c r="L14" s="38" t="str">
        <f t="shared" si="1"/>
        <v>No</v>
      </c>
    </row>
    <row r="15" spans="1:12" x14ac:dyDescent="0.25">
      <c r="B15" t="s">
        <v>50</v>
      </c>
      <c r="D15" s="138"/>
      <c r="E15" s="6"/>
      <c r="F15" s="138"/>
      <c r="G15" s="6"/>
      <c r="H15" s="134">
        <f t="shared" si="2"/>
        <v>0</v>
      </c>
      <c r="I15" s="4">
        <f>IFERROR(IF((AND(F15=0,H15&gt;0)),100%,H15/F15),0)</f>
        <v>0</v>
      </c>
      <c r="L15" s="38" t="str">
        <f t="shared" si="1"/>
        <v>No</v>
      </c>
    </row>
    <row r="16" spans="1:12" x14ac:dyDescent="0.25">
      <c r="B16" t="s">
        <v>51</v>
      </c>
      <c r="D16" s="139"/>
      <c r="E16" s="6"/>
      <c r="F16" s="139"/>
      <c r="G16" s="6"/>
      <c r="H16" s="134">
        <f t="shared" si="2"/>
        <v>0</v>
      </c>
      <c r="I16" s="4">
        <f t="shared" si="3"/>
        <v>0</v>
      </c>
      <c r="L16" s="38" t="str">
        <f t="shared" si="1"/>
        <v>No</v>
      </c>
    </row>
    <row r="17" spans="1:12" x14ac:dyDescent="0.25">
      <c r="C17" t="s">
        <v>17</v>
      </c>
      <c r="D17" s="137">
        <f>SUM(D9:D16)</f>
        <v>0</v>
      </c>
      <c r="E17" s="6"/>
      <c r="F17" s="137">
        <f>SUM(F9:F16)</f>
        <v>0</v>
      </c>
      <c r="G17" s="6"/>
      <c r="H17" s="137">
        <f>D17-F17</f>
        <v>0</v>
      </c>
      <c r="I17" s="4">
        <f t="shared" si="3"/>
        <v>0</v>
      </c>
    </row>
    <row r="18" spans="1:12" x14ac:dyDescent="0.25">
      <c r="A18" s="9" t="s">
        <v>52</v>
      </c>
      <c r="D18" s="6"/>
      <c r="E18" s="6"/>
      <c r="F18" s="6"/>
      <c r="G18" s="6"/>
      <c r="I18" s="4"/>
      <c r="L18" s="38" t="str">
        <f t="shared" ref="L18:L22" si="4">IF(AND(F18="",D18&gt;0),"Yes","No")</f>
        <v>No</v>
      </c>
    </row>
    <row r="19" spans="1:12" x14ac:dyDescent="0.25">
      <c r="B19" s="782" t="s">
        <v>53</v>
      </c>
      <c r="C19" s="782"/>
      <c r="D19" s="138"/>
      <c r="E19" s="6"/>
      <c r="F19" s="138"/>
      <c r="G19" s="6"/>
      <c r="H19" s="134">
        <f>D19-F19</f>
        <v>0</v>
      </c>
      <c r="I19" s="4">
        <f t="shared" ref="I19:I23" si="5">IFERROR(IF((AND(F19=0,H19&gt;0)),100%,H19/F19),0)</f>
        <v>0</v>
      </c>
      <c r="L19" s="38" t="str">
        <f t="shared" si="4"/>
        <v>No</v>
      </c>
    </row>
    <row r="20" spans="1:12" x14ac:dyDescent="0.25">
      <c r="B20" s="13" t="s">
        <v>54</v>
      </c>
      <c r="C20" s="13"/>
      <c r="D20" s="138"/>
      <c r="E20" s="6"/>
      <c r="F20" s="138"/>
      <c r="G20" s="6"/>
      <c r="H20" s="134">
        <f t="shared" ref="H20:H22" si="6">D20-F20</f>
        <v>0</v>
      </c>
      <c r="I20" s="4">
        <f t="shared" si="5"/>
        <v>0</v>
      </c>
      <c r="L20" s="38" t="str">
        <f t="shared" si="4"/>
        <v>No</v>
      </c>
    </row>
    <row r="21" spans="1:12" x14ac:dyDescent="0.25">
      <c r="B21" s="782" t="s">
        <v>55</v>
      </c>
      <c r="C21" s="782"/>
      <c r="D21" s="138"/>
      <c r="E21" s="6"/>
      <c r="F21" s="138"/>
      <c r="G21" s="6"/>
      <c r="H21" s="134">
        <f t="shared" si="6"/>
        <v>0</v>
      </c>
      <c r="I21" s="4">
        <f t="shared" si="5"/>
        <v>0</v>
      </c>
      <c r="L21" s="38" t="str">
        <f t="shared" si="4"/>
        <v>No</v>
      </c>
    </row>
    <row r="22" spans="1:12" x14ac:dyDescent="0.25">
      <c r="B22" s="782" t="s">
        <v>56</v>
      </c>
      <c r="C22" s="782"/>
      <c r="D22" s="139"/>
      <c r="E22" s="6"/>
      <c r="F22" s="139"/>
      <c r="G22" s="6"/>
      <c r="H22" s="135">
        <f t="shared" si="6"/>
        <v>0</v>
      </c>
      <c r="I22" s="4">
        <f t="shared" si="5"/>
        <v>0</v>
      </c>
      <c r="L22" s="38" t="str">
        <f t="shared" si="4"/>
        <v>No</v>
      </c>
    </row>
    <row r="23" spans="1:12" x14ac:dyDescent="0.25">
      <c r="C23" t="s">
        <v>18</v>
      </c>
      <c r="D23" s="137">
        <f>SUM(D19:D22)</f>
        <v>0</v>
      </c>
      <c r="E23" s="6"/>
      <c r="F23" s="137">
        <f>SUM(F19:F22)</f>
        <v>0</v>
      </c>
      <c r="G23" s="6"/>
      <c r="H23" s="137">
        <f>D23-F23</f>
        <v>0</v>
      </c>
      <c r="I23" s="4">
        <f t="shared" si="5"/>
        <v>0</v>
      </c>
    </row>
    <row r="24" spans="1:12" x14ac:dyDescent="0.25">
      <c r="A24" s="9" t="s">
        <v>57</v>
      </c>
      <c r="D24" s="6"/>
      <c r="E24" s="6"/>
      <c r="F24" s="6"/>
      <c r="G24" s="6"/>
      <c r="I24" s="4"/>
    </row>
    <row r="25" spans="1:12" x14ac:dyDescent="0.25">
      <c r="B25" s="782" t="s">
        <v>699</v>
      </c>
      <c r="C25" s="782"/>
      <c r="D25" s="138"/>
      <c r="E25" s="6"/>
      <c r="F25" s="138"/>
      <c r="G25" s="6"/>
      <c r="H25" s="134">
        <f>D25-F25</f>
        <v>0</v>
      </c>
      <c r="I25" s="4">
        <f t="shared" ref="I25:I29" si="7">IFERROR(IF((AND(F25=0,H25&gt;0)),100%,H25/F25),0)</f>
        <v>0</v>
      </c>
      <c r="L25" s="38" t="str">
        <f t="shared" ref="L25:L28" si="8">IF(AND(F25="",D25&gt;0),"Yes","No")</f>
        <v>No</v>
      </c>
    </row>
    <row r="26" spans="1:12" x14ac:dyDescent="0.25">
      <c r="B26" s="782" t="s">
        <v>58</v>
      </c>
      <c r="C26" s="782"/>
      <c r="D26" s="138"/>
      <c r="E26" s="6"/>
      <c r="F26" s="138"/>
      <c r="G26" s="6"/>
      <c r="H26" s="134">
        <f t="shared" ref="H26:H28" si="9">D26-F26</f>
        <v>0</v>
      </c>
      <c r="I26" s="4">
        <f>IFERROR(IF((AND(F26=0,H26&gt;0)),100%,H26/F26),0)</f>
        <v>0</v>
      </c>
      <c r="L26" s="38" t="str">
        <f t="shared" si="8"/>
        <v>No</v>
      </c>
    </row>
    <row r="27" spans="1:12" x14ac:dyDescent="0.25">
      <c r="B27" s="782" t="s">
        <v>59</v>
      </c>
      <c r="C27" s="782"/>
      <c r="D27" s="138"/>
      <c r="E27" s="6"/>
      <c r="F27" s="138"/>
      <c r="G27" s="6"/>
      <c r="H27" s="134">
        <f t="shared" si="9"/>
        <v>0</v>
      </c>
      <c r="I27" s="4">
        <f t="shared" si="7"/>
        <v>0</v>
      </c>
      <c r="L27" s="38" t="str">
        <f t="shared" si="8"/>
        <v>No</v>
      </c>
    </row>
    <row r="28" spans="1:12" x14ac:dyDescent="0.25">
      <c r="B28" s="782" t="s">
        <v>60</v>
      </c>
      <c r="C28" s="782"/>
      <c r="D28" s="139"/>
      <c r="E28" s="6"/>
      <c r="F28" s="139"/>
      <c r="G28" s="6"/>
      <c r="H28" s="134">
        <f t="shared" si="9"/>
        <v>0</v>
      </c>
      <c r="I28" s="4">
        <f t="shared" si="7"/>
        <v>0</v>
      </c>
      <c r="L28" s="38" t="str">
        <f t="shared" si="8"/>
        <v>No</v>
      </c>
    </row>
    <row r="29" spans="1:12" x14ac:dyDescent="0.25">
      <c r="C29" t="s">
        <v>19</v>
      </c>
      <c r="D29" s="137">
        <f>SUM(D25:D28)</f>
        <v>0</v>
      </c>
      <c r="E29" s="6"/>
      <c r="F29" s="137">
        <f>SUM(F25:F28)</f>
        <v>0</v>
      </c>
      <c r="G29" s="6"/>
      <c r="H29" s="137">
        <f>D29-F29</f>
        <v>0</v>
      </c>
      <c r="I29" s="4">
        <f t="shared" si="7"/>
        <v>0</v>
      </c>
    </row>
    <row r="30" spans="1:12" x14ac:dyDescent="0.25">
      <c r="A30" s="9" t="s">
        <v>61</v>
      </c>
      <c r="D30" s="6"/>
      <c r="E30" s="6"/>
      <c r="F30" s="6"/>
      <c r="G30" s="6"/>
      <c r="I30" s="4"/>
    </row>
    <row r="31" spans="1:12" x14ac:dyDescent="0.25">
      <c r="B31" s="782" t="s">
        <v>1051</v>
      </c>
      <c r="C31" s="782"/>
      <c r="D31" s="138">
        <v>35775</v>
      </c>
      <c r="E31" s="6"/>
      <c r="F31" s="138">
        <v>34259</v>
      </c>
      <c r="G31" s="6"/>
      <c r="H31" s="134">
        <f>D31-F31</f>
        <v>1516</v>
      </c>
      <c r="I31" s="4">
        <f t="shared" ref="I31:I35" si="10">IFERROR(IF((AND(F31=0,H31&gt;0)),100%,H31/F31),0)</f>
        <v>4.4251145684345718E-2</v>
      </c>
      <c r="L31" s="38" t="str">
        <f t="shared" ref="L31:L34" si="11">IF(AND(F31="",D31&gt;0),"Yes","No")</f>
        <v>No</v>
      </c>
    </row>
    <row r="32" spans="1:12" x14ac:dyDescent="0.25">
      <c r="B32" s="782" t="s">
        <v>1052</v>
      </c>
      <c r="C32" s="782"/>
      <c r="D32" s="138">
        <v>16000</v>
      </c>
      <c r="E32" s="6"/>
      <c r="F32" s="138">
        <v>20000</v>
      </c>
      <c r="G32" s="6"/>
      <c r="H32" s="134">
        <f t="shared" ref="H32:H34" si="12">D32-F32</f>
        <v>-4000</v>
      </c>
      <c r="I32" s="4">
        <f t="shared" si="10"/>
        <v>-0.2</v>
      </c>
      <c r="L32" s="38" t="str">
        <f t="shared" si="11"/>
        <v>No</v>
      </c>
    </row>
    <row r="33" spans="1:12" x14ac:dyDescent="0.25">
      <c r="B33" s="782" t="s">
        <v>62</v>
      </c>
      <c r="C33" s="782"/>
      <c r="D33" s="138"/>
      <c r="E33" s="6"/>
      <c r="F33" s="138"/>
      <c r="G33" s="6"/>
      <c r="H33" s="134">
        <f t="shared" si="12"/>
        <v>0</v>
      </c>
      <c r="I33" s="4">
        <f t="shared" si="10"/>
        <v>0</v>
      </c>
      <c r="L33" s="38" t="str">
        <f t="shared" si="11"/>
        <v>No</v>
      </c>
    </row>
    <row r="34" spans="1:12" x14ac:dyDescent="0.25">
      <c r="B34" s="782" t="s">
        <v>63</v>
      </c>
      <c r="C34" s="782"/>
      <c r="D34" s="139"/>
      <c r="E34" s="6"/>
      <c r="F34" s="139"/>
      <c r="G34" s="6"/>
      <c r="H34" s="134">
        <f t="shared" si="12"/>
        <v>0</v>
      </c>
      <c r="I34" s="4">
        <f t="shared" si="10"/>
        <v>0</v>
      </c>
      <c r="L34" s="38" t="str">
        <f t="shared" si="11"/>
        <v>No</v>
      </c>
    </row>
    <row r="35" spans="1:12" x14ac:dyDescent="0.25">
      <c r="C35" t="s">
        <v>64</v>
      </c>
      <c r="D35" s="137">
        <f>SUM(D31:D34)</f>
        <v>51775</v>
      </c>
      <c r="E35" s="6"/>
      <c r="F35" s="137">
        <f>SUM(F31:F34)</f>
        <v>54259</v>
      </c>
      <c r="G35" s="6"/>
      <c r="H35" s="137">
        <f>D35-F35</f>
        <v>-2484</v>
      </c>
      <c r="I35" s="4">
        <f t="shared" si="10"/>
        <v>-4.5780423524207962E-2</v>
      </c>
    </row>
    <row r="36" spans="1:12" x14ac:dyDescent="0.25">
      <c r="A36" s="9" t="s">
        <v>65</v>
      </c>
      <c r="D36" s="6"/>
      <c r="E36" s="6"/>
      <c r="F36" s="6"/>
      <c r="G36" s="6"/>
      <c r="I36" s="4"/>
    </row>
    <row r="37" spans="1:12" x14ac:dyDescent="0.25">
      <c r="B37" s="540" t="s">
        <v>66</v>
      </c>
      <c r="C37" s="540"/>
      <c r="D37" s="138"/>
      <c r="E37" s="6"/>
      <c r="F37" s="138"/>
      <c r="G37" s="6"/>
      <c r="H37" s="134">
        <f>D37-F37</f>
        <v>0</v>
      </c>
      <c r="I37" s="4">
        <f t="shared" ref="I37:I43" si="13">IFERROR(IF((AND(F37=0,H37&gt;0)),100%,H37/F37),0)</f>
        <v>0</v>
      </c>
      <c r="L37" s="38" t="str">
        <f t="shared" ref="L37:L42" si="14">IF(AND(F37="",D37&gt;0),"Yes","No")</f>
        <v>No</v>
      </c>
    </row>
    <row r="38" spans="1:12" x14ac:dyDescent="0.25">
      <c r="B38" s="782" t="s">
        <v>700</v>
      </c>
      <c r="C38" s="782"/>
      <c r="D38" s="138"/>
      <c r="E38" s="6"/>
      <c r="F38" s="138"/>
      <c r="G38" s="6"/>
      <c r="H38" s="134">
        <f t="shared" ref="H38:H42" si="15">D38-F38</f>
        <v>0</v>
      </c>
      <c r="I38" s="4">
        <f t="shared" si="13"/>
        <v>0</v>
      </c>
      <c r="L38" s="38" t="str">
        <f t="shared" si="14"/>
        <v>No</v>
      </c>
    </row>
    <row r="39" spans="1:12" x14ac:dyDescent="0.25">
      <c r="B39" s="782" t="s">
        <v>701</v>
      </c>
      <c r="C39" s="782"/>
      <c r="D39" s="138"/>
      <c r="E39" s="6"/>
      <c r="F39" s="138"/>
      <c r="G39" s="6"/>
      <c r="H39" s="134">
        <f t="shared" si="15"/>
        <v>0</v>
      </c>
      <c r="I39" s="4">
        <f t="shared" si="13"/>
        <v>0</v>
      </c>
      <c r="L39" s="38" t="str">
        <f t="shared" si="14"/>
        <v>No</v>
      </c>
    </row>
    <row r="40" spans="1:12" x14ac:dyDescent="0.25">
      <c r="B40" s="782" t="s">
        <v>67</v>
      </c>
      <c r="C40" s="782"/>
      <c r="D40" s="138"/>
      <c r="E40" s="6"/>
      <c r="F40" s="138"/>
      <c r="G40" s="6"/>
      <c r="H40" s="134">
        <f t="shared" si="15"/>
        <v>0</v>
      </c>
      <c r="I40" s="4">
        <f t="shared" si="13"/>
        <v>0</v>
      </c>
      <c r="L40" s="38" t="str">
        <f t="shared" si="14"/>
        <v>No</v>
      </c>
    </row>
    <row r="41" spans="1:12" x14ac:dyDescent="0.25">
      <c r="B41" s="782" t="s">
        <v>68</v>
      </c>
      <c r="C41" s="782"/>
      <c r="D41" s="138"/>
      <c r="E41" s="6"/>
      <c r="F41" s="138"/>
      <c r="G41" s="6"/>
      <c r="H41" s="134">
        <f t="shared" si="15"/>
        <v>0</v>
      </c>
      <c r="I41" s="4">
        <f t="shared" si="13"/>
        <v>0</v>
      </c>
      <c r="L41" s="38" t="str">
        <f t="shared" si="14"/>
        <v>No</v>
      </c>
    </row>
    <row r="42" spans="1:12" x14ac:dyDescent="0.25">
      <c r="B42" s="782" t="s">
        <v>69</v>
      </c>
      <c r="C42" s="782"/>
      <c r="D42" s="139"/>
      <c r="E42" s="6"/>
      <c r="F42" s="139"/>
      <c r="G42" s="6"/>
      <c r="H42" s="135">
        <f t="shared" si="15"/>
        <v>0</v>
      </c>
      <c r="I42" s="4">
        <f t="shared" si="13"/>
        <v>0</v>
      </c>
      <c r="L42" s="38" t="str">
        <f t="shared" si="14"/>
        <v>No</v>
      </c>
    </row>
    <row r="43" spans="1:12" x14ac:dyDescent="0.25">
      <c r="C43" t="s">
        <v>21</v>
      </c>
      <c r="D43" s="137">
        <f>SUM(D37:D42)</f>
        <v>0</v>
      </c>
      <c r="E43" s="6"/>
      <c r="F43" s="137">
        <f>SUM(F37:F42)</f>
        <v>0</v>
      </c>
      <c r="G43" s="6"/>
      <c r="H43" s="137">
        <f>D43-F43</f>
        <v>0</v>
      </c>
      <c r="I43" s="4">
        <f t="shared" si="13"/>
        <v>0</v>
      </c>
    </row>
    <row r="44" spans="1:12" x14ac:dyDescent="0.25">
      <c r="A44" s="9" t="s">
        <v>70</v>
      </c>
      <c r="D44" s="6"/>
      <c r="E44" s="6"/>
      <c r="F44" s="6"/>
      <c r="G44" s="6"/>
      <c r="I44" s="4"/>
    </row>
    <row r="45" spans="1:12" x14ac:dyDescent="0.25">
      <c r="B45" s="12" t="s">
        <v>71</v>
      </c>
      <c r="D45" s="6"/>
      <c r="E45" s="6"/>
      <c r="F45" s="6"/>
      <c r="G45" s="6"/>
      <c r="H45" s="6"/>
      <c r="I45" s="4"/>
    </row>
    <row r="46" spans="1:12" x14ac:dyDescent="0.25">
      <c r="C46" t="s">
        <v>72</v>
      </c>
      <c r="D46" s="138"/>
      <c r="E46" s="6"/>
      <c r="F46" s="138"/>
      <c r="G46" s="6"/>
      <c r="H46" s="134">
        <f>D46-F46</f>
        <v>0</v>
      </c>
      <c r="I46" s="4">
        <f t="shared" ref="I46:I50" si="16">IFERROR(IF((AND(F46=0,H46&gt;0)),100%,H46/F46),0)</f>
        <v>0</v>
      </c>
      <c r="L46" s="38" t="str">
        <f t="shared" ref="L46:L49" si="17">IF(AND(F46="",D46&gt;0),"Yes","No")</f>
        <v>No</v>
      </c>
    </row>
    <row r="47" spans="1:12" x14ac:dyDescent="0.25">
      <c r="C47" t="s">
        <v>73</v>
      </c>
      <c r="D47" s="138"/>
      <c r="E47" s="6"/>
      <c r="F47" s="138"/>
      <c r="G47" s="6"/>
      <c r="H47" s="134">
        <f t="shared" ref="H47:H49" si="18">D47-F47</f>
        <v>0</v>
      </c>
      <c r="I47" s="4">
        <f t="shared" si="16"/>
        <v>0</v>
      </c>
      <c r="L47" s="38" t="str">
        <f t="shared" si="17"/>
        <v>No</v>
      </c>
    </row>
    <row r="48" spans="1:12" x14ac:dyDescent="0.25">
      <c r="C48" t="s">
        <v>74</v>
      </c>
      <c r="D48" s="138"/>
      <c r="E48" s="6"/>
      <c r="F48" s="138"/>
      <c r="G48" s="6"/>
      <c r="H48" s="134">
        <f t="shared" si="18"/>
        <v>0</v>
      </c>
      <c r="I48" s="4">
        <f t="shared" si="16"/>
        <v>0</v>
      </c>
      <c r="L48" s="38" t="str">
        <f t="shared" si="17"/>
        <v>No</v>
      </c>
    </row>
    <row r="49" spans="1:12" x14ac:dyDescent="0.25">
      <c r="C49" t="s">
        <v>75</v>
      </c>
      <c r="D49" s="139"/>
      <c r="E49" s="6"/>
      <c r="F49" s="139"/>
      <c r="G49" s="6"/>
      <c r="H49" s="135">
        <f t="shared" si="18"/>
        <v>0</v>
      </c>
      <c r="I49" s="4">
        <f t="shared" si="16"/>
        <v>0</v>
      </c>
      <c r="L49" s="38" t="str">
        <f t="shared" si="17"/>
        <v>No</v>
      </c>
    </row>
    <row r="50" spans="1:12" x14ac:dyDescent="0.25">
      <c r="C50" t="s">
        <v>76</v>
      </c>
      <c r="D50" s="137">
        <f>SUM(D46:D49)</f>
        <v>0</v>
      </c>
      <c r="E50" s="6"/>
      <c r="F50" s="137">
        <f>SUM(F46:F49)</f>
        <v>0</v>
      </c>
      <c r="G50" s="6"/>
      <c r="H50" s="137">
        <f>D50-F50</f>
        <v>0</v>
      </c>
      <c r="I50" s="4">
        <f t="shared" si="16"/>
        <v>0</v>
      </c>
    </row>
    <row r="51" spans="1:12" x14ac:dyDescent="0.25">
      <c r="A51" s="9"/>
      <c r="B51" s="781" t="s">
        <v>77</v>
      </c>
      <c r="C51" s="781"/>
      <c r="D51" s="6"/>
      <c r="E51" s="6"/>
      <c r="F51" s="6"/>
      <c r="G51" s="6"/>
      <c r="I51" s="4"/>
    </row>
    <row r="52" spans="1:12" x14ac:dyDescent="0.25">
      <c r="C52" s="13" t="s">
        <v>78</v>
      </c>
      <c r="D52" s="138"/>
      <c r="E52" s="6"/>
      <c r="F52" s="138"/>
      <c r="G52" s="6"/>
      <c r="H52" s="134">
        <f>D52-F52</f>
        <v>0</v>
      </c>
      <c r="I52" s="4">
        <f t="shared" ref="I52:I58" si="19">IFERROR(IF((AND(F52=0,H52&gt;0)),100%,H52/F52),0)</f>
        <v>0</v>
      </c>
      <c r="L52" s="38" t="str">
        <f t="shared" ref="L52:L55" si="20">IF(AND(F52="",D52&gt;0),"Yes","No")</f>
        <v>No</v>
      </c>
    </row>
    <row r="53" spans="1:12" x14ac:dyDescent="0.25">
      <c r="C53" s="13" t="s">
        <v>79</v>
      </c>
      <c r="D53" s="138"/>
      <c r="E53" s="6"/>
      <c r="F53" s="138"/>
      <c r="G53" s="6"/>
      <c r="H53" s="134">
        <f t="shared" ref="H53:H55" si="21">D53-F53</f>
        <v>0</v>
      </c>
      <c r="I53" s="4">
        <f t="shared" si="19"/>
        <v>0</v>
      </c>
      <c r="L53" s="38" t="str">
        <f t="shared" si="20"/>
        <v>No</v>
      </c>
    </row>
    <row r="54" spans="1:12" x14ac:dyDescent="0.25">
      <c r="C54" s="13" t="s">
        <v>80</v>
      </c>
      <c r="D54" s="138"/>
      <c r="E54" s="6"/>
      <c r="F54" s="138"/>
      <c r="G54" s="6"/>
      <c r="H54" s="134">
        <f t="shared" si="21"/>
        <v>0</v>
      </c>
      <c r="I54" s="4">
        <f t="shared" si="19"/>
        <v>0</v>
      </c>
      <c r="L54" s="38" t="str">
        <f t="shared" si="20"/>
        <v>No</v>
      </c>
    </row>
    <row r="55" spans="1:12" x14ac:dyDescent="0.25">
      <c r="C55" s="13" t="s">
        <v>81</v>
      </c>
      <c r="D55" s="139"/>
      <c r="E55" s="6"/>
      <c r="F55" s="139"/>
      <c r="G55" s="6"/>
      <c r="H55" s="134">
        <f t="shared" si="21"/>
        <v>0</v>
      </c>
      <c r="I55" s="4">
        <f t="shared" si="19"/>
        <v>0</v>
      </c>
      <c r="L55" s="38" t="str">
        <f t="shared" si="20"/>
        <v>No</v>
      </c>
    </row>
    <row r="56" spans="1:12" x14ac:dyDescent="0.25">
      <c r="C56" t="s">
        <v>82</v>
      </c>
      <c r="D56" s="137">
        <f>SUM(D52:D55)</f>
        <v>0</v>
      </c>
      <c r="E56" s="6"/>
      <c r="F56" s="137">
        <f>SUM(F52:F55)</f>
        <v>0</v>
      </c>
      <c r="G56" s="6"/>
      <c r="H56" s="137">
        <f>D56-F56</f>
        <v>0</v>
      </c>
      <c r="I56" s="4">
        <f t="shared" si="19"/>
        <v>0</v>
      </c>
    </row>
    <row r="57" spans="1:12" x14ac:dyDescent="0.25">
      <c r="C57" t="s">
        <v>83</v>
      </c>
      <c r="D57" s="137">
        <f>D56+D50</f>
        <v>0</v>
      </c>
      <c r="E57" s="6"/>
      <c r="F57" s="137">
        <f>F56+F50</f>
        <v>0</v>
      </c>
      <c r="G57" s="6"/>
      <c r="H57" s="137">
        <f>D57-F57</f>
        <v>0</v>
      </c>
      <c r="I57" s="4">
        <f t="shared" si="19"/>
        <v>0</v>
      </c>
    </row>
    <row r="58" spans="1:12" ht="15.75" thickBot="1" x14ac:dyDescent="0.3">
      <c r="A58" s="3" t="s">
        <v>84</v>
      </c>
      <c r="D58" s="140">
        <f>D57+D43+D35+D29+D23+D17+D7</f>
        <v>51775</v>
      </c>
      <c r="E58" s="5"/>
      <c r="F58" s="140">
        <f>F57+F43+F35+F29+F23+F17+F7</f>
        <v>139259</v>
      </c>
      <c r="G58" s="5"/>
      <c r="H58" s="140">
        <f t="shared" ref="H58" si="22">H57+H43+H35+H29+H23+H17+H7</f>
        <v>-87484</v>
      </c>
      <c r="I58" s="4">
        <f t="shared" si="19"/>
        <v>-0.62821074400936383</v>
      </c>
    </row>
    <row r="59" spans="1:12" ht="15.75" thickTop="1" x14ac:dyDescent="0.25"/>
    <row r="60" spans="1:12" x14ac:dyDescent="0.25">
      <c r="A60" s="763" t="s">
        <v>893</v>
      </c>
      <c r="B60" s="763"/>
      <c r="C60" s="763"/>
      <c r="D60" s="763"/>
      <c r="E60" s="763"/>
      <c r="F60" s="763"/>
      <c r="G60" s="763"/>
      <c r="H60" s="763"/>
      <c r="I60" s="763"/>
    </row>
  </sheetData>
  <sheetProtection algorithmName="SHA-512" hashValue="3rAmqVRIxfCieopZTlH+MAfu7iPez+xshoSRTihCNk/fk3AWg4fvtUBXsVB+ITHGquIOQ64TAUEr1hlHIkIn6Q==" saltValue="w51s0jetY8PI7HD3+gcdng==" spinCount="100000" sheet="1" objects="1" scenarios="1"/>
  <mergeCells count="21">
    <mergeCell ref="B32:C32"/>
    <mergeCell ref="A1:I1"/>
    <mergeCell ref="A2:I2"/>
    <mergeCell ref="B19:C19"/>
    <mergeCell ref="B21:C21"/>
    <mergeCell ref="B22:C22"/>
    <mergeCell ref="B25:C25"/>
    <mergeCell ref="B26:C26"/>
    <mergeCell ref="B27:C27"/>
    <mergeCell ref="B28:C28"/>
    <mergeCell ref="B31:C31"/>
    <mergeCell ref="A60:I60"/>
    <mergeCell ref="B51:C51"/>
    <mergeCell ref="B33:C33"/>
    <mergeCell ref="B34:C34"/>
    <mergeCell ref="B37:C37"/>
    <mergeCell ref="B38:C38"/>
    <mergeCell ref="B39:C39"/>
    <mergeCell ref="B42:C42"/>
    <mergeCell ref="B40:C40"/>
    <mergeCell ref="B41:C41"/>
  </mergeCells>
  <phoneticPr fontId="58" type="noConversion"/>
  <printOptions horizontalCentered="1"/>
  <pageMargins left="0.25" right="0.25" top="0.25" bottom="0.25" header="0.3" footer="0.3"/>
  <pageSetup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0A7F-B986-45BE-8552-6A1821C5BE9E}">
  <sheetPr codeName="Sheet51">
    <tabColor rgb="FF92D050"/>
  </sheetPr>
  <dimension ref="A1:E51"/>
  <sheetViews>
    <sheetView view="pageLayout" topLeftCell="A3" zoomScaleNormal="100" workbookViewId="0">
      <selection activeCell="D10" sqref="D10"/>
    </sheetView>
  </sheetViews>
  <sheetFormatPr defaultColWidth="9.140625" defaultRowHeight="12.75" x14ac:dyDescent="0.25"/>
  <cols>
    <col min="1" max="1" width="26.7109375" style="71" customWidth="1"/>
    <col min="2" max="3" width="20.28515625" style="71" customWidth="1"/>
    <col min="4" max="4" width="17.140625" style="71" customWidth="1"/>
    <col min="5" max="5" width="14.42578125" style="71" customWidth="1"/>
    <col min="6" max="16384" width="9.140625" style="71"/>
  </cols>
  <sheetData>
    <row r="1" spans="1:5" ht="24.95" customHeight="1" x14ac:dyDescent="0.25">
      <c r="A1" s="784" t="s">
        <v>970</v>
      </c>
      <c r="B1" s="784"/>
      <c r="C1" s="784"/>
      <c r="D1" s="784"/>
      <c r="E1" s="784"/>
    </row>
    <row r="2" spans="1:5" ht="23.25" x14ac:dyDescent="0.25">
      <c r="A2" s="784" t="s">
        <v>971</v>
      </c>
      <c r="B2" s="784"/>
      <c r="C2" s="784"/>
      <c r="D2" s="784"/>
      <c r="E2" s="784"/>
    </row>
    <row r="3" spans="1:5" ht="10.7" customHeight="1" x14ac:dyDescent="0.25">
      <c r="A3" s="785"/>
      <c r="B3" s="785"/>
      <c r="C3" s="785"/>
      <c r="D3" s="280"/>
      <c r="E3" s="280"/>
    </row>
    <row r="4" spans="1:5" ht="20.100000000000001" customHeight="1" x14ac:dyDescent="0.25">
      <c r="A4" s="786" t="str">
        <f>'KEY INPUTS'!B2</f>
        <v>Weymouth Township FD No. 1</v>
      </c>
      <c r="B4" s="786"/>
      <c r="C4" s="786"/>
      <c r="D4" s="786"/>
      <c r="E4" s="786"/>
    </row>
    <row r="5" spans="1:5" ht="10.5" customHeight="1" x14ac:dyDescent="0.25">
      <c r="A5" s="281"/>
      <c r="B5" s="281"/>
      <c r="C5" s="281"/>
      <c r="D5" s="280"/>
      <c r="E5" s="280"/>
    </row>
    <row r="6" spans="1:5" ht="15.75" customHeight="1" x14ac:dyDescent="0.25">
      <c r="A6" s="787" t="str">
        <f>"FISCAL YEAR: January 1, "&amp;'KEY INPUTS'!B1&amp;" to December 31, "&amp;'KEY INPUTS'!B1&amp;""</f>
        <v>FISCAL YEAR: January 1, 2025 to December 31, 2025</v>
      </c>
      <c r="B6" s="787"/>
      <c r="C6" s="787"/>
      <c r="D6" s="787"/>
      <c r="E6" s="787"/>
    </row>
    <row r="7" spans="1:5" ht="10.7" customHeight="1" x14ac:dyDescent="0.25">
      <c r="A7" s="282"/>
      <c r="B7" s="282"/>
      <c r="C7" s="282"/>
      <c r="D7" s="280"/>
      <c r="E7" s="280"/>
    </row>
    <row r="8" spans="1:5" ht="15.75" customHeight="1" x14ac:dyDescent="0.25">
      <c r="A8" s="788" t="s">
        <v>972</v>
      </c>
      <c r="B8" s="788"/>
      <c r="C8" s="788"/>
      <c r="D8" s="788"/>
      <c r="E8" s="788"/>
    </row>
    <row r="9" spans="1:5" ht="10.7" customHeight="1" thickBot="1" x14ac:dyDescent="0.3">
      <c r="A9" s="283"/>
      <c r="B9" s="280"/>
      <c r="C9" s="280"/>
      <c r="D9" s="280"/>
      <c r="E9" s="280"/>
    </row>
    <row r="10" spans="1:5" ht="39" thickBot="1" x14ac:dyDescent="0.3">
      <c r="A10" s="323" t="s">
        <v>759</v>
      </c>
      <c r="B10" s="324" t="str">
        <f>"Proposed "&amp;'KEY INPUTS'!B1&amp;" Amount"</f>
        <v>Proposed 2025 Amount</v>
      </c>
      <c r="C10" s="324" t="str">
        <f>"Adopted "&amp;'KEY INPUTS'!B1-1&amp;" Amount"</f>
        <v>Adopted 2024 Amount</v>
      </c>
      <c r="D10" s="325" t="s">
        <v>760</v>
      </c>
      <c r="E10" s="326" t="s">
        <v>761</v>
      </c>
    </row>
    <row r="11" spans="1:5" ht="14.1" customHeight="1" x14ac:dyDescent="0.25">
      <c r="A11" s="284"/>
      <c r="B11" s="469"/>
      <c r="C11" s="469"/>
      <c r="D11" s="470">
        <f>B11-C11</f>
        <v>0</v>
      </c>
      <c r="E11" s="471">
        <f>IFERROR(D11/C11,0)</f>
        <v>0</v>
      </c>
    </row>
    <row r="12" spans="1:5" ht="14.1" customHeight="1" x14ac:dyDescent="0.25">
      <c r="A12" s="285"/>
      <c r="B12" s="472"/>
      <c r="C12" s="472"/>
      <c r="D12" s="473">
        <f t="shared" ref="D12:D49" si="0">B12-C12</f>
        <v>0</v>
      </c>
      <c r="E12" s="474">
        <f>IFERROR(D12/C12,0)</f>
        <v>0</v>
      </c>
    </row>
    <row r="13" spans="1:5" ht="14.1" customHeight="1" x14ac:dyDescent="0.25">
      <c r="A13" s="308"/>
      <c r="B13" s="472"/>
      <c r="C13" s="472"/>
      <c r="D13" s="473">
        <f t="shared" si="0"/>
        <v>0</v>
      </c>
      <c r="E13" s="474">
        <f t="shared" ref="E13:E49" si="1">IFERROR(D13/C13,0)</f>
        <v>0</v>
      </c>
    </row>
    <row r="14" spans="1:5" x14ac:dyDescent="0.25">
      <c r="A14" s="285"/>
      <c r="B14" s="472"/>
      <c r="C14" s="472"/>
      <c r="D14" s="473">
        <f t="shared" si="0"/>
        <v>0</v>
      </c>
      <c r="E14" s="474">
        <f t="shared" si="1"/>
        <v>0</v>
      </c>
    </row>
    <row r="15" spans="1:5" x14ac:dyDescent="0.25">
      <c r="A15" s="285"/>
      <c r="B15" s="472"/>
      <c r="C15" s="472"/>
      <c r="D15" s="473">
        <f t="shared" si="0"/>
        <v>0</v>
      </c>
      <c r="E15" s="474">
        <f t="shared" si="1"/>
        <v>0</v>
      </c>
    </row>
    <row r="16" spans="1:5" x14ac:dyDescent="0.25">
      <c r="A16" s="285"/>
      <c r="B16" s="472"/>
      <c r="C16" s="472"/>
      <c r="D16" s="473">
        <f t="shared" si="0"/>
        <v>0</v>
      </c>
      <c r="E16" s="474">
        <f t="shared" si="1"/>
        <v>0</v>
      </c>
    </row>
    <row r="17" spans="1:5" x14ac:dyDescent="0.25">
      <c r="A17" s="285"/>
      <c r="B17" s="472"/>
      <c r="C17" s="472"/>
      <c r="D17" s="473">
        <f t="shared" si="0"/>
        <v>0</v>
      </c>
      <c r="E17" s="474">
        <f t="shared" si="1"/>
        <v>0</v>
      </c>
    </row>
    <row r="18" spans="1:5" x14ac:dyDescent="0.25">
      <c r="A18" s="285"/>
      <c r="B18" s="472"/>
      <c r="C18" s="472"/>
      <c r="D18" s="473">
        <f t="shared" si="0"/>
        <v>0</v>
      </c>
      <c r="E18" s="474">
        <f t="shared" si="1"/>
        <v>0</v>
      </c>
    </row>
    <row r="19" spans="1:5" x14ac:dyDescent="0.25">
      <c r="A19" s="285"/>
      <c r="B19" s="472"/>
      <c r="C19" s="472"/>
      <c r="D19" s="473">
        <f t="shared" si="0"/>
        <v>0</v>
      </c>
      <c r="E19" s="474">
        <f t="shared" si="1"/>
        <v>0</v>
      </c>
    </row>
    <row r="20" spans="1:5" x14ac:dyDescent="0.25">
      <c r="A20" s="285"/>
      <c r="B20" s="472"/>
      <c r="C20" s="472"/>
      <c r="D20" s="473">
        <f t="shared" si="0"/>
        <v>0</v>
      </c>
      <c r="E20" s="474">
        <f t="shared" si="1"/>
        <v>0</v>
      </c>
    </row>
    <row r="21" spans="1:5" x14ac:dyDescent="0.25">
      <c r="A21" s="285"/>
      <c r="B21" s="472"/>
      <c r="C21" s="472"/>
      <c r="D21" s="473">
        <f t="shared" si="0"/>
        <v>0</v>
      </c>
      <c r="E21" s="474">
        <f t="shared" si="1"/>
        <v>0</v>
      </c>
    </row>
    <row r="22" spans="1:5" x14ac:dyDescent="0.25">
      <c r="A22" s="285"/>
      <c r="B22" s="472"/>
      <c r="C22" s="472"/>
      <c r="D22" s="473">
        <f t="shared" si="0"/>
        <v>0</v>
      </c>
      <c r="E22" s="474">
        <f t="shared" si="1"/>
        <v>0</v>
      </c>
    </row>
    <row r="23" spans="1:5" x14ac:dyDescent="0.25">
      <c r="A23" s="285"/>
      <c r="B23" s="472"/>
      <c r="C23" s="472"/>
      <c r="D23" s="473">
        <f t="shared" si="0"/>
        <v>0</v>
      </c>
      <c r="E23" s="474">
        <f t="shared" si="1"/>
        <v>0</v>
      </c>
    </row>
    <row r="24" spans="1:5" x14ac:dyDescent="0.25">
      <c r="A24" s="285"/>
      <c r="B24" s="472"/>
      <c r="C24" s="472"/>
      <c r="D24" s="473">
        <f t="shared" si="0"/>
        <v>0</v>
      </c>
      <c r="E24" s="474">
        <f t="shared" si="1"/>
        <v>0</v>
      </c>
    </row>
    <row r="25" spans="1:5" x14ac:dyDescent="0.25">
      <c r="A25" s="285"/>
      <c r="B25" s="472"/>
      <c r="C25" s="472"/>
      <c r="D25" s="473">
        <f t="shared" si="0"/>
        <v>0</v>
      </c>
      <c r="E25" s="474">
        <f t="shared" si="1"/>
        <v>0</v>
      </c>
    </row>
    <row r="26" spans="1:5" x14ac:dyDescent="0.25">
      <c r="A26" s="285"/>
      <c r="B26" s="472"/>
      <c r="C26" s="472"/>
      <c r="D26" s="473">
        <f t="shared" si="0"/>
        <v>0</v>
      </c>
      <c r="E26" s="474">
        <f t="shared" si="1"/>
        <v>0</v>
      </c>
    </row>
    <row r="27" spans="1:5" x14ac:dyDescent="0.25">
      <c r="A27" s="285"/>
      <c r="B27" s="472"/>
      <c r="C27" s="472"/>
      <c r="D27" s="473">
        <f t="shared" si="0"/>
        <v>0</v>
      </c>
      <c r="E27" s="474">
        <f t="shared" si="1"/>
        <v>0</v>
      </c>
    </row>
    <row r="28" spans="1:5" x14ac:dyDescent="0.25">
      <c r="A28" s="285"/>
      <c r="B28" s="472"/>
      <c r="C28" s="472"/>
      <c r="D28" s="473">
        <f t="shared" si="0"/>
        <v>0</v>
      </c>
      <c r="E28" s="474">
        <f t="shared" si="1"/>
        <v>0</v>
      </c>
    </row>
    <row r="29" spans="1:5" x14ac:dyDescent="0.25">
      <c r="A29" s="285"/>
      <c r="B29" s="472"/>
      <c r="C29" s="472"/>
      <c r="D29" s="473">
        <f t="shared" si="0"/>
        <v>0</v>
      </c>
      <c r="E29" s="474">
        <f t="shared" si="1"/>
        <v>0</v>
      </c>
    </row>
    <row r="30" spans="1:5" x14ac:dyDescent="0.25">
      <c r="A30" s="285"/>
      <c r="B30" s="472"/>
      <c r="C30" s="472"/>
      <c r="D30" s="473">
        <f t="shared" si="0"/>
        <v>0</v>
      </c>
      <c r="E30" s="474">
        <f t="shared" si="1"/>
        <v>0</v>
      </c>
    </row>
    <row r="31" spans="1:5" x14ac:dyDescent="0.25">
      <c r="A31" s="285"/>
      <c r="B31" s="472"/>
      <c r="C31" s="472"/>
      <c r="D31" s="473">
        <f t="shared" si="0"/>
        <v>0</v>
      </c>
      <c r="E31" s="474">
        <f t="shared" si="1"/>
        <v>0</v>
      </c>
    </row>
    <row r="32" spans="1:5" x14ac:dyDescent="0.25">
      <c r="A32" s="285"/>
      <c r="B32" s="472"/>
      <c r="C32" s="472"/>
      <c r="D32" s="473">
        <f t="shared" si="0"/>
        <v>0</v>
      </c>
      <c r="E32" s="474">
        <f t="shared" si="1"/>
        <v>0</v>
      </c>
    </row>
    <row r="33" spans="1:5" x14ac:dyDescent="0.25">
      <c r="A33" s="285"/>
      <c r="B33" s="472"/>
      <c r="C33" s="472"/>
      <c r="D33" s="473">
        <f t="shared" si="0"/>
        <v>0</v>
      </c>
      <c r="E33" s="474">
        <f t="shared" si="1"/>
        <v>0</v>
      </c>
    </row>
    <row r="34" spans="1:5" x14ac:dyDescent="0.25">
      <c r="A34" s="285"/>
      <c r="B34" s="472"/>
      <c r="C34" s="472"/>
      <c r="D34" s="473">
        <f t="shared" si="0"/>
        <v>0</v>
      </c>
      <c r="E34" s="474">
        <f t="shared" si="1"/>
        <v>0</v>
      </c>
    </row>
    <row r="35" spans="1:5" x14ac:dyDescent="0.25">
      <c r="A35" s="285"/>
      <c r="B35" s="472"/>
      <c r="C35" s="472"/>
      <c r="D35" s="473">
        <f t="shared" si="0"/>
        <v>0</v>
      </c>
      <c r="E35" s="474">
        <f t="shared" si="1"/>
        <v>0</v>
      </c>
    </row>
    <row r="36" spans="1:5" x14ac:dyDescent="0.25">
      <c r="A36" s="285"/>
      <c r="B36" s="472"/>
      <c r="C36" s="472"/>
      <c r="D36" s="473">
        <f t="shared" si="0"/>
        <v>0</v>
      </c>
      <c r="E36" s="474">
        <f t="shared" si="1"/>
        <v>0</v>
      </c>
    </row>
    <row r="37" spans="1:5" x14ac:dyDescent="0.25">
      <c r="A37" s="285"/>
      <c r="B37" s="472"/>
      <c r="C37" s="472"/>
      <c r="D37" s="473">
        <f t="shared" si="0"/>
        <v>0</v>
      </c>
      <c r="E37" s="474">
        <f t="shared" si="1"/>
        <v>0</v>
      </c>
    </row>
    <row r="38" spans="1:5" x14ac:dyDescent="0.25">
      <c r="A38" s="285"/>
      <c r="B38" s="472"/>
      <c r="C38" s="472"/>
      <c r="D38" s="473">
        <f t="shared" si="0"/>
        <v>0</v>
      </c>
      <c r="E38" s="474">
        <f t="shared" si="1"/>
        <v>0</v>
      </c>
    </row>
    <row r="39" spans="1:5" x14ac:dyDescent="0.25">
      <c r="A39" s="285"/>
      <c r="B39" s="472"/>
      <c r="C39" s="472"/>
      <c r="D39" s="473">
        <f t="shared" si="0"/>
        <v>0</v>
      </c>
      <c r="E39" s="474">
        <f t="shared" si="1"/>
        <v>0</v>
      </c>
    </row>
    <row r="40" spans="1:5" x14ac:dyDescent="0.25">
      <c r="A40" s="285"/>
      <c r="B40" s="472"/>
      <c r="C40" s="472"/>
      <c r="D40" s="473">
        <f t="shared" si="0"/>
        <v>0</v>
      </c>
      <c r="E40" s="474">
        <f t="shared" si="1"/>
        <v>0</v>
      </c>
    </row>
    <row r="41" spans="1:5" x14ac:dyDescent="0.25">
      <c r="A41" s="285"/>
      <c r="B41" s="472"/>
      <c r="C41" s="472"/>
      <c r="D41" s="473">
        <f t="shared" si="0"/>
        <v>0</v>
      </c>
      <c r="E41" s="474">
        <f t="shared" si="1"/>
        <v>0</v>
      </c>
    </row>
    <row r="42" spans="1:5" x14ac:dyDescent="0.25">
      <c r="A42" s="285"/>
      <c r="B42" s="472"/>
      <c r="C42" s="472"/>
      <c r="D42" s="473">
        <f t="shared" si="0"/>
        <v>0</v>
      </c>
      <c r="E42" s="474">
        <f t="shared" si="1"/>
        <v>0</v>
      </c>
    </row>
    <row r="43" spans="1:5" x14ac:dyDescent="0.25">
      <c r="A43" s="285"/>
      <c r="B43" s="472"/>
      <c r="C43" s="472"/>
      <c r="D43" s="473">
        <f t="shared" si="0"/>
        <v>0</v>
      </c>
      <c r="E43" s="474">
        <f t="shared" si="1"/>
        <v>0</v>
      </c>
    </row>
    <row r="44" spans="1:5" x14ac:dyDescent="0.25">
      <c r="A44" s="285"/>
      <c r="B44" s="472"/>
      <c r="C44" s="472"/>
      <c r="D44" s="473">
        <f t="shared" si="0"/>
        <v>0</v>
      </c>
      <c r="E44" s="474">
        <f t="shared" si="1"/>
        <v>0</v>
      </c>
    </row>
    <row r="45" spans="1:5" x14ac:dyDescent="0.25">
      <c r="A45" s="285"/>
      <c r="B45" s="472"/>
      <c r="C45" s="472"/>
      <c r="D45" s="473">
        <f t="shared" si="0"/>
        <v>0</v>
      </c>
      <c r="E45" s="474">
        <f t="shared" si="1"/>
        <v>0</v>
      </c>
    </row>
    <row r="46" spans="1:5" x14ac:dyDescent="0.25">
      <c r="A46" s="285"/>
      <c r="B46" s="472"/>
      <c r="C46" s="472"/>
      <c r="D46" s="473">
        <f t="shared" si="0"/>
        <v>0</v>
      </c>
      <c r="E46" s="474">
        <f t="shared" si="1"/>
        <v>0</v>
      </c>
    </row>
    <row r="47" spans="1:5" x14ac:dyDescent="0.25">
      <c r="A47" s="285"/>
      <c r="B47" s="472"/>
      <c r="C47" s="472"/>
      <c r="D47" s="473">
        <f t="shared" si="0"/>
        <v>0</v>
      </c>
      <c r="E47" s="474">
        <f t="shared" si="1"/>
        <v>0</v>
      </c>
    </row>
    <row r="48" spans="1:5" x14ac:dyDescent="0.25">
      <c r="A48" s="285"/>
      <c r="B48" s="472"/>
      <c r="C48" s="472"/>
      <c r="D48" s="473">
        <f t="shared" si="0"/>
        <v>0</v>
      </c>
      <c r="E48" s="474">
        <f t="shared" si="1"/>
        <v>0</v>
      </c>
    </row>
    <row r="49" spans="1:5" ht="13.5" thickBot="1" x14ac:dyDescent="0.3">
      <c r="A49" s="286"/>
      <c r="B49" s="475"/>
      <c r="C49" s="475"/>
      <c r="D49" s="476">
        <f t="shared" si="0"/>
        <v>0</v>
      </c>
      <c r="E49" s="477">
        <f t="shared" si="1"/>
        <v>0</v>
      </c>
    </row>
    <row r="50" spans="1:5" x14ac:dyDescent="0.25">
      <c r="A50" s="783" t="s">
        <v>973</v>
      </c>
      <c r="B50" s="783"/>
      <c r="C50" s="783"/>
      <c r="D50" s="783"/>
      <c r="E50" s="783"/>
    </row>
    <row r="51" spans="1:5" x14ac:dyDescent="0.25">
      <c r="A51" s="191"/>
      <c r="B51" s="191"/>
      <c r="C51" s="191"/>
      <c r="D51" s="191"/>
      <c r="E51" s="191"/>
    </row>
  </sheetData>
  <sheetProtection algorithmName="SHA-512" hashValue="/fADhxCl5Gp1JOfNI67vAYNQQMH5ywEshptrXJHTMtzcEb6/WwZJ6wMFEOlkGO4dKRzB+nQtHLUdNYXh6OZuow==" saltValue="lEfZ0GruLcu+64l/SYSjRg==" spinCount="100000" sheet="1" objects="1" scenarios="1"/>
  <mergeCells count="7">
    <mergeCell ref="A50:E50"/>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F5E9-A352-4F21-9555-05D57F1025D6}">
  <sheetPr codeName="Sheet59">
    <tabColor rgb="FF92D050"/>
  </sheetPr>
  <dimension ref="A1:E51"/>
  <sheetViews>
    <sheetView view="pageLayout" zoomScaleNormal="100" workbookViewId="0">
      <selection activeCell="C18" sqref="C18"/>
    </sheetView>
  </sheetViews>
  <sheetFormatPr defaultColWidth="9.140625" defaultRowHeight="12.75" x14ac:dyDescent="0.25"/>
  <cols>
    <col min="1" max="1" width="26.7109375" style="71" customWidth="1"/>
    <col min="2" max="3" width="20.28515625" style="71" customWidth="1"/>
    <col min="4" max="4" width="17.140625" style="71" customWidth="1"/>
    <col min="5" max="5" width="14.42578125" style="71" customWidth="1"/>
    <col min="6" max="16384" width="9.140625" style="71"/>
  </cols>
  <sheetData>
    <row r="1" spans="1:5" ht="24.95" customHeight="1" x14ac:dyDescent="0.25">
      <c r="A1" s="784" t="s">
        <v>970</v>
      </c>
      <c r="B1" s="784"/>
      <c r="C1" s="784"/>
      <c r="D1" s="784"/>
      <c r="E1" s="784"/>
    </row>
    <row r="2" spans="1:5" ht="23.25" x14ac:dyDescent="0.25">
      <c r="A2" s="784" t="s">
        <v>971</v>
      </c>
      <c r="B2" s="784"/>
      <c r="C2" s="784"/>
      <c r="D2" s="784"/>
      <c r="E2" s="784"/>
    </row>
    <row r="3" spans="1:5" ht="10.7" customHeight="1" x14ac:dyDescent="0.25">
      <c r="A3" s="785"/>
      <c r="B3" s="785"/>
      <c r="C3" s="785"/>
      <c r="D3" s="280"/>
      <c r="E3" s="280"/>
    </row>
    <row r="4" spans="1:5" ht="20.100000000000001" customHeight="1" x14ac:dyDescent="0.25">
      <c r="A4" s="786" t="str">
        <f>'KEY INPUTS'!B2</f>
        <v>Weymouth Township FD No. 1</v>
      </c>
      <c r="B4" s="786"/>
      <c r="C4" s="786"/>
      <c r="D4" s="786"/>
      <c r="E4" s="786"/>
    </row>
    <row r="5" spans="1:5" ht="10.5" customHeight="1" x14ac:dyDescent="0.25">
      <c r="A5" s="281"/>
      <c r="B5" s="281"/>
      <c r="C5" s="281"/>
      <c r="D5" s="280"/>
      <c r="E5" s="280"/>
    </row>
    <row r="6" spans="1:5" ht="15.75" customHeight="1" x14ac:dyDescent="0.25">
      <c r="A6" s="787" t="str">
        <f>"FISCAL YEAR: January 1, "&amp;'KEY INPUTS'!B1&amp;" to December 31, "&amp;'KEY INPUTS'!B1&amp;""</f>
        <v>FISCAL YEAR: January 1, 2025 to December 31, 2025</v>
      </c>
      <c r="B6" s="787"/>
      <c r="C6" s="787"/>
      <c r="D6" s="787"/>
      <c r="E6" s="787"/>
    </row>
    <row r="7" spans="1:5" ht="10.7" customHeight="1" x14ac:dyDescent="0.25">
      <c r="A7" s="282"/>
      <c r="B7" s="282"/>
      <c r="C7" s="282"/>
      <c r="D7" s="280"/>
      <c r="E7" s="280"/>
    </row>
    <row r="8" spans="1:5" ht="15.75" customHeight="1" x14ac:dyDescent="0.25">
      <c r="A8" s="788" t="s">
        <v>972</v>
      </c>
      <c r="B8" s="788"/>
      <c r="C8" s="788"/>
      <c r="D8" s="788"/>
      <c r="E8" s="788"/>
    </row>
    <row r="9" spans="1:5" ht="10.7" customHeight="1" thickBot="1" x14ac:dyDescent="0.3">
      <c r="A9" s="283"/>
      <c r="B9" s="280"/>
      <c r="C9" s="280"/>
      <c r="D9" s="280"/>
      <c r="E9" s="280"/>
    </row>
    <row r="10" spans="1:5" ht="39" thickBot="1" x14ac:dyDescent="0.3">
      <c r="A10" s="323" t="s">
        <v>759</v>
      </c>
      <c r="B10" s="324" t="str">
        <f>"Proposed "&amp;'KEY INPUTS'!B1&amp;" Amount"</f>
        <v>Proposed 2025 Amount</v>
      </c>
      <c r="C10" s="324" t="str">
        <f>"Adopted "&amp;'KEY INPUTS'!B1-1&amp;" Amount"</f>
        <v>Adopted 2024 Amount</v>
      </c>
      <c r="D10" s="325" t="s">
        <v>760</v>
      </c>
      <c r="E10" s="326" t="s">
        <v>761</v>
      </c>
    </row>
    <row r="11" spans="1:5" ht="14.1" customHeight="1" x14ac:dyDescent="0.25">
      <c r="A11" s="284"/>
      <c r="B11" s="469"/>
      <c r="C11" s="469"/>
      <c r="D11" s="470">
        <f>B11-C11</f>
        <v>0</v>
      </c>
      <c r="E11" s="471">
        <f>IFERROR(D11/C11,0)</f>
        <v>0</v>
      </c>
    </row>
    <row r="12" spans="1:5" ht="14.1" customHeight="1" x14ac:dyDescent="0.25">
      <c r="A12" s="285"/>
      <c r="B12" s="472"/>
      <c r="C12" s="472"/>
      <c r="D12" s="473">
        <f t="shared" ref="D12:D49" si="0">B12-C12</f>
        <v>0</v>
      </c>
      <c r="E12" s="474">
        <f>IFERROR(D12/C12,0)</f>
        <v>0</v>
      </c>
    </row>
    <row r="13" spans="1:5" ht="14.1" customHeight="1" x14ac:dyDescent="0.25">
      <c r="A13" s="308"/>
      <c r="B13" s="472"/>
      <c r="C13" s="472"/>
      <c r="D13" s="473">
        <f t="shared" si="0"/>
        <v>0</v>
      </c>
      <c r="E13" s="474">
        <f t="shared" ref="E13:E49" si="1">IFERROR(D13/C13,0)</f>
        <v>0</v>
      </c>
    </row>
    <row r="14" spans="1:5" x14ac:dyDescent="0.25">
      <c r="A14" s="285"/>
      <c r="B14" s="472"/>
      <c r="C14" s="472"/>
      <c r="D14" s="473">
        <f t="shared" si="0"/>
        <v>0</v>
      </c>
      <c r="E14" s="474">
        <f t="shared" si="1"/>
        <v>0</v>
      </c>
    </row>
    <row r="15" spans="1:5" x14ac:dyDescent="0.25">
      <c r="A15" s="285"/>
      <c r="B15" s="472"/>
      <c r="C15" s="472"/>
      <c r="D15" s="473">
        <f t="shared" si="0"/>
        <v>0</v>
      </c>
      <c r="E15" s="474">
        <f t="shared" si="1"/>
        <v>0</v>
      </c>
    </row>
    <row r="16" spans="1:5" x14ac:dyDescent="0.25">
      <c r="A16" s="285"/>
      <c r="B16" s="472"/>
      <c r="C16" s="472"/>
      <c r="D16" s="473">
        <f t="shared" si="0"/>
        <v>0</v>
      </c>
      <c r="E16" s="474">
        <f t="shared" si="1"/>
        <v>0</v>
      </c>
    </row>
    <row r="17" spans="1:5" x14ac:dyDescent="0.25">
      <c r="A17" s="285"/>
      <c r="B17" s="472"/>
      <c r="C17" s="472"/>
      <c r="D17" s="473">
        <f t="shared" si="0"/>
        <v>0</v>
      </c>
      <c r="E17" s="474">
        <f t="shared" si="1"/>
        <v>0</v>
      </c>
    </row>
    <row r="18" spans="1:5" x14ac:dyDescent="0.25">
      <c r="A18" s="285"/>
      <c r="B18" s="472"/>
      <c r="C18" s="472"/>
      <c r="D18" s="473">
        <f t="shared" si="0"/>
        <v>0</v>
      </c>
      <c r="E18" s="474">
        <f t="shared" si="1"/>
        <v>0</v>
      </c>
    </row>
    <row r="19" spans="1:5" x14ac:dyDescent="0.25">
      <c r="A19" s="285"/>
      <c r="B19" s="472"/>
      <c r="C19" s="472"/>
      <c r="D19" s="473">
        <f t="shared" si="0"/>
        <v>0</v>
      </c>
      <c r="E19" s="474">
        <f t="shared" si="1"/>
        <v>0</v>
      </c>
    </row>
    <row r="20" spans="1:5" x14ac:dyDescent="0.25">
      <c r="A20" s="285"/>
      <c r="B20" s="472"/>
      <c r="C20" s="472"/>
      <c r="D20" s="473">
        <f t="shared" si="0"/>
        <v>0</v>
      </c>
      <c r="E20" s="474">
        <f t="shared" si="1"/>
        <v>0</v>
      </c>
    </row>
    <row r="21" spans="1:5" x14ac:dyDescent="0.25">
      <c r="A21" s="285"/>
      <c r="B21" s="472"/>
      <c r="C21" s="472"/>
      <c r="D21" s="473">
        <f t="shared" si="0"/>
        <v>0</v>
      </c>
      <c r="E21" s="474">
        <f t="shared" si="1"/>
        <v>0</v>
      </c>
    </row>
    <row r="22" spans="1:5" x14ac:dyDescent="0.25">
      <c r="A22" s="285"/>
      <c r="B22" s="472"/>
      <c r="C22" s="472"/>
      <c r="D22" s="473">
        <f t="shared" si="0"/>
        <v>0</v>
      </c>
      <c r="E22" s="474">
        <f t="shared" si="1"/>
        <v>0</v>
      </c>
    </row>
    <row r="23" spans="1:5" x14ac:dyDescent="0.25">
      <c r="A23" s="285"/>
      <c r="B23" s="472"/>
      <c r="C23" s="472"/>
      <c r="D23" s="473">
        <f t="shared" si="0"/>
        <v>0</v>
      </c>
      <c r="E23" s="474">
        <f t="shared" si="1"/>
        <v>0</v>
      </c>
    </row>
    <row r="24" spans="1:5" x14ac:dyDescent="0.25">
      <c r="A24" s="285"/>
      <c r="B24" s="472"/>
      <c r="C24" s="472"/>
      <c r="D24" s="473">
        <f t="shared" si="0"/>
        <v>0</v>
      </c>
      <c r="E24" s="474">
        <f t="shared" si="1"/>
        <v>0</v>
      </c>
    </row>
    <row r="25" spans="1:5" x14ac:dyDescent="0.25">
      <c r="A25" s="285"/>
      <c r="B25" s="472"/>
      <c r="C25" s="472"/>
      <c r="D25" s="473">
        <f t="shared" si="0"/>
        <v>0</v>
      </c>
      <c r="E25" s="474">
        <f t="shared" si="1"/>
        <v>0</v>
      </c>
    </row>
    <row r="26" spans="1:5" x14ac:dyDescent="0.25">
      <c r="A26" s="285"/>
      <c r="B26" s="472"/>
      <c r="C26" s="472"/>
      <c r="D26" s="473">
        <f t="shared" si="0"/>
        <v>0</v>
      </c>
      <c r="E26" s="474">
        <f t="shared" si="1"/>
        <v>0</v>
      </c>
    </row>
    <row r="27" spans="1:5" x14ac:dyDescent="0.25">
      <c r="A27" s="285"/>
      <c r="B27" s="472"/>
      <c r="C27" s="472"/>
      <c r="D27" s="473">
        <f t="shared" si="0"/>
        <v>0</v>
      </c>
      <c r="E27" s="474">
        <f t="shared" si="1"/>
        <v>0</v>
      </c>
    </row>
    <row r="28" spans="1:5" x14ac:dyDescent="0.25">
      <c r="A28" s="285"/>
      <c r="B28" s="472"/>
      <c r="C28" s="472"/>
      <c r="D28" s="473">
        <f t="shared" si="0"/>
        <v>0</v>
      </c>
      <c r="E28" s="474">
        <f t="shared" si="1"/>
        <v>0</v>
      </c>
    </row>
    <row r="29" spans="1:5" x14ac:dyDescent="0.25">
      <c r="A29" s="285"/>
      <c r="B29" s="472"/>
      <c r="C29" s="472"/>
      <c r="D29" s="473">
        <f t="shared" si="0"/>
        <v>0</v>
      </c>
      <c r="E29" s="474">
        <f t="shared" si="1"/>
        <v>0</v>
      </c>
    </row>
    <row r="30" spans="1:5" x14ac:dyDescent="0.25">
      <c r="A30" s="285"/>
      <c r="B30" s="472"/>
      <c r="C30" s="472"/>
      <c r="D30" s="473">
        <f t="shared" si="0"/>
        <v>0</v>
      </c>
      <c r="E30" s="474">
        <f t="shared" si="1"/>
        <v>0</v>
      </c>
    </row>
    <row r="31" spans="1:5" x14ac:dyDescent="0.25">
      <c r="A31" s="285"/>
      <c r="B31" s="472"/>
      <c r="C31" s="472"/>
      <c r="D31" s="473">
        <f t="shared" si="0"/>
        <v>0</v>
      </c>
      <c r="E31" s="474">
        <f t="shared" si="1"/>
        <v>0</v>
      </c>
    </row>
    <row r="32" spans="1:5" x14ac:dyDescent="0.25">
      <c r="A32" s="285"/>
      <c r="B32" s="472"/>
      <c r="C32" s="472"/>
      <c r="D32" s="473">
        <f t="shared" si="0"/>
        <v>0</v>
      </c>
      <c r="E32" s="474">
        <f t="shared" si="1"/>
        <v>0</v>
      </c>
    </row>
    <row r="33" spans="1:5" x14ac:dyDescent="0.25">
      <c r="A33" s="285"/>
      <c r="B33" s="472"/>
      <c r="C33" s="472"/>
      <c r="D33" s="473">
        <f t="shared" si="0"/>
        <v>0</v>
      </c>
      <c r="E33" s="474">
        <f t="shared" si="1"/>
        <v>0</v>
      </c>
    </row>
    <row r="34" spans="1:5" x14ac:dyDescent="0.25">
      <c r="A34" s="285"/>
      <c r="B34" s="472"/>
      <c r="C34" s="472"/>
      <c r="D34" s="473">
        <f t="shared" si="0"/>
        <v>0</v>
      </c>
      <c r="E34" s="474">
        <f t="shared" si="1"/>
        <v>0</v>
      </c>
    </row>
    <row r="35" spans="1:5" x14ac:dyDescent="0.25">
      <c r="A35" s="285"/>
      <c r="B35" s="472"/>
      <c r="C35" s="472"/>
      <c r="D35" s="473">
        <f t="shared" si="0"/>
        <v>0</v>
      </c>
      <c r="E35" s="474">
        <f t="shared" si="1"/>
        <v>0</v>
      </c>
    </row>
    <row r="36" spans="1:5" x14ac:dyDescent="0.25">
      <c r="A36" s="285"/>
      <c r="B36" s="472"/>
      <c r="C36" s="472"/>
      <c r="D36" s="473">
        <f t="shared" si="0"/>
        <v>0</v>
      </c>
      <c r="E36" s="474">
        <f t="shared" si="1"/>
        <v>0</v>
      </c>
    </row>
    <row r="37" spans="1:5" x14ac:dyDescent="0.25">
      <c r="A37" s="285"/>
      <c r="B37" s="472"/>
      <c r="C37" s="472"/>
      <c r="D37" s="473">
        <f t="shared" si="0"/>
        <v>0</v>
      </c>
      <c r="E37" s="474">
        <f t="shared" si="1"/>
        <v>0</v>
      </c>
    </row>
    <row r="38" spans="1:5" x14ac:dyDescent="0.25">
      <c r="A38" s="285"/>
      <c r="B38" s="472"/>
      <c r="C38" s="472"/>
      <c r="D38" s="473">
        <f t="shared" si="0"/>
        <v>0</v>
      </c>
      <c r="E38" s="474">
        <f t="shared" si="1"/>
        <v>0</v>
      </c>
    </row>
    <row r="39" spans="1:5" x14ac:dyDescent="0.25">
      <c r="A39" s="285"/>
      <c r="B39" s="472"/>
      <c r="C39" s="472"/>
      <c r="D39" s="473">
        <f t="shared" si="0"/>
        <v>0</v>
      </c>
      <c r="E39" s="474">
        <f t="shared" si="1"/>
        <v>0</v>
      </c>
    </row>
    <row r="40" spans="1:5" x14ac:dyDescent="0.25">
      <c r="A40" s="285"/>
      <c r="B40" s="472"/>
      <c r="C40" s="472"/>
      <c r="D40" s="473">
        <f t="shared" si="0"/>
        <v>0</v>
      </c>
      <c r="E40" s="474">
        <f t="shared" si="1"/>
        <v>0</v>
      </c>
    </row>
    <row r="41" spans="1:5" x14ac:dyDescent="0.25">
      <c r="A41" s="285"/>
      <c r="B41" s="472"/>
      <c r="C41" s="472"/>
      <c r="D41" s="473">
        <f t="shared" si="0"/>
        <v>0</v>
      </c>
      <c r="E41" s="474">
        <f t="shared" si="1"/>
        <v>0</v>
      </c>
    </row>
    <row r="42" spans="1:5" x14ac:dyDescent="0.25">
      <c r="A42" s="285"/>
      <c r="B42" s="472"/>
      <c r="C42" s="472"/>
      <c r="D42" s="473">
        <f t="shared" si="0"/>
        <v>0</v>
      </c>
      <c r="E42" s="474">
        <f t="shared" si="1"/>
        <v>0</v>
      </c>
    </row>
    <row r="43" spans="1:5" x14ac:dyDescent="0.25">
      <c r="A43" s="285"/>
      <c r="B43" s="472"/>
      <c r="C43" s="472"/>
      <c r="D43" s="473">
        <f t="shared" si="0"/>
        <v>0</v>
      </c>
      <c r="E43" s="474">
        <f t="shared" si="1"/>
        <v>0</v>
      </c>
    </row>
    <row r="44" spans="1:5" x14ac:dyDescent="0.25">
      <c r="A44" s="285"/>
      <c r="B44" s="472"/>
      <c r="C44" s="472"/>
      <c r="D44" s="473">
        <f t="shared" si="0"/>
        <v>0</v>
      </c>
      <c r="E44" s="474">
        <f t="shared" si="1"/>
        <v>0</v>
      </c>
    </row>
    <row r="45" spans="1:5" x14ac:dyDescent="0.25">
      <c r="A45" s="285"/>
      <c r="B45" s="472"/>
      <c r="C45" s="472"/>
      <c r="D45" s="473">
        <f t="shared" si="0"/>
        <v>0</v>
      </c>
      <c r="E45" s="474">
        <f t="shared" si="1"/>
        <v>0</v>
      </c>
    </row>
    <row r="46" spans="1:5" x14ac:dyDescent="0.25">
      <c r="A46" s="285"/>
      <c r="B46" s="472"/>
      <c r="C46" s="472"/>
      <c r="D46" s="473">
        <f t="shared" si="0"/>
        <v>0</v>
      </c>
      <c r="E46" s="474">
        <f t="shared" si="1"/>
        <v>0</v>
      </c>
    </row>
    <row r="47" spans="1:5" x14ac:dyDescent="0.25">
      <c r="A47" s="285"/>
      <c r="B47" s="472"/>
      <c r="C47" s="472"/>
      <c r="D47" s="473">
        <f t="shared" si="0"/>
        <v>0</v>
      </c>
      <c r="E47" s="474">
        <f t="shared" si="1"/>
        <v>0</v>
      </c>
    </row>
    <row r="48" spans="1:5" x14ac:dyDescent="0.25">
      <c r="A48" s="285"/>
      <c r="B48" s="472"/>
      <c r="C48" s="472"/>
      <c r="D48" s="473">
        <f t="shared" si="0"/>
        <v>0</v>
      </c>
      <c r="E48" s="474">
        <f t="shared" si="1"/>
        <v>0</v>
      </c>
    </row>
    <row r="49" spans="1:5" ht="13.5" thickBot="1" x14ac:dyDescent="0.3">
      <c r="A49" s="286"/>
      <c r="B49" s="475"/>
      <c r="C49" s="475"/>
      <c r="D49" s="476">
        <f t="shared" si="0"/>
        <v>0</v>
      </c>
      <c r="E49" s="477">
        <f t="shared" si="1"/>
        <v>0</v>
      </c>
    </row>
    <row r="50" spans="1:5" x14ac:dyDescent="0.25">
      <c r="A50" s="783" t="s">
        <v>974</v>
      </c>
      <c r="B50" s="783"/>
      <c r="C50" s="783"/>
      <c r="D50" s="783"/>
      <c r="E50" s="783"/>
    </row>
    <row r="51" spans="1:5" x14ac:dyDescent="0.25">
      <c r="A51" s="191"/>
      <c r="B51" s="191"/>
      <c r="C51" s="191"/>
      <c r="D51" s="191"/>
      <c r="E51" s="191"/>
    </row>
  </sheetData>
  <sheetProtection algorithmName="SHA-512" hashValue="x4ml5NGDQr8mcO9vqaJO08y4hA4UktgLPIj8eWDMDNzIbcxz5+ZDTAwIMdUSyX98EZW2ZMThXQW6HtZkUKBoHg==" saltValue="tLTA5AGvghLqPMKCQkvDVw==" spinCount="100000" sheet="1" objects="1" scenarios="1"/>
  <mergeCells count="7">
    <mergeCell ref="A50:E50"/>
    <mergeCell ref="A1:E1"/>
    <mergeCell ref="A2:E2"/>
    <mergeCell ref="A3:C3"/>
    <mergeCell ref="A4:E4"/>
    <mergeCell ref="A6:E6"/>
    <mergeCell ref="A8:E8"/>
  </mergeCells>
  <printOptions horizontalCentered="1"/>
  <pageMargins left="0.25" right="0.25"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A9AA-5E17-4CA2-A7EF-1EA4900CB2DF}">
  <sheetPr codeName="Sheet40">
    <tabColor rgb="FF92D050"/>
  </sheetPr>
  <dimension ref="A1:M79"/>
  <sheetViews>
    <sheetView view="pageLayout" topLeftCell="A19" zoomScaleNormal="100" workbookViewId="0">
      <selection activeCell="D35" sqref="D35"/>
    </sheetView>
  </sheetViews>
  <sheetFormatPr defaultRowHeight="15" x14ac:dyDescent="0.25"/>
  <cols>
    <col min="1" max="1" width="3" customWidth="1"/>
    <col min="2" max="2" width="2.7109375" customWidth="1"/>
    <col min="3" max="3" width="61" customWidth="1"/>
    <col min="4" max="4" width="16.7109375" customWidth="1"/>
    <col min="5" max="5" width="1.85546875" customWidth="1"/>
    <col min="6" max="6" width="16" bestFit="1" customWidth="1"/>
    <col min="7" max="7" width="2" customWidth="1"/>
    <col min="8" max="8" width="14.140625" customWidth="1"/>
    <col min="9" max="9" width="12.7109375" bestFit="1" customWidth="1"/>
  </cols>
  <sheetData>
    <row r="1" spans="1:9" x14ac:dyDescent="0.25">
      <c r="A1" s="768" t="str">
        <f>'Information Sheet'!B9</f>
        <v>Weymouth Township FD No. 1</v>
      </c>
      <c r="B1" s="768"/>
      <c r="C1" s="768"/>
      <c r="D1" s="768"/>
      <c r="E1" s="768"/>
      <c r="F1" s="768"/>
      <c r="G1" s="768"/>
      <c r="H1" s="768"/>
      <c r="I1" s="768"/>
    </row>
    <row r="2" spans="1:9" x14ac:dyDescent="0.25">
      <c r="A2" s="768" t="str">
        <f>'Information Sheet'!B10</f>
        <v>Atlantic</v>
      </c>
      <c r="B2" s="768"/>
      <c r="C2" s="768"/>
      <c r="D2" s="768"/>
      <c r="E2" s="768"/>
      <c r="F2" s="768"/>
      <c r="G2" s="768"/>
      <c r="H2" s="768"/>
      <c r="I2" s="768"/>
    </row>
    <row r="3" spans="1:9" ht="60" x14ac:dyDescent="0.25">
      <c r="D3" s="1" t="str">
        <f>""&amp;'Information Sheet'!B11&amp;" Proposed Budget"</f>
        <v>2025 Proposed Budget</v>
      </c>
      <c r="F3" s="1" t="str">
        <f>""&amp;'Information Sheet'!B11-1&amp;" Adopted Budget"</f>
        <v>2024 Adopted Budget</v>
      </c>
      <c r="G3" s="1"/>
      <c r="H3" s="1" t="s">
        <v>13</v>
      </c>
      <c r="I3" s="1" t="s">
        <v>14</v>
      </c>
    </row>
    <row r="4" spans="1:9" x14ac:dyDescent="0.25">
      <c r="A4" s="9" t="s">
        <v>85</v>
      </c>
    </row>
    <row r="5" spans="1:9" x14ac:dyDescent="0.25">
      <c r="B5" t="s">
        <v>86</v>
      </c>
      <c r="D5" s="134">
        <f>'F-4 Salary &amp; Benefit Schedule'!D12</f>
        <v>0</v>
      </c>
      <c r="E5" s="5"/>
      <c r="F5" s="138"/>
      <c r="G5" s="5"/>
      <c r="H5" s="134">
        <f>D5-F5</f>
        <v>0</v>
      </c>
      <c r="I5" s="4">
        <f>IFERROR(IF((AND(F5=0,H5&gt;0)),100%,H5/F5),0)</f>
        <v>0</v>
      </c>
    </row>
    <row r="6" spans="1:9" x14ac:dyDescent="0.25">
      <c r="B6" s="540" t="s">
        <v>87</v>
      </c>
      <c r="C6" s="540"/>
      <c r="D6" s="138"/>
      <c r="E6" s="5"/>
      <c r="F6" s="138"/>
      <c r="G6" s="5"/>
      <c r="H6" s="134">
        <f>D6-F6</f>
        <v>0</v>
      </c>
      <c r="I6" s="4">
        <f t="shared" ref="I6:I8" si="0">IFERROR(IF((AND(F6=0,H6&gt;0)),100%,H6/F6),0)</f>
        <v>0</v>
      </c>
    </row>
    <row r="7" spans="1:9" x14ac:dyDescent="0.25">
      <c r="B7" t="s">
        <v>88</v>
      </c>
      <c r="D7" s="135">
        <f>'F-4 Salary &amp; Benefit Schedule'!I12</f>
        <v>0</v>
      </c>
      <c r="E7" s="6"/>
      <c r="F7" s="139"/>
      <c r="G7" s="6"/>
      <c r="H7" s="135">
        <f>D7-F7</f>
        <v>0</v>
      </c>
      <c r="I7" s="4">
        <f t="shared" si="0"/>
        <v>0</v>
      </c>
    </row>
    <row r="8" spans="1:9" x14ac:dyDescent="0.25">
      <c r="C8" t="s">
        <v>89</v>
      </c>
      <c r="D8" s="137">
        <f>SUM(D5:D7)</f>
        <v>0</v>
      </c>
      <c r="E8" s="6"/>
      <c r="F8" s="137">
        <f>SUM(F5:F7)</f>
        <v>0</v>
      </c>
      <c r="G8" s="6"/>
      <c r="H8" s="137">
        <f>D8-F8</f>
        <v>0</v>
      </c>
      <c r="I8" s="4">
        <f t="shared" si="0"/>
        <v>0</v>
      </c>
    </row>
    <row r="9" spans="1:9" x14ac:dyDescent="0.25">
      <c r="A9" s="9" t="s">
        <v>90</v>
      </c>
      <c r="D9" s="6"/>
      <c r="E9" s="6"/>
      <c r="F9" s="6"/>
      <c r="G9" s="6"/>
      <c r="H9" s="6"/>
      <c r="I9" s="4"/>
    </row>
    <row r="10" spans="1:9" x14ac:dyDescent="0.25">
      <c r="B10" s="782" t="s">
        <v>1053</v>
      </c>
      <c r="C10" s="782"/>
      <c r="D10" s="138">
        <v>1600</v>
      </c>
      <c r="E10" s="6"/>
      <c r="F10" s="138">
        <v>1749</v>
      </c>
      <c r="G10" s="6"/>
      <c r="H10" s="134">
        <f>D10-F10</f>
        <v>-149</v>
      </c>
      <c r="I10" s="4">
        <f t="shared" ref="I10:I18" si="1">IFERROR(IF((AND(F10=0,H10&gt;0)),100%,H10/F10),0)</f>
        <v>-8.5191538021726701E-2</v>
      </c>
    </row>
    <row r="11" spans="1:9" x14ac:dyDescent="0.25">
      <c r="B11" s="782" t="s">
        <v>1054</v>
      </c>
      <c r="C11" s="782"/>
      <c r="D11" s="138">
        <v>8500</v>
      </c>
      <c r="E11" s="6"/>
      <c r="F11" s="138">
        <v>12500</v>
      </c>
      <c r="G11" s="6"/>
      <c r="H11" s="134">
        <f t="shared" ref="H11:H16" si="2">D11-F11</f>
        <v>-4000</v>
      </c>
      <c r="I11" s="4">
        <f t="shared" si="1"/>
        <v>-0.32</v>
      </c>
    </row>
    <row r="12" spans="1:9" x14ac:dyDescent="0.25">
      <c r="B12" s="782" t="s">
        <v>1055</v>
      </c>
      <c r="C12" s="782"/>
      <c r="D12" s="138">
        <v>4500</v>
      </c>
      <c r="E12" s="6"/>
      <c r="F12" s="138">
        <v>4000</v>
      </c>
      <c r="G12" s="6"/>
      <c r="H12" s="134">
        <f t="shared" si="2"/>
        <v>500</v>
      </c>
      <c r="I12" s="4">
        <f t="shared" si="1"/>
        <v>0.125</v>
      </c>
    </row>
    <row r="13" spans="1:9" x14ac:dyDescent="0.25">
      <c r="B13" s="540" t="s">
        <v>91</v>
      </c>
      <c r="C13" s="540"/>
      <c r="D13" s="138"/>
      <c r="E13" s="6"/>
      <c r="F13" s="138"/>
      <c r="G13" s="6"/>
      <c r="H13" s="134">
        <f t="shared" si="2"/>
        <v>0</v>
      </c>
      <c r="I13" s="4">
        <f t="shared" si="1"/>
        <v>0</v>
      </c>
    </row>
    <row r="14" spans="1:9" x14ac:dyDescent="0.25">
      <c r="B14" s="782" t="s">
        <v>1056</v>
      </c>
      <c r="C14" s="782"/>
      <c r="D14" s="138">
        <v>3500</v>
      </c>
      <c r="E14" s="6"/>
      <c r="F14" s="138">
        <v>3500</v>
      </c>
      <c r="G14" s="6"/>
      <c r="H14" s="134">
        <f t="shared" si="2"/>
        <v>0</v>
      </c>
      <c r="I14" s="4">
        <f t="shared" si="1"/>
        <v>0</v>
      </c>
    </row>
    <row r="15" spans="1:9" x14ac:dyDescent="0.25">
      <c r="B15" s="782" t="s">
        <v>93</v>
      </c>
      <c r="C15" s="782"/>
      <c r="D15" s="138"/>
      <c r="E15" s="6"/>
      <c r="F15" s="138"/>
      <c r="G15" s="6"/>
      <c r="H15" s="134">
        <f t="shared" si="2"/>
        <v>0</v>
      </c>
      <c r="I15" s="4">
        <f t="shared" si="1"/>
        <v>0</v>
      </c>
    </row>
    <row r="16" spans="1:9" x14ac:dyDescent="0.25">
      <c r="B16" s="782" t="s">
        <v>94</v>
      </c>
      <c r="C16" s="782"/>
      <c r="D16" s="139"/>
      <c r="E16" s="6"/>
      <c r="F16" s="139"/>
      <c r="G16" s="6"/>
      <c r="H16" s="134">
        <f t="shared" si="2"/>
        <v>0</v>
      </c>
      <c r="I16" s="4">
        <f t="shared" si="1"/>
        <v>0</v>
      </c>
    </row>
    <row r="17" spans="1:9" x14ac:dyDescent="0.25">
      <c r="C17" t="s">
        <v>95</v>
      </c>
      <c r="D17" s="137">
        <f>SUM(D10:D16)</f>
        <v>18100</v>
      </c>
      <c r="E17" s="6"/>
      <c r="F17" s="137">
        <f>SUM(F10:F16)</f>
        <v>21749</v>
      </c>
      <c r="G17" s="6"/>
      <c r="H17" s="137">
        <f>D17-F17</f>
        <v>-3649</v>
      </c>
      <c r="I17" s="4">
        <f t="shared" si="1"/>
        <v>-0.16777782886569498</v>
      </c>
    </row>
    <row r="18" spans="1:9" x14ac:dyDescent="0.25">
      <c r="C18" t="s">
        <v>96</v>
      </c>
      <c r="D18" s="137">
        <f>D8+D17</f>
        <v>18100</v>
      </c>
      <c r="E18" s="6"/>
      <c r="F18" s="137">
        <f>+F17+F8</f>
        <v>21749</v>
      </c>
      <c r="G18" s="6"/>
      <c r="H18" s="137">
        <f>D18-F18</f>
        <v>-3649</v>
      </c>
      <c r="I18" s="4">
        <f t="shared" si="1"/>
        <v>-0.16777782886569498</v>
      </c>
    </row>
    <row r="19" spans="1:9" x14ac:dyDescent="0.25">
      <c r="A19" s="9" t="s">
        <v>97</v>
      </c>
      <c r="D19" s="6"/>
      <c r="E19" s="6"/>
      <c r="F19" s="6"/>
      <c r="G19" s="6"/>
      <c r="H19" s="6"/>
      <c r="I19" s="4"/>
    </row>
    <row r="20" spans="1:9" x14ac:dyDescent="0.25">
      <c r="B20" t="s">
        <v>98</v>
      </c>
      <c r="D20" s="134">
        <f>'F-4 Salary &amp; Benefit Schedule'!D29</f>
        <v>0</v>
      </c>
      <c r="E20" s="6"/>
      <c r="F20" s="138"/>
      <c r="G20" s="6"/>
      <c r="H20" s="134">
        <f>D20-F20</f>
        <v>0</v>
      </c>
      <c r="I20" s="4">
        <f t="shared" ref="I20:I22" si="3">IFERROR(IF((AND(F20=0,H20&gt;0)),100%,H20/F20),0)</f>
        <v>0</v>
      </c>
    </row>
    <row r="21" spans="1:9" x14ac:dyDescent="0.25">
      <c r="B21" t="s">
        <v>88</v>
      </c>
      <c r="D21" s="135">
        <f>'F-4 Salary &amp; Benefit Schedule'!I29</f>
        <v>0</v>
      </c>
      <c r="E21" s="6"/>
      <c r="F21" s="139"/>
      <c r="G21" s="6"/>
      <c r="H21" s="135">
        <f>D21-F21</f>
        <v>0</v>
      </c>
      <c r="I21" s="4">
        <f t="shared" si="3"/>
        <v>0</v>
      </c>
    </row>
    <row r="22" spans="1:9" x14ac:dyDescent="0.25">
      <c r="C22" t="s">
        <v>99</v>
      </c>
      <c r="D22" s="137">
        <f>SUM(D20:D21)</f>
        <v>0</v>
      </c>
      <c r="E22" s="6"/>
      <c r="F22" s="137">
        <f>SUM(F20:F21)</f>
        <v>0</v>
      </c>
      <c r="G22" s="6"/>
      <c r="H22" s="137">
        <f>D22-F22</f>
        <v>0</v>
      </c>
      <c r="I22" s="4">
        <f t="shared" si="3"/>
        <v>0</v>
      </c>
    </row>
    <row r="23" spans="1:9" x14ac:dyDescent="0.25">
      <c r="A23" s="521" t="s">
        <v>1002</v>
      </c>
      <c r="B23" s="522"/>
      <c r="C23" s="522"/>
      <c r="D23" s="523"/>
      <c r="E23" s="523"/>
      <c r="F23" s="523"/>
      <c r="G23" s="523"/>
      <c r="H23" s="523"/>
      <c r="I23" s="524"/>
    </row>
    <row r="24" spans="1:9" x14ac:dyDescent="0.25">
      <c r="A24" s="522"/>
      <c r="B24" s="522" t="s">
        <v>98</v>
      </c>
      <c r="C24" s="522"/>
      <c r="D24" s="525"/>
      <c r="E24" s="523"/>
      <c r="F24" s="525"/>
      <c r="G24" s="523"/>
      <c r="H24" s="526">
        <f>D24-F24</f>
        <v>0</v>
      </c>
      <c r="I24" s="524">
        <f t="shared" ref="I24:I26" si="4">IFERROR(IF((AND(F24=0,H24&gt;0)),100%,H24/F24),0)</f>
        <v>0</v>
      </c>
    </row>
    <row r="25" spans="1:9" x14ac:dyDescent="0.25">
      <c r="A25" s="522"/>
      <c r="B25" s="522" t="s">
        <v>88</v>
      </c>
      <c r="C25" s="522"/>
      <c r="D25" s="527"/>
      <c r="E25" s="523"/>
      <c r="F25" s="527"/>
      <c r="G25" s="523"/>
      <c r="H25" s="528">
        <f>D25-F25</f>
        <v>0</v>
      </c>
      <c r="I25" s="524">
        <f t="shared" si="4"/>
        <v>0</v>
      </c>
    </row>
    <row r="26" spans="1:9" x14ac:dyDescent="0.25">
      <c r="A26" s="522"/>
      <c r="B26" s="522"/>
      <c r="C26" s="522" t="s">
        <v>1003</v>
      </c>
      <c r="D26" s="529">
        <f>SUM(D24:D25)</f>
        <v>0</v>
      </c>
      <c r="E26" s="523"/>
      <c r="F26" s="529">
        <f>SUM(F24:F25)</f>
        <v>0</v>
      </c>
      <c r="G26" s="523"/>
      <c r="H26" s="529">
        <f>D26-F26</f>
        <v>0</v>
      </c>
      <c r="I26" s="524">
        <f t="shared" si="4"/>
        <v>0</v>
      </c>
    </row>
    <row r="27" spans="1:9" x14ac:dyDescent="0.25">
      <c r="A27" s="9" t="s">
        <v>100</v>
      </c>
      <c r="D27" s="6"/>
      <c r="E27" s="6"/>
      <c r="F27" s="6"/>
      <c r="G27" s="6"/>
      <c r="H27" s="6"/>
      <c r="I27" s="4"/>
    </row>
    <row r="28" spans="1:9" x14ac:dyDescent="0.25">
      <c r="B28" s="782" t="s">
        <v>1057</v>
      </c>
      <c r="C28" s="782"/>
      <c r="D28" s="138">
        <v>2800</v>
      </c>
      <c r="E28" s="6"/>
      <c r="F28" s="138">
        <v>2800</v>
      </c>
      <c r="G28" s="6"/>
      <c r="H28" s="134">
        <f>D28-F28</f>
        <v>0</v>
      </c>
      <c r="I28" s="4">
        <f t="shared" ref="I28:I36" si="5">IFERROR(IF((AND(F28=0,H28&gt;0)),100%,H28/F28),0)</f>
        <v>0</v>
      </c>
    </row>
    <row r="29" spans="1:9" x14ac:dyDescent="0.25">
      <c r="B29" s="782" t="s">
        <v>1058</v>
      </c>
      <c r="C29" s="782"/>
      <c r="D29" s="138">
        <v>6000</v>
      </c>
      <c r="E29" s="6"/>
      <c r="F29" s="138">
        <v>6000</v>
      </c>
      <c r="G29" s="6"/>
      <c r="H29" s="134">
        <f t="shared" ref="H29:H34" si="6">D29-F29</f>
        <v>0</v>
      </c>
      <c r="I29" s="4">
        <f t="shared" si="5"/>
        <v>0</v>
      </c>
    </row>
    <row r="30" spans="1:9" x14ac:dyDescent="0.25">
      <c r="B30" s="782" t="s">
        <v>1059</v>
      </c>
      <c r="C30" s="782"/>
      <c r="D30" s="138">
        <v>39000</v>
      </c>
      <c r="E30" s="6"/>
      <c r="F30" s="138">
        <v>43000</v>
      </c>
      <c r="G30" s="6"/>
      <c r="H30" s="134">
        <f t="shared" si="6"/>
        <v>-4000</v>
      </c>
      <c r="I30" s="4">
        <f t="shared" si="5"/>
        <v>-9.3023255813953487E-2</v>
      </c>
    </row>
    <row r="31" spans="1:9" x14ac:dyDescent="0.25">
      <c r="B31" s="540" t="s">
        <v>91</v>
      </c>
      <c r="C31" s="540"/>
      <c r="D31" s="138"/>
      <c r="E31" s="6"/>
      <c r="F31" s="138"/>
      <c r="G31" s="6"/>
      <c r="H31" s="134">
        <f t="shared" si="6"/>
        <v>0</v>
      </c>
      <c r="I31" s="4">
        <f t="shared" si="5"/>
        <v>0</v>
      </c>
    </row>
    <row r="32" spans="1:9" x14ac:dyDescent="0.25">
      <c r="B32" s="782" t="s">
        <v>1060</v>
      </c>
      <c r="C32" s="782"/>
      <c r="D32" s="138">
        <v>39000</v>
      </c>
      <c r="E32" s="6"/>
      <c r="F32" s="138">
        <v>35000</v>
      </c>
      <c r="G32" s="6"/>
      <c r="H32" s="134">
        <f t="shared" si="6"/>
        <v>4000</v>
      </c>
      <c r="I32" s="4">
        <f t="shared" si="5"/>
        <v>0.11428571428571428</v>
      </c>
    </row>
    <row r="33" spans="1:9" x14ac:dyDescent="0.25">
      <c r="B33" s="782" t="s">
        <v>1061</v>
      </c>
      <c r="C33" s="782"/>
      <c r="D33" s="138">
        <v>10000</v>
      </c>
      <c r="E33" s="6"/>
      <c r="F33" s="138">
        <v>10000</v>
      </c>
      <c r="G33" s="6"/>
      <c r="H33" s="134">
        <f t="shared" si="6"/>
        <v>0</v>
      </c>
      <c r="I33" s="4">
        <f t="shared" si="5"/>
        <v>0</v>
      </c>
    </row>
    <row r="34" spans="1:9" x14ac:dyDescent="0.25">
      <c r="B34" s="782" t="s">
        <v>1062</v>
      </c>
      <c r="C34" s="782"/>
      <c r="D34" s="139">
        <v>11350.23</v>
      </c>
      <c r="E34" s="6"/>
      <c r="F34" s="139">
        <v>10000</v>
      </c>
      <c r="G34" s="6"/>
      <c r="H34" s="134">
        <f t="shared" si="6"/>
        <v>1350.2299999999996</v>
      </c>
      <c r="I34" s="4">
        <f t="shared" si="5"/>
        <v>0.13502299999999995</v>
      </c>
    </row>
    <row r="35" spans="1:9" x14ac:dyDescent="0.25">
      <c r="C35" t="s">
        <v>101</v>
      </c>
      <c r="D35" s="137">
        <f>SUM(D28:D34)</f>
        <v>108150.23</v>
      </c>
      <c r="E35" s="6"/>
      <c r="F35" s="137">
        <f>SUM(F28:F34)</f>
        <v>106800</v>
      </c>
      <c r="G35" s="6"/>
      <c r="H35" s="137">
        <f>D35-F35</f>
        <v>1350.2299999999959</v>
      </c>
      <c r="I35" s="4">
        <f t="shared" si="5"/>
        <v>1.2642602996254644E-2</v>
      </c>
    </row>
    <row r="36" spans="1:9" x14ac:dyDescent="0.25">
      <c r="C36" t="s">
        <v>102</v>
      </c>
      <c r="D36" s="137">
        <f>D35+D22+D26</f>
        <v>108150.23</v>
      </c>
      <c r="E36" s="6"/>
      <c r="F36" s="137">
        <f>F35+F22+F26</f>
        <v>106800</v>
      </c>
      <c r="G36" s="6"/>
      <c r="H36" s="137">
        <f>D36-F36</f>
        <v>1350.2299999999959</v>
      </c>
      <c r="I36" s="4">
        <f t="shared" si="5"/>
        <v>1.2642602996254644E-2</v>
      </c>
    </row>
    <row r="37" spans="1:9" x14ac:dyDescent="0.25">
      <c r="A37" s="9" t="s">
        <v>103</v>
      </c>
      <c r="D37" s="6"/>
      <c r="E37" s="6"/>
      <c r="F37" s="6"/>
      <c r="G37" s="6"/>
      <c r="H37" s="6"/>
      <c r="I37" s="4"/>
    </row>
    <row r="38" spans="1:9" x14ac:dyDescent="0.25">
      <c r="B38" t="s">
        <v>98</v>
      </c>
      <c r="D38" s="134">
        <f>'F-4 Salary &amp; Benefit Schedule'!D40</f>
        <v>0</v>
      </c>
      <c r="E38" s="6"/>
      <c r="F38" s="138"/>
      <c r="G38" s="6"/>
      <c r="H38" s="134">
        <f>D38-F38</f>
        <v>0</v>
      </c>
      <c r="I38" s="4">
        <f t="shared" ref="I38:I40" si="7">IFERROR(IF((AND(F38=0,H38&gt;0)),100%,H38/F38),0)</f>
        <v>0</v>
      </c>
    </row>
    <row r="39" spans="1:9" x14ac:dyDescent="0.25">
      <c r="B39" t="s">
        <v>88</v>
      </c>
      <c r="D39" s="135">
        <f>'F-4 Salary &amp; Benefit Schedule'!I40</f>
        <v>0</v>
      </c>
      <c r="E39" s="6"/>
      <c r="F39" s="139"/>
      <c r="G39" s="6"/>
      <c r="H39" s="135">
        <f>D39-F39</f>
        <v>0</v>
      </c>
      <c r="I39" s="4">
        <f t="shared" si="7"/>
        <v>0</v>
      </c>
    </row>
    <row r="40" spans="1:9" x14ac:dyDescent="0.25">
      <c r="C40" t="s">
        <v>104</v>
      </c>
      <c r="D40" s="137">
        <f>SUM(D38:D39)</f>
        <v>0</v>
      </c>
      <c r="E40" s="6"/>
      <c r="F40" s="137">
        <f>SUM(F38:F39)</f>
        <v>0</v>
      </c>
      <c r="G40" s="6"/>
      <c r="H40" s="137">
        <f>D40-F40</f>
        <v>0</v>
      </c>
      <c r="I40" s="4">
        <f t="shared" si="7"/>
        <v>0</v>
      </c>
    </row>
    <row r="41" spans="1:9" x14ac:dyDescent="0.25">
      <c r="A41" s="9" t="s">
        <v>105</v>
      </c>
      <c r="D41" s="6"/>
      <c r="E41" s="6"/>
      <c r="F41" s="6"/>
      <c r="G41" s="6"/>
      <c r="H41" s="6"/>
      <c r="I41" s="4"/>
    </row>
    <row r="42" spans="1:9" x14ac:dyDescent="0.25">
      <c r="B42" s="782" t="s">
        <v>702</v>
      </c>
      <c r="C42" s="782"/>
      <c r="D42" s="138"/>
      <c r="E42" s="6"/>
      <c r="F42" s="138"/>
      <c r="G42" s="6"/>
      <c r="H42" s="134">
        <f>D42-F42</f>
        <v>0</v>
      </c>
      <c r="I42" s="4">
        <f t="shared" ref="I42:I50" si="8">IFERROR(IF((AND(F42=0,H42&gt;0)),100%,H42/F42),0)</f>
        <v>0</v>
      </c>
    </row>
    <row r="43" spans="1:9" x14ac:dyDescent="0.25">
      <c r="B43" s="782" t="s">
        <v>703</v>
      </c>
      <c r="C43" s="782"/>
      <c r="D43" s="138"/>
      <c r="E43" s="6"/>
      <c r="F43" s="138"/>
      <c r="G43" s="6"/>
      <c r="H43" s="134">
        <f t="shared" ref="H43:H48" si="9">D43-F43</f>
        <v>0</v>
      </c>
      <c r="I43" s="4">
        <f t="shared" si="8"/>
        <v>0</v>
      </c>
    </row>
    <row r="44" spans="1:9" x14ac:dyDescent="0.25">
      <c r="B44" s="782" t="s">
        <v>704</v>
      </c>
      <c r="C44" s="782"/>
      <c r="D44" s="138"/>
      <c r="E44" s="6"/>
      <c r="F44" s="138"/>
      <c r="G44" s="6"/>
      <c r="H44" s="134">
        <f t="shared" si="9"/>
        <v>0</v>
      </c>
      <c r="I44" s="4">
        <f t="shared" si="8"/>
        <v>0</v>
      </c>
    </row>
    <row r="45" spans="1:9" x14ac:dyDescent="0.25">
      <c r="B45" s="540" t="s">
        <v>91</v>
      </c>
      <c r="C45" s="540"/>
      <c r="D45" s="138"/>
      <c r="E45" s="6"/>
      <c r="F45" s="138"/>
      <c r="G45" s="6"/>
      <c r="H45" s="134">
        <f t="shared" si="9"/>
        <v>0</v>
      </c>
      <c r="I45" s="4">
        <f t="shared" si="8"/>
        <v>0</v>
      </c>
    </row>
    <row r="46" spans="1:9" x14ac:dyDescent="0.25">
      <c r="B46" s="782" t="s">
        <v>92</v>
      </c>
      <c r="C46" s="782"/>
      <c r="D46" s="138"/>
      <c r="E46" s="6"/>
      <c r="F46" s="138"/>
      <c r="G46" s="6"/>
      <c r="H46" s="134">
        <f t="shared" si="9"/>
        <v>0</v>
      </c>
      <c r="I46" s="4">
        <f t="shared" si="8"/>
        <v>0</v>
      </c>
    </row>
    <row r="47" spans="1:9" x14ac:dyDescent="0.25">
      <c r="B47" s="782" t="s">
        <v>93</v>
      </c>
      <c r="C47" s="782"/>
      <c r="D47" s="138"/>
      <c r="E47" s="6"/>
      <c r="F47" s="138"/>
      <c r="G47" s="6"/>
      <c r="H47" s="134">
        <f t="shared" si="9"/>
        <v>0</v>
      </c>
      <c r="I47" s="4">
        <f t="shared" si="8"/>
        <v>0</v>
      </c>
    </row>
    <row r="48" spans="1:9" x14ac:dyDescent="0.25">
      <c r="B48" s="782" t="s">
        <v>94</v>
      </c>
      <c r="C48" s="782"/>
      <c r="D48" s="139"/>
      <c r="E48" s="6"/>
      <c r="F48" s="139"/>
      <c r="G48" s="6"/>
      <c r="H48" s="134">
        <f t="shared" si="9"/>
        <v>0</v>
      </c>
      <c r="I48" s="4">
        <f t="shared" si="8"/>
        <v>0</v>
      </c>
    </row>
    <row r="49" spans="1:9" x14ac:dyDescent="0.25">
      <c r="C49" t="s">
        <v>106</v>
      </c>
      <c r="D49" s="137">
        <f>SUM(D42:D48)</f>
        <v>0</v>
      </c>
      <c r="E49" s="6"/>
      <c r="F49" s="137">
        <f>SUM(F42:F48)</f>
        <v>0</v>
      </c>
      <c r="G49" s="6"/>
      <c r="H49" s="137">
        <f>D49-F49</f>
        <v>0</v>
      </c>
      <c r="I49" s="4">
        <f t="shared" si="8"/>
        <v>0</v>
      </c>
    </row>
    <row r="50" spans="1:9" x14ac:dyDescent="0.25">
      <c r="C50" t="s">
        <v>107</v>
      </c>
      <c r="D50" s="137">
        <f>D49+D40</f>
        <v>0</v>
      </c>
      <c r="E50" s="6"/>
      <c r="F50" s="137">
        <f>F49+F40</f>
        <v>0</v>
      </c>
      <c r="G50" s="6"/>
      <c r="H50" s="137">
        <f>D50-F50</f>
        <v>0</v>
      </c>
      <c r="I50" s="4">
        <f t="shared" si="8"/>
        <v>0</v>
      </c>
    </row>
    <row r="51" spans="1:9" x14ac:dyDescent="0.25">
      <c r="A51" s="9" t="s">
        <v>108</v>
      </c>
      <c r="D51" s="6"/>
      <c r="E51" s="6"/>
      <c r="F51" s="6"/>
      <c r="G51" s="6"/>
      <c r="H51" s="6"/>
      <c r="I51" s="4"/>
    </row>
    <row r="52" spans="1:9" x14ac:dyDescent="0.25">
      <c r="B52" s="540" t="s">
        <v>109</v>
      </c>
      <c r="C52" s="540"/>
      <c r="D52" s="138"/>
      <c r="E52" s="6"/>
      <c r="F52" s="138"/>
      <c r="G52" s="6"/>
      <c r="H52" s="134">
        <f>D52-F52</f>
        <v>0</v>
      </c>
      <c r="I52" s="4">
        <f t="shared" ref="I52:I55" si="10">IFERROR(IF((AND(F52=0,H52&gt;0)),100%,H52/F52),0)</f>
        <v>0</v>
      </c>
    </row>
    <row r="53" spans="1:9" x14ac:dyDescent="0.25">
      <c r="B53" s="540" t="s">
        <v>110</v>
      </c>
      <c r="C53" s="540"/>
      <c r="D53" s="138"/>
      <c r="E53" s="6"/>
      <c r="F53" s="138"/>
      <c r="G53" s="6"/>
      <c r="H53" s="134">
        <f t="shared" ref="H53:H54" si="11">D53-F53</f>
        <v>0</v>
      </c>
      <c r="I53" s="4">
        <f>IFERROR(IF((AND(F53=0,H53&gt;0)),100%,H53/F53),0)</f>
        <v>0</v>
      </c>
    </row>
    <row r="54" spans="1:9" x14ac:dyDescent="0.25">
      <c r="B54" s="540" t="s">
        <v>111</v>
      </c>
      <c r="C54" s="540"/>
      <c r="D54" s="139">
        <v>25000</v>
      </c>
      <c r="E54" s="6"/>
      <c r="F54" s="139">
        <v>24000</v>
      </c>
      <c r="G54" s="6"/>
      <c r="H54" s="135">
        <f t="shared" si="11"/>
        <v>1000</v>
      </c>
      <c r="I54" s="4">
        <f t="shared" si="10"/>
        <v>4.1666666666666664E-2</v>
      </c>
    </row>
    <row r="55" spans="1:9" x14ac:dyDescent="0.25">
      <c r="C55" t="s">
        <v>112</v>
      </c>
      <c r="D55" s="137">
        <f>SUM(D52:D54)</f>
        <v>25000</v>
      </c>
      <c r="E55" s="6"/>
      <c r="F55" s="137">
        <f>SUM(F52:F54)</f>
        <v>24000</v>
      </c>
      <c r="G55" s="6"/>
      <c r="H55" s="137">
        <f>D55-F55</f>
        <v>1000</v>
      </c>
      <c r="I55" s="4">
        <f t="shared" si="10"/>
        <v>4.1666666666666664E-2</v>
      </c>
    </row>
    <row r="56" spans="1:9" x14ac:dyDescent="0.25">
      <c r="A56" s="9" t="s">
        <v>113</v>
      </c>
      <c r="D56" s="6"/>
      <c r="E56" s="6"/>
      <c r="F56" s="6"/>
      <c r="G56" s="6"/>
      <c r="H56" s="6"/>
      <c r="I56" s="4"/>
    </row>
    <row r="57" spans="1:9" x14ac:dyDescent="0.25">
      <c r="B57" s="782" t="s">
        <v>114</v>
      </c>
      <c r="C57" s="782"/>
      <c r="D57" s="138"/>
      <c r="E57" s="6"/>
      <c r="F57" s="138"/>
      <c r="G57" s="6"/>
      <c r="H57" s="134">
        <f>D57-F57</f>
        <v>0</v>
      </c>
      <c r="I57" s="4">
        <f t="shared" ref="I57:I69" si="12">IFERROR(IF((AND(F57=0,H57&gt;0)),100%,H57/F57),0)</f>
        <v>0</v>
      </c>
    </row>
    <row r="58" spans="1:9" x14ac:dyDescent="0.25">
      <c r="B58" s="782" t="s">
        <v>115</v>
      </c>
      <c r="C58" s="782"/>
      <c r="D58" s="138"/>
      <c r="E58" s="6"/>
      <c r="F58" s="138"/>
      <c r="G58" s="6"/>
      <c r="H58" s="134">
        <f t="shared" ref="H58:H69" si="13">D58-F58</f>
        <v>0</v>
      </c>
      <c r="I58" s="4">
        <f t="shared" si="12"/>
        <v>0</v>
      </c>
    </row>
    <row r="59" spans="1:9" x14ac:dyDescent="0.25">
      <c r="B59" s="782" t="s">
        <v>116</v>
      </c>
      <c r="C59" s="782"/>
      <c r="D59" s="138"/>
      <c r="E59" s="6"/>
      <c r="F59" s="138"/>
      <c r="G59" s="6"/>
      <c r="H59" s="134">
        <f t="shared" si="13"/>
        <v>0</v>
      </c>
      <c r="I59" s="4">
        <f t="shared" si="12"/>
        <v>0</v>
      </c>
    </row>
    <row r="60" spans="1:9" x14ac:dyDescent="0.25">
      <c r="B60" s="782" t="s">
        <v>117</v>
      </c>
      <c r="C60" s="782"/>
      <c r="D60" s="138"/>
      <c r="E60" s="6"/>
      <c r="F60" s="138"/>
      <c r="G60" s="6"/>
      <c r="H60" s="134">
        <f t="shared" si="13"/>
        <v>0</v>
      </c>
      <c r="I60" s="4">
        <f t="shared" si="12"/>
        <v>0</v>
      </c>
    </row>
    <row r="61" spans="1:9" x14ac:dyDescent="0.25">
      <c r="B61" s="782" t="s">
        <v>118</v>
      </c>
      <c r="C61" s="782"/>
      <c r="D61" s="138"/>
      <c r="E61" s="6"/>
      <c r="F61" s="138"/>
      <c r="G61" s="6"/>
      <c r="H61" s="134">
        <f t="shared" si="13"/>
        <v>0</v>
      </c>
      <c r="I61" s="4">
        <f t="shared" si="12"/>
        <v>0</v>
      </c>
    </row>
    <row r="62" spans="1:9" x14ac:dyDescent="0.25">
      <c r="B62" s="540" t="s">
        <v>119</v>
      </c>
      <c r="C62" s="540"/>
      <c r="D62" s="139"/>
      <c r="E62" s="6"/>
      <c r="F62" s="139"/>
      <c r="G62" s="6"/>
      <c r="H62" s="135">
        <f t="shared" si="13"/>
        <v>0</v>
      </c>
      <c r="I62" s="4">
        <f t="shared" si="12"/>
        <v>0</v>
      </c>
    </row>
    <row r="63" spans="1:9" x14ac:dyDescent="0.25">
      <c r="C63" t="s">
        <v>31</v>
      </c>
      <c r="D63" s="137">
        <f>SUM(D57:D62)</f>
        <v>0</v>
      </c>
      <c r="E63" s="6"/>
      <c r="F63" s="137">
        <f>SUM(F57:F62)</f>
        <v>0</v>
      </c>
      <c r="G63" s="6"/>
      <c r="H63" s="137">
        <f t="shared" si="13"/>
        <v>0</v>
      </c>
      <c r="I63" s="4">
        <f t="shared" si="12"/>
        <v>0</v>
      </c>
    </row>
    <row r="64" spans="1:9" x14ac:dyDescent="0.25">
      <c r="A64" s="540" t="s">
        <v>120</v>
      </c>
      <c r="B64" s="540"/>
      <c r="C64" s="540"/>
      <c r="D64" s="138"/>
      <c r="E64" s="6"/>
      <c r="F64" s="138"/>
      <c r="G64" s="6"/>
      <c r="H64" s="134">
        <f t="shared" si="13"/>
        <v>0</v>
      </c>
      <c r="I64" s="4">
        <f t="shared" si="12"/>
        <v>0</v>
      </c>
    </row>
    <row r="65" spans="1:13" x14ac:dyDescent="0.25">
      <c r="A65" s="767" t="s">
        <v>121</v>
      </c>
      <c r="B65" s="767"/>
      <c r="C65" s="767"/>
      <c r="D65" s="138"/>
      <c r="E65" s="6"/>
      <c r="F65" s="138"/>
      <c r="G65" s="6"/>
      <c r="H65" s="134">
        <f t="shared" si="13"/>
        <v>0</v>
      </c>
      <c r="I65" s="4">
        <f>IFERROR(IF((AND(F65=0,H65&gt;0)),100%,H65/F65),0)</f>
        <v>0</v>
      </c>
    </row>
    <row r="66" spans="1:13" x14ac:dyDescent="0.25">
      <c r="A66" s="767" t="s">
        <v>34</v>
      </c>
      <c r="B66" s="767"/>
      <c r="C66" s="767"/>
      <c r="D66" s="134">
        <f>'F-5 Capital Budget Proposed'!G27</f>
        <v>979.52</v>
      </c>
      <c r="E66" s="6"/>
      <c r="F66" s="134">
        <f>'F-5 Capital Budget Proposed'!H27</f>
        <v>120000</v>
      </c>
      <c r="G66" s="6"/>
      <c r="H66" s="134">
        <f t="shared" si="13"/>
        <v>-119020.48</v>
      </c>
      <c r="I66" s="4">
        <f t="shared" si="12"/>
        <v>-0.99183733333333335</v>
      </c>
    </row>
    <row r="67" spans="1:13" x14ac:dyDescent="0.25">
      <c r="A67" s="767" t="s">
        <v>122</v>
      </c>
      <c r="B67" s="767"/>
      <c r="C67" s="767"/>
      <c r="D67" s="134">
        <f>'F-6 Debt Service - Principal'!I35</f>
        <v>20101.25</v>
      </c>
      <c r="E67" s="6"/>
      <c r="F67" s="134">
        <f>'F-6 Debt Service - Principal'!G35</f>
        <v>0</v>
      </c>
      <c r="G67" s="6"/>
      <c r="H67" s="134">
        <f t="shared" si="13"/>
        <v>20101.25</v>
      </c>
      <c r="I67" s="4">
        <f t="shared" si="12"/>
        <v>1</v>
      </c>
    </row>
    <row r="68" spans="1:13" x14ac:dyDescent="0.25">
      <c r="A68" t="s">
        <v>36</v>
      </c>
      <c r="D68" s="135">
        <f>'F-7 Debt Service - Interest'!F35</f>
        <v>14084.23</v>
      </c>
      <c r="E68" s="6"/>
      <c r="F68" s="135">
        <f>'F-7 Debt Service - Interest'!D35</f>
        <v>0</v>
      </c>
      <c r="G68" s="6"/>
      <c r="H68" s="135">
        <f t="shared" si="13"/>
        <v>14084.23</v>
      </c>
      <c r="I68" s="4">
        <f t="shared" si="12"/>
        <v>1</v>
      </c>
    </row>
    <row r="69" spans="1:13" ht="15.75" thickBot="1" x14ac:dyDescent="0.3">
      <c r="A69" s="3" t="s">
        <v>123</v>
      </c>
      <c r="D69" s="140">
        <f>D18+D36+D50+D55+D63+D64+D65+D66+D67+D68</f>
        <v>186415.22999999998</v>
      </c>
      <c r="E69" s="6"/>
      <c r="F69" s="140">
        <f t="shared" ref="F69" si="14">F18+F36+F50+F55+F63+F64+F65+F66+F67+F68</f>
        <v>272549</v>
      </c>
      <c r="G69" s="6"/>
      <c r="H69" s="140">
        <f t="shared" si="13"/>
        <v>-86133.770000000019</v>
      </c>
      <c r="I69" s="4">
        <f t="shared" si="12"/>
        <v>-0.31603040187269082</v>
      </c>
    </row>
    <row r="70" spans="1:13" ht="15.75" thickTop="1" x14ac:dyDescent="0.25">
      <c r="A70" s="763" t="s">
        <v>889</v>
      </c>
      <c r="B70" s="763"/>
      <c r="C70" s="763"/>
      <c r="D70" s="763"/>
      <c r="E70" s="763"/>
      <c r="F70" s="763"/>
      <c r="G70" s="763"/>
      <c r="H70" s="763"/>
      <c r="I70" s="763"/>
    </row>
    <row r="71" spans="1:13" x14ac:dyDescent="0.25">
      <c r="G71" s="6"/>
      <c r="H71" s="6"/>
      <c r="M71" s="134"/>
    </row>
    <row r="72" spans="1:13" x14ac:dyDescent="0.25">
      <c r="G72" s="6"/>
    </row>
    <row r="73" spans="1:13" x14ac:dyDescent="0.25">
      <c r="G73" s="6"/>
      <c r="H73" s="6"/>
    </row>
    <row r="74" spans="1:13" x14ac:dyDescent="0.25">
      <c r="G74" s="6"/>
      <c r="H74" s="6"/>
    </row>
    <row r="75" spans="1:13" x14ac:dyDescent="0.25">
      <c r="G75" s="6"/>
      <c r="H75" s="6"/>
    </row>
    <row r="76" spans="1:13" x14ac:dyDescent="0.25">
      <c r="G76" s="6"/>
      <c r="H76" s="6"/>
    </row>
    <row r="77" spans="1:13" x14ac:dyDescent="0.25">
      <c r="G77" s="6"/>
      <c r="H77" s="6"/>
    </row>
    <row r="78" spans="1:13" x14ac:dyDescent="0.25">
      <c r="G78" s="6"/>
      <c r="H78" s="6"/>
    </row>
    <row r="79" spans="1:13" x14ac:dyDescent="0.25">
      <c r="G79" s="5"/>
      <c r="H79" s="5"/>
    </row>
  </sheetData>
  <sheetProtection algorithmName="SHA-512" hashValue="K3/jRcsyAGkIliRJSBtaG1ZvYkKZEq/VcGL1VKnRqjC0ySzUH6jPBGjWnC+/g7xt7AJEFgRvKZd7+BwJVXWBbw==" saltValue="qOKLrIo9WzaZqbo2Wlkdug==" spinCount="100000" sheet="1" objects="1" scenarios="1"/>
  <mergeCells count="38">
    <mergeCell ref="B12:C12"/>
    <mergeCell ref="A1:I1"/>
    <mergeCell ref="A2:I2"/>
    <mergeCell ref="B6:C6"/>
    <mergeCell ref="B10:C10"/>
    <mergeCell ref="B11:C11"/>
    <mergeCell ref="B42:C42"/>
    <mergeCell ref="B13:C13"/>
    <mergeCell ref="B14:C14"/>
    <mergeCell ref="B15:C15"/>
    <mergeCell ref="B16:C16"/>
    <mergeCell ref="B28:C28"/>
    <mergeCell ref="B29:C29"/>
    <mergeCell ref="B30:C30"/>
    <mergeCell ref="B31:C31"/>
    <mergeCell ref="B32:C32"/>
    <mergeCell ref="B33:C33"/>
    <mergeCell ref="B34:C34"/>
    <mergeCell ref="B59:C59"/>
    <mergeCell ref="B43:C43"/>
    <mergeCell ref="B44:C44"/>
    <mergeCell ref="B45:C45"/>
    <mergeCell ref="B46:C46"/>
    <mergeCell ref="B47:C47"/>
    <mergeCell ref="B48:C48"/>
    <mergeCell ref="B52:C52"/>
    <mergeCell ref="B53:C53"/>
    <mergeCell ref="B54:C54"/>
    <mergeCell ref="B57:C57"/>
    <mergeCell ref="B58:C58"/>
    <mergeCell ref="A70:I70"/>
    <mergeCell ref="A67:C67"/>
    <mergeCell ref="B60:C60"/>
    <mergeCell ref="B61:C61"/>
    <mergeCell ref="B62:C62"/>
    <mergeCell ref="A64:C64"/>
    <mergeCell ref="A65:C65"/>
    <mergeCell ref="A66:C66"/>
  </mergeCells>
  <phoneticPr fontId="58" type="noConversion"/>
  <printOptions horizontalCentered="1"/>
  <pageMargins left="0.25" right="0.25" top="0.25" bottom="0.25" header="0.3" footer="0.3"/>
  <pageSetup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63C72-3895-4801-B600-BFB7ABA53536}">
  <sheetPr codeName="Sheet52">
    <tabColor rgb="FF92D050"/>
  </sheetPr>
  <dimension ref="A1:E48"/>
  <sheetViews>
    <sheetView view="pageLayout" zoomScaleNormal="100" workbookViewId="0">
      <selection activeCell="D16" sqref="D16"/>
    </sheetView>
  </sheetViews>
  <sheetFormatPr defaultColWidth="9.140625" defaultRowHeight="12.75" x14ac:dyDescent="0.25"/>
  <cols>
    <col min="1" max="1" width="26.5703125" style="71" customWidth="1"/>
    <col min="2" max="2" width="20.140625" style="71" customWidth="1"/>
    <col min="3" max="3" width="20.28515625" style="71" customWidth="1"/>
    <col min="4" max="4" width="17" style="71" customWidth="1"/>
    <col min="5" max="5" width="14.42578125" style="71" customWidth="1"/>
    <col min="6" max="16384" width="9.140625" style="71"/>
  </cols>
  <sheetData>
    <row r="1" spans="1:5" ht="24.95" customHeight="1" x14ac:dyDescent="0.25">
      <c r="A1" s="784" t="s">
        <v>782</v>
      </c>
      <c r="B1" s="784"/>
      <c r="C1" s="784"/>
      <c r="D1" s="784"/>
      <c r="E1" s="784"/>
    </row>
    <row r="2" spans="1:5" ht="23.25" x14ac:dyDescent="0.25">
      <c r="A2" s="784" t="s">
        <v>720</v>
      </c>
      <c r="B2" s="784"/>
      <c r="C2" s="784"/>
      <c r="D2" s="784"/>
      <c r="E2" s="784"/>
    </row>
    <row r="3" spans="1:5" ht="9" customHeight="1" x14ac:dyDescent="0.25">
      <c r="A3" s="785"/>
      <c r="B3" s="785"/>
      <c r="C3" s="785"/>
      <c r="D3" s="280"/>
      <c r="E3" s="280"/>
    </row>
    <row r="4" spans="1:5" ht="20.100000000000001" customHeight="1" x14ac:dyDescent="0.25">
      <c r="A4" s="786" t="str">
        <f>'KEY INPUTS'!B2</f>
        <v>Weymouth Township FD No. 1</v>
      </c>
      <c r="B4" s="786"/>
      <c r="C4" s="786"/>
      <c r="D4" s="786"/>
      <c r="E4" s="786"/>
    </row>
    <row r="5" spans="1:5" ht="9" customHeight="1" x14ac:dyDescent="0.25">
      <c r="A5" s="281"/>
      <c r="B5" s="281"/>
      <c r="C5" s="281"/>
      <c r="D5" s="280"/>
      <c r="E5" s="280"/>
    </row>
    <row r="6" spans="1:5" ht="15.75" customHeight="1" x14ac:dyDescent="0.25">
      <c r="A6" s="787" t="str">
        <f>"FISCAL YEAR: January 1, "&amp;'KEY INPUTS'!B1&amp;" to December 31, "&amp;'KEY INPUTS'!B1&amp;""</f>
        <v>FISCAL YEAR: January 1, 2025 to December 31, 2025</v>
      </c>
      <c r="B6" s="787"/>
      <c r="C6" s="787"/>
      <c r="D6" s="787"/>
      <c r="E6" s="787"/>
    </row>
    <row r="7" spans="1:5" ht="9" customHeight="1" x14ac:dyDescent="0.25">
      <c r="A7" s="282"/>
      <c r="B7" s="282"/>
      <c r="C7" s="282"/>
      <c r="D7" s="280"/>
      <c r="E7" s="280"/>
    </row>
    <row r="8" spans="1:5" ht="15.75" customHeight="1" x14ac:dyDescent="0.25">
      <c r="A8" s="790" t="s">
        <v>723</v>
      </c>
      <c r="B8" s="790"/>
      <c r="C8" s="790"/>
      <c r="D8" s="790"/>
      <c r="E8" s="790"/>
    </row>
    <row r="9" spans="1:5" ht="9" customHeight="1" thickBot="1" x14ac:dyDescent="0.3">
      <c r="A9" s="283"/>
      <c r="B9" s="280"/>
      <c r="C9" s="280"/>
      <c r="D9" s="280"/>
      <c r="E9" s="280"/>
    </row>
    <row r="10" spans="1:5" ht="39" thickBot="1" x14ac:dyDescent="0.3">
      <c r="A10" s="323" t="s">
        <v>759</v>
      </c>
      <c r="B10" s="324" t="str">
        <f>"Proposed "&amp;'KEY INPUTS'!B1&amp;" Amount"</f>
        <v>Proposed 2025 Amount</v>
      </c>
      <c r="C10" s="324" t="str">
        <f>"Adopted "&amp;'KEY INPUTS'!B1-1&amp;" Amount"</f>
        <v>Adopted 2024 Amount</v>
      </c>
      <c r="D10" s="325" t="s">
        <v>760</v>
      </c>
      <c r="E10" s="326" t="s">
        <v>761</v>
      </c>
    </row>
    <row r="11" spans="1:5" ht="14.1" customHeight="1" x14ac:dyDescent="0.25">
      <c r="A11" s="284"/>
      <c r="B11" s="293"/>
      <c r="C11" s="293"/>
      <c r="D11" s="287">
        <f>B11-C11</f>
        <v>0</v>
      </c>
      <c r="E11" s="288">
        <f>IFERROR(IF((AND(C11=0,D11&gt;0)),100%,D11/C11),0)</f>
        <v>0</v>
      </c>
    </row>
    <row r="12" spans="1:5" ht="14.1" customHeight="1" x14ac:dyDescent="0.25">
      <c r="A12" s="285"/>
      <c r="B12" s="294"/>
      <c r="C12" s="294"/>
      <c r="D12" s="289">
        <f t="shared" ref="D12:D46" si="0">B12-C12</f>
        <v>0</v>
      </c>
      <c r="E12" s="290">
        <f t="shared" ref="E12:E46" si="1">IFERROR(IF((AND(C12=0,D12&gt;0)),100%,D12/C12),0)</f>
        <v>0</v>
      </c>
    </row>
    <row r="13" spans="1:5" ht="14.1" customHeight="1" x14ac:dyDescent="0.25">
      <c r="A13" s="308"/>
      <c r="B13" s="294"/>
      <c r="C13" s="294"/>
      <c r="D13" s="289">
        <f t="shared" si="0"/>
        <v>0</v>
      </c>
      <c r="E13" s="290">
        <f t="shared" si="1"/>
        <v>0</v>
      </c>
    </row>
    <row r="14" spans="1:5" x14ac:dyDescent="0.25">
      <c r="A14" s="285"/>
      <c r="B14" s="294"/>
      <c r="C14" s="294"/>
      <c r="D14" s="289">
        <f t="shared" si="0"/>
        <v>0</v>
      </c>
      <c r="E14" s="290">
        <f t="shared" si="1"/>
        <v>0</v>
      </c>
    </row>
    <row r="15" spans="1:5" x14ac:dyDescent="0.25">
      <c r="A15" s="285"/>
      <c r="B15" s="294"/>
      <c r="C15" s="294"/>
      <c r="D15" s="289">
        <f t="shared" si="0"/>
        <v>0</v>
      </c>
      <c r="E15" s="290">
        <f t="shared" si="1"/>
        <v>0</v>
      </c>
    </row>
    <row r="16" spans="1:5" x14ac:dyDescent="0.25">
      <c r="A16" s="285"/>
      <c r="B16" s="294"/>
      <c r="C16" s="294"/>
      <c r="D16" s="289">
        <f t="shared" si="0"/>
        <v>0</v>
      </c>
      <c r="E16" s="290">
        <f t="shared" si="1"/>
        <v>0</v>
      </c>
    </row>
    <row r="17" spans="1:5" x14ac:dyDescent="0.25">
      <c r="A17" s="285"/>
      <c r="B17" s="294"/>
      <c r="C17" s="294"/>
      <c r="D17" s="289">
        <f t="shared" si="0"/>
        <v>0</v>
      </c>
      <c r="E17" s="290">
        <f t="shared" si="1"/>
        <v>0</v>
      </c>
    </row>
    <row r="18" spans="1:5" x14ac:dyDescent="0.25">
      <c r="A18" s="285"/>
      <c r="B18" s="294"/>
      <c r="C18" s="294"/>
      <c r="D18" s="289">
        <f t="shared" si="0"/>
        <v>0</v>
      </c>
      <c r="E18" s="290">
        <f t="shared" si="1"/>
        <v>0</v>
      </c>
    </row>
    <row r="19" spans="1:5" x14ac:dyDescent="0.25">
      <c r="A19" s="285"/>
      <c r="B19" s="294"/>
      <c r="C19" s="294"/>
      <c r="D19" s="289">
        <f t="shared" si="0"/>
        <v>0</v>
      </c>
      <c r="E19" s="290">
        <f t="shared" si="1"/>
        <v>0</v>
      </c>
    </row>
    <row r="20" spans="1:5" x14ac:dyDescent="0.25">
      <c r="A20" s="285"/>
      <c r="B20" s="294"/>
      <c r="C20" s="294"/>
      <c r="D20" s="289">
        <f t="shared" si="0"/>
        <v>0</v>
      </c>
      <c r="E20" s="290">
        <f t="shared" si="1"/>
        <v>0</v>
      </c>
    </row>
    <row r="21" spans="1:5" x14ac:dyDescent="0.25">
      <c r="A21" s="285"/>
      <c r="B21" s="294"/>
      <c r="C21" s="294"/>
      <c r="D21" s="289">
        <f t="shared" si="0"/>
        <v>0</v>
      </c>
      <c r="E21" s="290">
        <f t="shared" si="1"/>
        <v>0</v>
      </c>
    </row>
    <row r="22" spans="1:5" x14ac:dyDescent="0.25">
      <c r="A22" s="285"/>
      <c r="B22" s="294"/>
      <c r="C22" s="294"/>
      <c r="D22" s="289">
        <f t="shared" si="0"/>
        <v>0</v>
      </c>
      <c r="E22" s="290">
        <f t="shared" si="1"/>
        <v>0</v>
      </c>
    </row>
    <row r="23" spans="1:5" x14ac:dyDescent="0.25">
      <c r="A23" s="285"/>
      <c r="B23" s="294"/>
      <c r="C23" s="294"/>
      <c r="D23" s="289">
        <f t="shared" si="0"/>
        <v>0</v>
      </c>
      <c r="E23" s="290">
        <f t="shared" si="1"/>
        <v>0</v>
      </c>
    </row>
    <row r="24" spans="1:5" x14ac:dyDescent="0.25">
      <c r="A24" s="285"/>
      <c r="B24" s="294"/>
      <c r="C24" s="294"/>
      <c r="D24" s="289">
        <f t="shared" si="0"/>
        <v>0</v>
      </c>
      <c r="E24" s="290">
        <f t="shared" si="1"/>
        <v>0</v>
      </c>
    </row>
    <row r="25" spans="1:5" x14ac:dyDescent="0.25">
      <c r="A25" s="285"/>
      <c r="B25" s="294"/>
      <c r="C25" s="294"/>
      <c r="D25" s="289">
        <f t="shared" si="0"/>
        <v>0</v>
      </c>
      <c r="E25" s="290">
        <f t="shared" si="1"/>
        <v>0</v>
      </c>
    </row>
    <row r="26" spans="1:5" x14ac:dyDescent="0.25">
      <c r="A26" s="285"/>
      <c r="B26" s="294"/>
      <c r="C26" s="294"/>
      <c r="D26" s="289">
        <f t="shared" si="0"/>
        <v>0</v>
      </c>
      <c r="E26" s="290">
        <f t="shared" si="1"/>
        <v>0</v>
      </c>
    </row>
    <row r="27" spans="1:5" x14ac:dyDescent="0.25">
      <c r="A27" s="285"/>
      <c r="B27" s="294"/>
      <c r="C27" s="294"/>
      <c r="D27" s="289">
        <f t="shared" si="0"/>
        <v>0</v>
      </c>
      <c r="E27" s="290">
        <f t="shared" si="1"/>
        <v>0</v>
      </c>
    </row>
    <row r="28" spans="1:5" x14ac:dyDescent="0.25">
      <c r="A28" s="285"/>
      <c r="B28" s="294"/>
      <c r="C28" s="294"/>
      <c r="D28" s="289">
        <f t="shared" si="0"/>
        <v>0</v>
      </c>
      <c r="E28" s="290">
        <f t="shared" si="1"/>
        <v>0</v>
      </c>
    </row>
    <row r="29" spans="1:5" x14ac:dyDescent="0.25">
      <c r="A29" s="285"/>
      <c r="B29" s="294"/>
      <c r="C29" s="294"/>
      <c r="D29" s="289">
        <f t="shared" si="0"/>
        <v>0</v>
      </c>
      <c r="E29" s="290">
        <f t="shared" si="1"/>
        <v>0</v>
      </c>
    </row>
    <row r="30" spans="1:5" x14ac:dyDescent="0.25">
      <c r="A30" s="285"/>
      <c r="B30" s="294"/>
      <c r="C30" s="294"/>
      <c r="D30" s="289">
        <f t="shared" si="0"/>
        <v>0</v>
      </c>
      <c r="E30" s="290">
        <f t="shared" si="1"/>
        <v>0</v>
      </c>
    </row>
    <row r="31" spans="1:5" x14ac:dyDescent="0.25">
      <c r="A31" s="285"/>
      <c r="B31" s="294"/>
      <c r="C31" s="294"/>
      <c r="D31" s="289">
        <f t="shared" si="0"/>
        <v>0</v>
      </c>
      <c r="E31" s="290">
        <f t="shared" si="1"/>
        <v>0</v>
      </c>
    </row>
    <row r="32" spans="1:5" x14ac:dyDescent="0.25">
      <c r="A32" s="285"/>
      <c r="B32" s="294"/>
      <c r="C32" s="294"/>
      <c r="D32" s="289">
        <f t="shared" si="0"/>
        <v>0</v>
      </c>
      <c r="E32" s="290">
        <f t="shared" si="1"/>
        <v>0</v>
      </c>
    </row>
    <row r="33" spans="1:5" x14ac:dyDescent="0.25">
      <c r="A33" s="285"/>
      <c r="B33" s="294"/>
      <c r="C33" s="294"/>
      <c r="D33" s="289">
        <f t="shared" si="0"/>
        <v>0</v>
      </c>
      <c r="E33" s="290">
        <f t="shared" si="1"/>
        <v>0</v>
      </c>
    </row>
    <row r="34" spans="1:5" x14ac:dyDescent="0.25">
      <c r="A34" s="285"/>
      <c r="B34" s="294"/>
      <c r="C34" s="294"/>
      <c r="D34" s="289">
        <f t="shared" si="0"/>
        <v>0</v>
      </c>
      <c r="E34" s="290">
        <f t="shared" si="1"/>
        <v>0</v>
      </c>
    </row>
    <row r="35" spans="1:5" x14ac:dyDescent="0.25">
      <c r="A35" s="285"/>
      <c r="B35" s="294"/>
      <c r="C35" s="294"/>
      <c r="D35" s="289">
        <f t="shared" si="0"/>
        <v>0</v>
      </c>
      <c r="E35" s="290">
        <f t="shared" si="1"/>
        <v>0</v>
      </c>
    </row>
    <row r="36" spans="1:5" x14ac:dyDescent="0.25">
      <c r="A36" s="285"/>
      <c r="B36" s="294"/>
      <c r="C36" s="294"/>
      <c r="D36" s="289">
        <f t="shared" si="0"/>
        <v>0</v>
      </c>
      <c r="E36" s="290">
        <f t="shared" si="1"/>
        <v>0</v>
      </c>
    </row>
    <row r="37" spans="1:5" x14ac:dyDescent="0.25">
      <c r="A37" s="285"/>
      <c r="B37" s="294"/>
      <c r="C37" s="294"/>
      <c r="D37" s="289">
        <f t="shared" si="0"/>
        <v>0</v>
      </c>
      <c r="E37" s="290">
        <f t="shared" si="1"/>
        <v>0</v>
      </c>
    </row>
    <row r="38" spans="1:5" x14ac:dyDescent="0.25">
      <c r="A38" s="285"/>
      <c r="B38" s="294"/>
      <c r="C38" s="294"/>
      <c r="D38" s="289">
        <f t="shared" si="0"/>
        <v>0</v>
      </c>
      <c r="E38" s="290">
        <f t="shared" si="1"/>
        <v>0</v>
      </c>
    </row>
    <row r="39" spans="1:5" x14ac:dyDescent="0.25">
      <c r="A39" s="285"/>
      <c r="B39" s="294"/>
      <c r="C39" s="294"/>
      <c r="D39" s="289">
        <f t="shared" si="0"/>
        <v>0</v>
      </c>
      <c r="E39" s="290">
        <f t="shared" si="1"/>
        <v>0</v>
      </c>
    </row>
    <row r="40" spans="1:5" x14ac:dyDescent="0.25">
      <c r="A40" s="285"/>
      <c r="B40" s="294"/>
      <c r="C40" s="294"/>
      <c r="D40" s="289">
        <f t="shared" si="0"/>
        <v>0</v>
      </c>
      <c r="E40" s="290">
        <f t="shared" si="1"/>
        <v>0</v>
      </c>
    </row>
    <row r="41" spans="1:5" x14ac:dyDescent="0.25">
      <c r="A41" s="285"/>
      <c r="B41" s="294"/>
      <c r="C41" s="294"/>
      <c r="D41" s="289">
        <f t="shared" si="0"/>
        <v>0</v>
      </c>
      <c r="E41" s="290">
        <f t="shared" si="1"/>
        <v>0</v>
      </c>
    </row>
    <row r="42" spans="1:5" x14ac:dyDescent="0.25">
      <c r="A42" s="285"/>
      <c r="B42" s="294"/>
      <c r="C42" s="294"/>
      <c r="D42" s="289">
        <f t="shared" si="0"/>
        <v>0</v>
      </c>
      <c r="E42" s="290">
        <f t="shared" si="1"/>
        <v>0</v>
      </c>
    </row>
    <row r="43" spans="1:5" x14ac:dyDescent="0.25">
      <c r="A43" s="285"/>
      <c r="B43" s="294"/>
      <c r="C43" s="294"/>
      <c r="D43" s="289">
        <f t="shared" si="0"/>
        <v>0</v>
      </c>
      <c r="E43" s="290">
        <f t="shared" si="1"/>
        <v>0</v>
      </c>
    </row>
    <row r="44" spans="1:5" x14ac:dyDescent="0.25">
      <c r="A44" s="285"/>
      <c r="B44" s="294"/>
      <c r="C44" s="294"/>
      <c r="D44" s="289">
        <f t="shared" si="0"/>
        <v>0</v>
      </c>
      <c r="E44" s="290">
        <f t="shared" si="1"/>
        <v>0</v>
      </c>
    </row>
    <row r="45" spans="1:5" x14ac:dyDescent="0.25">
      <c r="A45" s="285"/>
      <c r="B45" s="294"/>
      <c r="C45" s="294"/>
      <c r="D45" s="289">
        <f t="shared" si="0"/>
        <v>0</v>
      </c>
      <c r="E45" s="290">
        <f t="shared" si="1"/>
        <v>0</v>
      </c>
    </row>
    <row r="46" spans="1:5" ht="13.5" thickBot="1" x14ac:dyDescent="0.3">
      <c r="A46" s="286"/>
      <c r="B46" s="295"/>
      <c r="C46" s="295"/>
      <c r="D46" s="291">
        <f t="shared" si="0"/>
        <v>0</v>
      </c>
      <c r="E46" s="292">
        <f t="shared" si="1"/>
        <v>0</v>
      </c>
    </row>
    <row r="47" spans="1:5" x14ac:dyDescent="0.25">
      <c r="A47" s="789" t="s">
        <v>890</v>
      </c>
      <c r="B47" s="789"/>
      <c r="C47" s="789"/>
      <c r="D47" s="789"/>
      <c r="E47" s="789"/>
    </row>
    <row r="48" spans="1:5" x14ac:dyDescent="0.25">
      <c r="A48" s="377"/>
      <c r="B48" s="377"/>
      <c r="C48" s="377"/>
      <c r="D48" s="377"/>
      <c r="E48" s="377"/>
    </row>
  </sheetData>
  <sheetProtection algorithmName="SHA-512" hashValue="z2AjvC6wNbN+J2vDEALaInsCQ3C7j5L/jKQUQznbuqodzookX/WC8YGEn6w5//RlwSqU5+MuQP+QSbNrVEqsDw==" saltValue="RZ/C6oDhmw5sDZ6iHEoIMg==" spinCount="100000" sheet="1" objects="1" scenarios="1"/>
  <mergeCells count="7">
    <mergeCell ref="A47:E47"/>
    <mergeCell ref="A8:E8"/>
    <mergeCell ref="A1:E1"/>
    <mergeCell ref="A2:E2"/>
    <mergeCell ref="A3:C3"/>
    <mergeCell ref="A4:E4"/>
    <mergeCell ref="A6:E6"/>
  </mergeCells>
  <printOptions horizontalCentered="1"/>
  <pageMargins left="0.25" right="0.25" top="0.75" bottom="0.75" header="0.3" footer="0.3"/>
  <pageSetup scale="9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AF645-F06D-4E71-8C8F-301B3FC8B333}">
  <sheetPr codeName="Sheet53">
    <tabColor rgb="FF92D050"/>
  </sheetPr>
  <dimension ref="A1:E48"/>
  <sheetViews>
    <sheetView view="pageLayout" topLeftCell="A3" zoomScaleNormal="100" workbookViewId="0">
      <selection activeCell="L8" sqref="L8"/>
    </sheetView>
  </sheetViews>
  <sheetFormatPr defaultColWidth="9.140625" defaultRowHeight="12.75" x14ac:dyDescent="0.25"/>
  <cols>
    <col min="1" max="1" width="26.5703125" style="71" customWidth="1"/>
    <col min="2" max="2" width="20.140625" style="71" customWidth="1"/>
    <col min="3" max="3" width="20.28515625" style="71" customWidth="1"/>
    <col min="4" max="4" width="17" style="71" customWidth="1"/>
    <col min="5" max="5" width="14.42578125" style="71" customWidth="1"/>
    <col min="6" max="16384" width="9.140625" style="71"/>
  </cols>
  <sheetData>
    <row r="1" spans="1:5" ht="24.95" customHeight="1" x14ac:dyDescent="0.25">
      <c r="A1" s="784" t="s">
        <v>782</v>
      </c>
      <c r="B1" s="784"/>
      <c r="C1" s="784"/>
      <c r="D1" s="784"/>
      <c r="E1" s="784"/>
    </row>
    <row r="2" spans="1:5" ht="23.25" x14ac:dyDescent="0.25">
      <c r="A2" s="784" t="s">
        <v>720</v>
      </c>
      <c r="B2" s="784"/>
      <c r="C2" s="784"/>
      <c r="D2" s="784"/>
      <c r="E2" s="784"/>
    </row>
    <row r="3" spans="1:5" ht="10.7" customHeight="1" x14ac:dyDescent="0.25">
      <c r="A3" s="785"/>
      <c r="B3" s="785"/>
      <c r="C3" s="785"/>
      <c r="D3" s="280"/>
      <c r="E3" s="280"/>
    </row>
    <row r="4" spans="1:5" ht="20.100000000000001" customHeight="1" x14ac:dyDescent="0.25">
      <c r="A4" s="786" t="str">
        <f>'KEY INPUTS'!B2</f>
        <v>Weymouth Township FD No. 1</v>
      </c>
      <c r="B4" s="786"/>
      <c r="C4" s="786"/>
      <c r="D4" s="786"/>
      <c r="E4" s="786"/>
    </row>
    <row r="5" spans="1:5" ht="10.7" customHeight="1" x14ac:dyDescent="0.25">
      <c r="A5" s="281"/>
      <c r="B5" s="281"/>
      <c r="C5" s="281"/>
      <c r="D5" s="280"/>
      <c r="E5" s="280"/>
    </row>
    <row r="6" spans="1:5" ht="15.75" customHeight="1" x14ac:dyDescent="0.25">
      <c r="A6" s="787" t="str">
        <f>"FISCAL YEAR: January 1, "&amp;'KEY INPUTS'!B1&amp;" to December 31, "&amp;'KEY INPUTS'!B1&amp;""</f>
        <v>FISCAL YEAR: January 1, 2025 to December 31, 2025</v>
      </c>
      <c r="B6" s="787"/>
      <c r="C6" s="787"/>
      <c r="D6" s="787"/>
      <c r="E6" s="787"/>
    </row>
    <row r="7" spans="1:5" ht="10.7" customHeight="1" x14ac:dyDescent="0.25">
      <c r="A7" s="282"/>
      <c r="B7" s="282"/>
      <c r="C7" s="282"/>
      <c r="D7" s="280"/>
      <c r="E7" s="280"/>
    </row>
    <row r="8" spans="1:5" ht="15.75" customHeight="1" x14ac:dyDescent="0.25">
      <c r="A8" s="790" t="s">
        <v>723</v>
      </c>
      <c r="B8" s="790"/>
      <c r="C8" s="790"/>
      <c r="D8" s="790"/>
      <c r="E8" s="790"/>
    </row>
    <row r="9" spans="1:5" ht="10.7" customHeight="1" thickBot="1" x14ac:dyDescent="0.3">
      <c r="A9" s="283"/>
      <c r="B9" s="280"/>
      <c r="C9" s="280"/>
      <c r="D9" s="280"/>
      <c r="E9" s="280"/>
    </row>
    <row r="10" spans="1:5" ht="39" thickBot="1" x14ac:dyDescent="0.3">
      <c r="A10" s="323" t="s">
        <v>759</v>
      </c>
      <c r="B10" s="324" t="str">
        <f>"Proposed "&amp;'KEY INPUTS'!B1&amp;" Amount"</f>
        <v>Proposed 2025 Amount</v>
      </c>
      <c r="C10" s="324" t="str">
        <f>"Adopted "&amp;'KEY INPUTS'!B1-1&amp;" Amount"</f>
        <v>Adopted 2024 Amount</v>
      </c>
      <c r="D10" s="325" t="s">
        <v>760</v>
      </c>
      <c r="E10" s="326" t="s">
        <v>761</v>
      </c>
    </row>
    <row r="11" spans="1:5" ht="14.1" customHeight="1" x14ac:dyDescent="0.25">
      <c r="A11" s="284"/>
      <c r="B11" s="293"/>
      <c r="C11" s="293"/>
      <c r="D11" s="287">
        <f>B11-C11</f>
        <v>0</v>
      </c>
      <c r="E11" s="288">
        <f>IFERROR(IF((AND(C11=0,D11&gt;0)),100%,D11/C11),0)</f>
        <v>0</v>
      </c>
    </row>
    <row r="12" spans="1:5" ht="14.1" customHeight="1" x14ac:dyDescent="0.25">
      <c r="A12" s="285"/>
      <c r="B12" s="294"/>
      <c r="C12" s="294"/>
      <c r="D12" s="289">
        <f t="shared" ref="D12:D46" si="0">B12-C12</f>
        <v>0</v>
      </c>
      <c r="E12" s="290">
        <f t="shared" ref="E12:E46" si="1">IFERROR(IF((AND(C12=0,D12&gt;0)),100%,D12/C12),0)</f>
        <v>0</v>
      </c>
    </row>
    <row r="13" spans="1:5" ht="14.1" customHeight="1" x14ac:dyDescent="0.25">
      <c r="A13" s="308"/>
      <c r="B13" s="294"/>
      <c r="C13" s="294"/>
      <c r="D13" s="289">
        <f t="shared" si="0"/>
        <v>0</v>
      </c>
      <c r="E13" s="290">
        <f t="shared" si="1"/>
        <v>0</v>
      </c>
    </row>
    <row r="14" spans="1:5" x14ac:dyDescent="0.25">
      <c r="A14" s="285"/>
      <c r="B14" s="294"/>
      <c r="C14" s="294"/>
      <c r="D14" s="289">
        <f t="shared" si="0"/>
        <v>0</v>
      </c>
      <c r="E14" s="290">
        <f t="shared" si="1"/>
        <v>0</v>
      </c>
    </row>
    <row r="15" spans="1:5" x14ac:dyDescent="0.25">
      <c r="A15" s="285"/>
      <c r="B15" s="294"/>
      <c r="C15" s="294"/>
      <c r="D15" s="289">
        <f t="shared" si="0"/>
        <v>0</v>
      </c>
      <c r="E15" s="290">
        <f t="shared" si="1"/>
        <v>0</v>
      </c>
    </row>
    <row r="16" spans="1:5" x14ac:dyDescent="0.25">
      <c r="A16" s="285"/>
      <c r="B16" s="294"/>
      <c r="C16" s="294"/>
      <c r="D16" s="289">
        <f t="shared" si="0"/>
        <v>0</v>
      </c>
      <c r="E16" s="290">
        <f t="shared" si="1"/>
        <v>0</v>
      </c>
    </row>
    <row r="17" spans="1:5" x14ac:dyDescent="0.25">
      <c r="A17" s="285"/>
      <c r="B17" s="294"/>
      <c r="C17" s="294"/>
      <c r="D17" s="289">
        <f t="shared" si="0"/>
        <v>0</v>
      </c>
      <c r="E17" s="290">
        <f t="shared" si="1"/>
        <v>0</v>
      </c>
    </row>
    <row r="18" spans="1:5" x14ac:dyDescent="0.25">
      <c r="A18" s="285"/>
      <c r="B18" s="294"/>
      <c r="C18" s="294"/>
      <c r="D18" s="289">
        <f t="shared" si="0"/>
        <v>0</v>
      </c>
      <c r="E18" s="290">
        <f t="shared" si="1"/>
        <v>0</v>
      </c>
    </row>
    <row r="19" spans="1:5" x14ac:dyDescent="0.25">
      <c r="A19" s="285"/>
      <c r="B19" s="294"/>
      <c r="C19" s="294"/>
      <c r="D19" s="289">
        <f t="shared" si="0"/>
        <v>0</v>
      </c>
      <c r="E19" s="290">
        <f t="shared" si="1"/>
        <v>0</v>
      </c>
    </row>
    <row r="20" spans="1:5" x14ac:dyDescent="0.25">
      <c r="A20" s="285"/>
      <c r="B20" s="294"/>
      <c r="C20" s="294"/>
      <c r="D20" s="289">
        <f t="shared" si="0"/>
        <v>0</v>
      </c>
      <c r="E20" s="290">
        <f t="shared" si="1"/>
        <v>0</v>
      </c>
    </row>
    <row r="21" spans="1:5" x14ac:dyDescent="0.25">
      <c r="A21" s="285"/>
      <c r="B21" s="294"/>
      <c r="C21" s="294"/>
      <c r="D21" s="289">
        <f t="shared" si="0"/>
        <v>0</v>
      </c>
      <c r="E21" s="290">
        <f t="shared" si="1"/>
        <v>0</v>
      </c>
    </row>
    <row r="22" spans="1:5" x14ac:dyDescent="0.25">
      <c r="A22" s="285"/>
      <c r="B22" s="294"/>
      <c r="C22" s="294"/>
      <c r="D22" s="289">
        <f t="shared" si="0"/>
        <v>0</v>
      </c>
      <c r="E22" s="290">
        <f t="shared" si="1"/>
        <v>0</v>
      </c>
    </row>
    <row r="23" spans="1:5" x14ac:dyDescent="0.25">
      <c r="A23" s="285"/>
      <c r="B23" s="294"/>
      <c r="C23" s="294"/>
      <c r="D23" s="289">
        <f t="shared" si="0"/>
        <v>0</v>
      </c>
      <c r="E23" s="290">
        <f t="shared" si="1"/>
        <v>0</v>
      </c>
    </row>
    <row r="24" spans="1:5" x14ac:dyDescent="0.25">
      <c r="A24" s="285"/>
      <c r="B24" s="294"/>
      <c r="C24" s="294"/>
      <c r="D24" s="289">
        <f t="shared" si="0"/>
        <v>0</v>
      </c>
      <c r="E24" s="290">
        <f t="shared" si="1"/>
        <v>0</v>
      </c>
    </row>
    <row r="25" spans="1:5" x14ac:dyDescent="0.25">
      <c r="A25" s="285"/>
      <c r="B25" s="294"/>
      <c r="C25" s="294"/>
      <c r="D25" s="289">
        <f t="shared" si="0"/>
        <v>0</v>
      </c>
      <c r="E25" s="290">
        <f t="shared" si="1"/>
        <v>0</v>
      </c>
    </row>
    <row r="26" spans="1:5" x14ac:dyDescent="0.25">
      <c r="A26" s="285"/>
      <c r="B26" s="294"/>
      <c r="C26" s="294"/>
      <c r="D26" s="289">
        <f t="shared" si="0"/>
        <v>0</v>
      </c>
      <c r="E26" s="290">
        <f t="shared" si="1"/>
        <v>0</v>
      </c>
    </row>
    <row r="27" spans="1:5" x14ac:dyDescent="0.25">
      <c r="A27" s="285"/>
      <c r="B27" s="294"/>
      <c r="C27" s="294"/>
      <c r="D27" s="289">
        <f t="shared" si="0"/>
        <v>0</v>
      </c>
      <c r="E27" s="290">
        <f t="shared" si="1"/>
        <v>0</v>
      </c>
    </row>
    <row r="28" spans="1:5" x14ac:dyDescent="0.25">
      <c r="A28" s="285"/>
      <c r="B28" s="294"/>
      <c r="C28" s="294"/>
      <c r="D28" s="289">
        <f t="shared" si="0"/>
        <v>0</v>
      </c>
      <c r="E28" s="290">
        <f t="shared" si="1"/>
        <v>0</v>
      </c>
    </row>
    <row r="29" spans="1:5" x14ac:dyDescent="0.25">
      <c r="A29" s="285"/>
      <c r="B29" s="294"/>
      <c r="C29" s="294"/>
      <c r="D29" s="289">
        <f t="shared" si="0"/>
        <v>0</v>
      </c>
      <c r="E29" s="290">
        <f t="shared" si="1"/>
        <v>0</v>
      </c>
    </row>
    <row r="30" spans="1:5" x14ac:dyDescent="0.25">
      <c r="A30" s="285"/>
      <c r="B30" s="294"/>
      <c r="C30" s="294"/>
      <c r="D30" s="289">
        <f t="shared" si="0"/>
        <v>0</v>
      </c>
      <c r="E30" s="290">
        <f t="shared" si="1"/>
        <v>0</v>
      </c>
    </row>
    <row r="31" spans="1:5" x14ac:dyDescent="0.25">
      <c r="A31" s="285"/>
      <c r="B31" s="294"/>
      <c r="C31" s="294"/>
      <c r="D31" s="289">
        <f t="shared" si="0"/>
        <v>0</v>
      </c>
      <c r="E31" s="290">
        <f t="shared" si="1"/>
        <v>0</v>
      </c>
    </row>
    <row r="32" spans="1:5" x14ac:dyDescent="0.25">
      <c r="A32" s="285"/>
      <c r="B32" s="294"/>
      <c r="C32" s="294"/>
      <c r="D32" s="289">
        <f t="shared" si="0"/>
        <v>0</v>
      </c>
      <c r="E32" s="290">
        <f t="shared" si="1"/>
        <v>0</v>
      </c>
    </row>
    <row r="33" spans="1:5" x14ac:dyDescent="0.25">
      <c r="A33" s="285"/>
      <c r="B33" s="294"/>
      <c r="C33" s="294"/>
      <c r="D33" s="289">
        <f t="shared" si="0"/>
        <v>0</v>
      </c>
      <c r="E33" s="290">
        <f t="shared" si="1"/>
        <v>0</v>
      </c>
    </row>
    <row r="34" spans="1:5" x14ac:dyDescent="0.25">
      <c r="A34" s="285"/>
      <c r="B34" s="294"/>
      <c r="C34" s="294"/>
      <c r="D34" s="289">
        <f t="shared" si="0"/>
        <v>0</v>
      </c>
      <c r="E34" s="290">
        <f t="shared" si="1"/>
        <v>0</v>
      </c>
    </row>
    <row r="35" spans="1:5" x14ac:dyDescent="0.25">
      <c r="A35" s="285"/>
      <c r="B35" s="294"/>
      <c r="C35" s="294"/>
      <c r="D35" s="289">
        <f t="shared" si="0"/>
        <v>0</v>
      </c>
      <c r="E35" s="290">
        <f t="shared" si="1"/>
        <v>0</v>
      </c>
    </row>
    <row r="36" spans="1:5" x14ac:dyDescent="0.25">
      <c r="A36" s="285"/>
      <c r="B36" s="294"/>
      <c r="C36" s="294"/>
      <c r="D36" s="289">
        <f t="shared" si="0"/>
        <v>0</v>
      </c>
      <c r="E36" s="290">
        <f t="shared" si="1"/>
        <v>0</v>
      </c>
    </row>
    <row r="37" spans="1:5" x14ac:dyDescent="0.25">
      <c r="A37" s="285"/>
      <c r="B37" s="294"/>
      <c r="C37" s="294"/>
      <c r="D37" s="289">
        <f t="shared" si="0"/>
        <v>0</v>
      </c>
      <c r="E37" s="290">
        <f t="shared" si="1"/>
        <v>0</v>
      </c>
    </row>
    <row r="38" spans="1:5" x14ac:dyDescent="0.25">
      <c r="A38" s="285"/>
      <c r="B38" s="294"/>
      <c r="C38" s="294"/>
      <c r="D38" s="289">
        <f t="shared" si="0"/>
        <v>0</v>
      </c>
      <c r="E38" s="290">
        <f t="shared" si="1"/>
        <v>0</v>
      </c>
    </row>
    <row r="39" spans="1:5" x14ac:dyDescent="0.25">
      <c r="A39" s="285"/>
      <c r="B39" s="294"/>
      <c r="C39" s="294"/>
      <c r="D39" s="289">
        <f t="shared" si="0"/>
        <v>0</v>
      </c>
      <c r="E39" s="290">
        <f t="shared" si="1"/>
        <v>0</v>
      </c>
    </row>
    <row r="40" spans="1:5" x14ac:dyDescent="0.25">
      <c r="A40" s="285"/>
      <c r="B40" s="294"/>
      <c r="C40" s="294"/>
      <c r="D40" s="289">
        <f t="shared" si="0"/>
        <v>0</v>
      </c>
      <c r="E40" s="290">
        <f t="shared" si="1"/>
        <v>0</v>
      </c>
    </row>
    <row r="41" spans="1:5" x14ac:dyDescent="0.25">
      <c r="A41" s="285"/>
      <c r="B41" s="294"/>
      <c r="C41" s="294"/>
      <c r="D41" s="289">
        <f t="shared" si="0"/>
        <v>0</v>
      </c>
      <c r="E41" s="290">
        <f t="shared" si="1"/>
        <v>0</v>
      </c>
    </row>
    <row r="42" spans="1:5" x14ac:dyDescent="0.25">
      <c r="A42" s="285"/>
      <c r="B42" s="294"/>
      <c r="C42" s="294"/>
      <c r="D42" s="289">
        <f t="shared" si="0"/>
        <v>0</v>
      </c>
      <c r="E42" s="290">
        <f t="shared" si="1"/>
        <v>0</v>
      </c>
    </row>
    <row r="43" spans="1:5" x14ac:dyDescent="0.25">
      <c r="A43" s="285"/>
      <c r="B43" s="294"/>
      <c r="C43" s="294"/>
      <c r="D43" s="289">
        <f t="shared" si="0"/>
        <v>0</v>
      </c>
      <c r="E43" s="290">
        <f t="shared" si="1"/>
        <v>0</v>
      </c>
    </row>
    <row r="44" spans="1:5" x14ac:dyDescent="0.25">
      <c r="A44" s="285"/>
      <c r="B44" s="294"/>
      <c r="C44" s="294"/>
      <c r="D44" s="289">
        <f t="shared" si="0"/>
        <v>0</v>
      </c>
      <c r="E44" s="290">
        <f t="shared" si="1"/>
        <v>0</v>
      </c>
    </row>
    <row r="45" spans="1:5" x14ac:dyDescent="0.25">
      <c r="A45" s="285"/>
      <c r="B45" s="294"/>
      <c r="C45" s="294"/>
      <c r="D45" s="289">
        <f t="shared" si="0"/>
        <v>0</v>
      </c>
      <c r="E45" s="290">
        <f t="shared" si="1"/>
        <v>0</v>
      </c>
    </row>
    <row r="46" spans="1:5" ht="13.5" thickBot="1" x14ac:dyDescent="0.3">
      <c r="A46" s="286"/>
      <c r="B46" s="295"/>
      <c r="C46" s="295"/>
      <c r="D46" s="291">
        <f t="shared" si="0"/>
        <v>0</v>
      </c>
      <c r="E46" s="292">
        <f t="shared" si="1"/>
        <v>0</v>
      </c>
    </row>
    <row r="47" spans="1:5" x14ac:dyDescent="0.25">
      <c r="A47" s="789" t="s">
        <v>891</v>
      </c>
      <c r="B47" s="789"/>
      <c r="C47" s="789"/>
      <c r="D47" s="789"/>
      <c r="E47" s="789"/>
    </row>
    <row r="48" spans="1:5" x14ac:dyDescent="0.25">
      <c r="A48" s="377"/>
      <c r="B48" s="377"/>
      <c r="C48" s="377"/>
      <c r="D48" s="377"/>
      <c r="E48" s="377"/>
    </row>
  </sheetData>
  <sheetProtection algorithmName="SHA-512" hashValue="0UOwn7zqzOqwhe+fkx0i/Uh9Pu75HXa5eJxUP9q/C6NppW0DS1BAQiCEnsnmOXqSGPu+hiSEI5UiV3dQiB1yRQ==" saltValue="6AbWzPz4uUk24/3hvDRgKw==" spinCount="100000" sheet="1" objects="1" scenarios="1"/>
  <mergeCells count="7">
    <mergeCell ref="A47:E47"/>
    <mergeCell ref="A8:E8"/>
    <mergeCell ref="A1:E1"/>
    <mergeCell ref="A2:E2"/>
    <mergeCell ref="A3:C3"/>
    <mergeCell ref="A4:E4"/>
    <mergeCell ref="A6:E6"/>
  </mergeCells>
  <printOptions horizontalCentered="1"/>
  <pageMargins left="0.25" right="0.25" top="0.75" bottom="0.75" header="0.3" footer="0.3"/>
  <pageSetup scale="9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BC584-BFF1-4553-B612-1E58F634A4AF}">
  <sheetPr codeName="Sheet55">
    <tabColor rgb="FF92D050"/>
  </sheetPr>
  <dimension ref="A1:E48"/>
  <sheetViews>
    <sheetView view="pageLayout" zoomScaleNormal="100" workbookViewId="0">
      <selection activeCell="O31" sqref="O31"/>
    </sheetView>
  </sheetViews>
  <sheetFormatPr defaultColWidth="9.140625" defaultRowHeight="12.75" x14ac:dyDescent="0.25"/>
  <cols>
    <col min="1" max="1" width="26.5703125" style="71" customWidth="1"/>
    <col min="2" max="2" width="20.140625" style="71" customWidth="1"/>
    <col min="3" max="3" width="20.28515625" style="71" customWidth="1"/>
    <col min="4" max="4" width="17" style="71" customWidth="1"/>
    <col min="5" max="5" width="14.42578125" style="71" customWidth="1"/>
    <col min="6" max="16384" width="9.140625" style="71"/>
  </cols>
  <sheetData>
    <row r="1" spans="1:5" ht="24.95" customHeight="1" x14ac:dyDescent="0.25">
      <c r="A1" s="784" t="s">
        <v>782</v>
      </c>
      <c r="B1" s="784"/>
      <c r="C1" s="784"/>
      <c r="D1" s="784"/>
      <c r="E1" s="784"/>
    </row>
    <row r="2" spans="1:5" ht="23.25" x14ac:dyDescent="0.25">
      <c r="A2" s="784" t="s">
        <v>720</v>
      </c>
      <c r="B2" s="784"/>
      <c r="C2" s="784"/>
      <c r="D2" s="784"/>
      <c r="E2" s="784"/>
    </row>
    <row r="3" spans="1:5" ht="10.7" customHeight="1" x14ac:dyDescent="0.25">
      <c r="A3" s="785"/>
      <c r="B3" s="785"/>
      <c r="C3" s="785"/>
      <c r="D3" s="280"/>
      <c r="E3" s="280"/>
    </row>
    <row r="4" spans="1:5" ht="20.100000000000001" customHeight="1" x14ac:dyDescent="0.25">
      <c r="A4" s="786" t="str">
        <f>'KEY INPUTS'!B2</f>
        <v>Weymouth Township FD No. 1</v>
      </c>
      <c r="B4" s="786"/>
      <c r="C4" s="786"/>
      <c r="D4" s="786"/>
      <c r="E4" s="786"/>
    </row>
    <row r="5" spans="1:5" ht="10.7" customHeight="1" x14ac:dyDescent="0.25">
      <c r="A5" s="281"/>
      <c r="B5" s="281"/>
      <c r="C5" s="281"/>
      <c r="D5" s="280"/>
      <c r="E5" s="280"/>
    </row>
    <row r="6" spans="1:5" ht="15.75" customHeight="1" x14ac:dyDescent="0.25">
      <c r="A6" s="787" t="str">
        <f>"FISCAL YEAR: January 1, "&amp;'KEY INPUTS'!B1&amp;" to December 31, "&amp;'KEY INPUTS'!B1&amp;""</f>
        <v>FISCAL YEAR: January 1, 2025 to December 31, 2025</v>
      </c>
      <c r="B6" s="787"/>
      <c r="C6" s="787"/>
      <c r="D6" s="787"/>
      <c r="E6" s="787"/>
    </row>
    <row r="7" spans="1:5" ht="10.7" customHeight="1" x14ac:dyDescent="0.25">
      <c r="A7" s="282"/>
      <c r="B7" s="282"/>
      <c r="C7" s="282"/>
      <c r="D7" s="280"/>
      <c r="E7" s="280"/>
    </row>
    <row r="8" spans="1:5" ht="15.75" customHeight="1" x14ac:dyDescent="0.25">
      <c r="A8" s="790" t="s">
        <v>723</v>
      </c>
      <c r="B8" s="790"/>
      <c r="C8" s="790"/>
      <c r="D8" s="790"/>
      <c r="E8" s="790"/>
    </row>
    <row r="9" spans="1:5" ht="10.7" customHeight="1" thickBot="1" x14ac:dyDescent="0.3">
      <c r="A9" s="283"/>
      <c r="B9" s="280"/>
      <c r="C9" s="280"/>
      <c r="D9" s="280"/>
      <c r="E9" s="280"/>
    </row>
    <row r="10" spans="1:5" ht="39" thickBot="1" x14ac:dyDescent="0.3">
      <c r="A10" s="323" t="s">
        <v>759</v>
      </c>
      <c r="B10" s="324" t="str">
        <f>"Proposed "&amp;'KEY INPUTS'!B1&amp;" Amount"</f>
        <v>Proposed 2025 Amount</v>
      </c>
      <c r="C10" s="324" t="str">
        <f>"Adopted "&amp;'KEY INPUTS'!B1-1&amp;" Amount"</f>
        <v>Adopted 2024 Amount</v>
      </c>
      <c r="D10" s="325" t="s">
        <v>760</v>
      </c>
      <c r="E10" s="326" t="s">
        <v>761</v>
      </c>
    </row>
    <row r="11" spans="1:5" ht="14.1" customHeight="1" x14ac:dyDescent="0.25">
      <c r="A11" s="284"/>
      <c r="B11" s="293"/>
      <c r="C11" s="293"/>
      <c r="D11" s="287">
        <f>B11-C11</f>
        <v>0</v>
      </c>
      <c r="E11" s="288">
        <f>IFERROR(IF((AND(C11=0,D11&gt;0)),100%,D11/C11),0)</f>
        <v>0</v>
      </c>
    </row>
    <row r="12" spans="1:5" ht="14.1" customHeight="1" x14ac:dyDescent="0.25">
      <c r="A12" s="285"/>
      <c r="B12" s="294"/>
      <c r="C12" s="294"/>
      <c r="D12" s="289">
        <f t="shared" ref="D12:D46" si="0">B12-C12</f>
        <v>0</v>
      </c>
      <c r="E12" s="290">
        <f t="shared" ref="E12:E46" si="1">IFERROR(IF((AND(C12=0,D12&gt;0)),100%,D12/C12),0)</f>
        <v>0</v>
      </c>
    </row>
    <row r="13" spans="1:5" ht="14.1" customHeight="1" x14ac:dyDescent="0.25">
      <c r="A13" s="308"/>
      <c r="B13" s="294"/>
      <c r="C13" s="294"/>
      <c r="D13" s="289">
        <f t="shared" si="0"/>
        <v>0</v>
      </c>
      <c r="E13" s="290">
        <f t="shared" si="1"/>
        <v>0</v>
      </c>
    </row>
    <row r="14" spans="1:5" x14ac:dyDescent="0.25">
      <c r="A14" s="285"/>
      <c r="B14" s="294"/>
      <c r="C14" s="294"/>
      <c r="D14" s="289">
        <f t="shared" si="0"/>
        <v>0</v>
      </c>
      <c r="E14" s="290">
        <f t="shared" si="1"/>
        <v>0</v>
      </c>
    </row>
    <row r="15" spans="1:5" x14ac:dyDescent="0.25">
      <c r="A15" s="285"/>
      <c r="B15" s="294"/>
      <c r="C15" s="294"/>
      <c r="D15" s="289">
        <f t="shared" si="0"/>
        <v>0</v>
      </c>
      <c r="E15" s="290">
        <f t="shared" si="1"/>
        <v>0</v>
      </c>
    </row>
    <row r="16" spans="1:5" x14ac:dyDescent="0.25">
      <c r="A16" s="285"/>
      <c r="B16" s="294"/>
      <c r="C16" s="294"/>
      <c r="D16" s="289">
        <f t="shared" si="0"/>
        <v>0</v>
      </c>
      <c r="E16" s="290">
        <f t="shared" si="1"/>
        <v>0</v>
      </c>
    </row>
    <row r="17" spans="1:5" x14ac:dyDescent="0.25">
      <c r="A17" s="285"/>
      <c r="B17" s="294"/>
      <c r="C17" s="294"/>
      <c r="D17" s="289">
        <f t="shared" si="0"/>
        <v>0</v>
      </c>
      <c r="E17" s="290">
        <f t="shared" si="1"/>
        <v>0</v>
      </c>
    </row>
    <row r="18" spans="1:5" x14ac:dyDescent="0.25">
      <c r="A18" s="285"/>
      <c r="B18" s="294"/>
      <c r="C18" s="294"/>
      <c r="D18" s="289">
        <f t="shared" si="0"/>
        <v>0</v>
      </c>
      <c r="E18" s="290">
        <f t="shared" si="1"/>
        <v>0</v>
      </c>
    </row>
    <row r="19" spans="1:5" x14ac:dyDescent="0.25">
      <c r="A19" s="285"/>
      <c r="B19" s="294"/>
      <c r="C19" s="294"/>
      <c r="D19" s="289">
        <f t="shared" si="0"/>
        <v>0</v>
      </c>
      <c r="E19" s="290">
        <f t="shared" si="1"/>
        <v>0</v>
      </c>
    </row>
    <row r="20" spans="1:5" x14ac:dyDescent="0.25">
      <c r="A20" s="285"/>
      <c r="B20" s="294"/>
      <c r="C20" s="294"/>
      <c r="D20" s="289">
        <f t="shared" si="0"/>
        <v>0</v>
      </c>
      <c r="E20" s="290">
        <f t="shared" si="1"/>
        <v>0</v>
      </c>
    </row>
    <row r="21" spans="1:5" x14ac:dyDescent="0.25">
      <c r="A21" s="285"/>
      <c r="B21" s="294"/>
      <c r="C21" s="294"/>
      <c r="D21" s="289">
        <f t="shared" si="0"/>
        <v>0</v>
      </c>
      <c r="E21" s="290">
        <f t="shared" si="1"/>
        <v>0</v>
      </c>
    </row>
    <row r="22" spans="1:5" x14ac:dyDescent="0.25">
      <c r="A22" s="285"/>
      <c r="B22" s="294"/>
      <c r="C22" s="294"/>
      <c r="D22" s="289">
        <f t="shared" si="0"/>
        <v>0</v>
      </c>
      <c r="E22" s="290">
        <f t="shared" si="1"/>
        <v>0</v>
      </c>
    </row>
    <row r="23" spans="1:5" x14ac:dyDescent="0.25">
      <c r="A23" s="285"/>
      <c r="B23" s="294"/>
      <c r="C23" s="294"/>
      <c r="D23" s="289">
        <f t="shared" si="0"/>
        <v>0</v>
      </c>
      <c r="E23" s="290">
        <f t="shared" si="1"/>
        <v>0</v>
      </c>
    </row>
    <row r="24" spans="1:5" x14ac:dyDescent="0.25">
      <c r="A24" s="285"/>
      <c r="B24" s="294"/>
      <c r="C24" s="294"/>
      <c r="D24" s="289">
        <f t="shared" si="0"/>
        <v>0</v>
      </c>
      <c r="E24" s="290">
        <f t="shared" si="1"/>
        <v>0</v>
      </c>
    </row>
    <row r="25" spans="1:5" x14ac:dyDescent="0.25">
      <c r="A25" s="285"/>
      <c r="B25" s="294"/>
      <c r="C25" s="294"/>
      <c r="D25" s="289">
        <f t="shared" si="0"/>
        <v>0</v>
      </c>
      <c r="E25" s="290">
        <f t="shared" si="1"/>
        <v>0</v>
      </c>
    </row>
    <row r="26" spans="1:5" x14ac:dyDescent="0.25">
      <c r="A26" s="285"/>
      <c r="B26" s="294"/>
      <c r="C26" s="294"/>
      <c r="D26" s="289">
        <f t="shared" si="0"/>
        <v>0</v>
      </c>
      <c r="E26" s="290">
        <f t="shared" si="1"/>
        <v>0</v>
      </c>
    </row>
    <row r="27" spans="1:5" x14ac:dyDescent="0.25">
      <c r="A27" s="285"/>
      <c r="B27" s="294"/>
      <c r="C27" s="294"/>
      <c r="D27" s="289">
        <f t="shared" si="0"/>
        <v>0</v>
      </c>
      <c r="E27" s="290">
        <f t="shared" si="1"/>
        <v>0</v>
      </c>
    </row>
    <row r="28" spans="1:5" x14ac:dyDescent="0.25">
      <c r="A28" s="285"/>
      <c r="B28" s="294"/>
      <c r="C28" s="294"/>
      <c r="D28" s="289">
        <f t="shared" si="0"/>
        <v>0</v>
      </c>
      <c r="E28" s="290">
        <f t="shared" si="1"/>
        <v>0</v>
      </c>
    </row>
    <row r="29" spans="1:5" x14ac:dyDescent="0.25">
      <c r="A29" s="285"/>
      <c r="B29" s="294"/>
      <c r="C29" s="294"/>
      <c r="D29" s="289">
        <f t="shared" si="0"/>
        <v>0</v>
      </c>
      <c r="E29" s="290">
        <f t="shared" si="1"/>
        <v>0</v>
      </c>
    </row>
    <row r="30" spans="1:5" x14ac:dyDescent="0.25">
      <c r="A30" s="285"/>
      <c r="B30" s="294"/>
      <c r="C30" s="294"/>
      <c r="D30" s="289">
        <f t="shared" si="0"/>
        <v>0</v>
      </c>
      <c r="E30" s="290">
        <f t="shared" si="1"/>
        <v>0</v>
      </c>
    </row>
    <row r="31" spans="1:5" x14ac:dyDescent="0.25">
      <c r="A31" s="285"/>
      <c r="B31" s="294"/>
      <c r="C31" s="294"/>
      <c r="D31" s="289">
        <f t="shared" si="0"/>
        <v>0</v>
      </c>
      <c r="E31" s="290">
        <f t="shared" si="1"/>
        <v>0</v>
      </c>
    </row>
    <row r="32" spans="1:5" x14ac:dyDescent="0.25">
      <c r="A32" s="285"/>
      <c r="B32" s="294"/>
      <c r="C32" s="294"/>
      <c r="D32" s="289">
        <f t="shared" si="0"/>
        <v>0</v>
      </c>
      <c r="E32" s="290">
        <f t="shared" si="1"/>
        <v>0</v>
      </c>
    </row>
    <row r="33" spans="1:5" x14ac:dyDescent="0.25">
      <c r="A33" s="285"/>
      <c r="B33" s="294"/>
      <c r="C33" s="294"/>
      <c r="D33" s="289">
        <f t="shared" si="0"/>
        <v>0</v>
      </c>
      <c r="E33" s="290">
        <f t="shared" si="1"/>
        <v>0</v>
      </c>
    </row>
    <row r="34" spans="1:5" x14ac:dyDescent="0.25">
      <c r="A34" s="285"/>
      <c r="B34" s="294"/>
      <c r="C34" s="294"/>
      <c r="D34" s="289">
        <f t="shared" si="0"/>
        <v>0</v>
      </c>
      <c r="E34" s="290">
        <f t="shared" si="1"/>
        <v>0</v>
      </c>
    </row>
    <row r="35" spans="1:5" x14ac:dyDescent="0.25">
      <c r="A35" s="285"/>
      <c r="B35" s="294"/>
      <c r="C35" s="294"/>
      <c r="D35" s="289">
        <f t="shared" si="0"/>
        <v>0</v>
      </c>
      <c r="E35" s="290">
        <f t="shared" si="1"/>
        <v>0</v>
      </c>
    </row>
    <row r="36" spans="1:5" x14ac:dyDescent="0.25">
      <c r="A36" s="285"/>
      <c r="B36" s="294"/>
      <c r="C36" s="294"/>
      <c r="D36" s="289">
        <f t="shared" si="0"/>
        <v>0</v>
      </c>
      <c r="E36" s="290">
        <f t="shared" si="1"/>
        <v>0</v>
      </c>
    </row>
    <row r="37" spans="1:5" x14ac:dyDescent="0.25">
      <c r="A37" s="285"/>
      <c r="B37" s="294"/>
      <c r="C37" s="294"/>
      <c r="D37" s="289">
        <f t="shared" si="0"/>
        <v>0</v>
      </c>
      <c r="E37" s="290">
        <f t="shared" si="1"/>
        <v>0</v>
      </c>
    </row>
    <row r="38" spans="1:5" x14ac:dyDescent="0.25">
      <c r="A38" s="285"/>
      <c r="B38" s="294"/>
      <c r="C38" s="294"/>
      <c r="D38" s="289">
        <f t="shared" si="0"/>
        <v>0</v>
      </c>
      <c r="E38" s="290">
        <f t="shared" si="1"/>
        <v>0</v>
      </c>
    </row>
    <row r="39" spans="1:5" x14ac:dyDescent="0.25">
      <c r="A39" s="285"/>
      <c r="B39" s="294"/>
      <c r="C39" s="294"/>
      <c r="D39" s="289">
        <f t="shared" si="0"/>
        <v>0</v>
      </c>
      <c r="E39" s="290">
        <f t="shared" si="1"/>
        <v>0</v>
      </c>
    </row>
    <row r="40" spans="1:5" x14ac:dyDescent="0.25">
      <c r="A40" s="285"/>
      <c r="B40" s="294"/>
      <c r="C40" s="294"/>
      <c r="D40" s="289">
        <f t="shared" si="0"/>
        <v>0</v>
      </c>
      <c r="E40" s="290">
        <f t="shared" si="1"/>
        <v>0</v>
      </c>
    </row>
    <row r="41" spans="1:5" x14ac:dyDescent="0.25">
      <c r="A41" s="285"/>
      <c r="B41" s="294"/>
      <c r="C41" s="294"/>
      <c r="D41" s="289">
        <f t="shared" si="0"/>
        <v>0</v>
      </c>
      <c r="E41" s="290">
        <f t="shared" si="1"/>
        <v>0</v>
      </c>
    </row>
    <row r="42" spans="1:5" x14ac:dyDescent="0.25">
      <c r="A42" s="285"/>
      <c r="B42" s="294"/>
      <c r="C42" s="294"/>
      <c r="D42" s="289">
        <f t="shared" si="0"/>
        <v>0</v>
      </c>
      <c r="E42" s="290">
        <f t="shared" si="1"/>
        <v>0</v>
      </c>
    </row>
    <row r="43" spans="1:5" x14ac:dyDescent="0.25">
      <c r="A43" s="285"/>
      <c r="B43" s="294"/>
      <c r="C43" s="294"/>
      <c r="D43" s="289">
        <f t="shared" si="0"/>
        <v>0</v>
      </c>
      <c r="E43" s="290">
        <f t="shared" si="1"/>
        <v>0</v>
      </c>
    </row>
    <row r="44" spans="1:5" x14ac:dyDescent="0.25">
      <c r="A44" s="285"/>
      <c r="B44" s="294"/>
      <c r="C44" s="294"/>
      <c r="D44" s="289">
        <f t="shared" si="0"/>
        <v>0</v>
      </c>
      <c r="E44" s="290">
        <f t="shared" si="1"/>
        <v>0</v>
      </c>
    </row>
    <row r="45" spans="1:5" x14ac:dyDescent="0.25">
      <c r="A45" s="285"/>
      <c r="B45" s="294"/>
      <c r="C45" s="294"/>
      <c r="D45" s="289">
        <f t="shared" si="0"/>
        <v>0</v>
      </c>
      <c r="E45" s="290">
        <f t="shared" si="1"/>
        <v>0</v>
      </c>
    </row>
    <row r="46" spans="1:5" ht="13.5" thickBot="1" x14ac:dyDescent="0.3">
      <c r="A46" s="286"/>
      <c r="B46" s="295"/>
      <c r="C46" s="295"/>
      <c r="D46" s="291">
        <f t="shared" si="0"/>
        <v>0</v>
      </c>
      <c r="E46" s="292">
        <f t="shared" si="1"/>
        <v>0</v>
      </c>
    </row>
    <row r="47" spans="1:5" x14ac:dyDescent="0.25">
      <c r="A47" s="789" t="s">
        <v>892</v>
      </c>
      <c r="B47" s="789"/>
      <c r="C47" s="789"/>
      <c r="D47" s="789"/>
      <c r="E47" s="789"/>
    </row>
    <row r="48" spans="1:5" x14ac:dyDescent="0.25">
      <c r="A48" s="377"/>
      <c r="B48" s="377"/>
      <c r="C48" s="377"/>
      <c r="D48" s="377"/>
      <c r="E48" s="377"/>
    </row>
  </sheetData>
  <sheetProtection algorithmName="SHA-512" hashValue="pM6IdwEutaePgi24VTiP4UgfdqUD1ldKveXix9mzLJOzD1g5ZEyk1QUtU9A/f1BlMALHm2GS2tVRvK5p3xYfAA==" saltValue="wszQ3miE25PZZ28nnMyN/g==" spinCount="100000" sheet="1" objects="1" scenarios="1"/>
  <mergeCells count="7">
    <mergeCell ref="A47:E47"/>
    <mergeCell ref="A8:E8"/>
    <mergeCell ref="A1:E1"/>
    <mergeCell ref="A2:E2"/>
    <mergeCell ref="A3:C3"/>
    <mergeCell ref="A4:E4"/>
    <mergeCell ref="A6:E6"/>
  </mergeCells>
  <printOptions horizontalCentered="1"/>
  <pageMargins left="0.25" right="0.25"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F6B-F4FA-4E1A-8B5E-AAE7539BBA41}">
  <sheetPr codeName="Sheet42">
    <tabColor rgb="FF92D050"/>
  </sheetPr>
  <dimension ref="A1:I44"/>
  <sheetViews>
    <sheetView view="pageLayout" zoomScaleNormal="100" workbookViewId="0">
      <selection activeCell="A5" sqref="A5"/>
    </sheetView>
  </sheetViews>
  <sheetFormatPr defaultRowHeight="15" x14ac:dyDescent="0.25"/>
  <cols>
    <col min="1" max="1" width="49" customWidth="1"/>
    <col min="2" max="2" width="8.7109375" bestFit="1" customWidth="1"/>
    <col min="3" max="3" width="15.140625" customWidth="1"/>
    <col min="4" max="4" width="18.28515625" customWidth="1"/>
    <col min="5" max="5" width="15.5703125" customWidth="1"/>
    <col min="6" max="6" width="14" customWidth="1"/>
    <col min="7" max="7" width="15" customWidth="1"/>
    <col min="8" max="8" width="14.85546875" customWidth="1"/>
    <col min="9" max="9" width="16.42578125" customWidth="1"/>
  </cols>
  <sheetData>
    <row r="1" spans="1:9" x14ac:dyDescent="0.25">
      <c r="A1" s="768" t="str">
        <f>'F-3 Appropriations (Proposed)'!A1:I1</f>
        <v>Weymouth Township FD No. 1</v>
      </c>
      <c r="B1" s="768"/>
      <c r="C1" s="768"/>
      <c r="D1" s="768"/>
      <c r="E1" s="768"/>
      <c r="F1" s="768"/>
      <c r="G1" s="768"/>
      <c r="H1" s="768"/>
      <c r="I1" s="768"/>
    </row>
    <row r="2" spans="1:9" x14ac:dyDescent="0.25">
      <c r="A2" s="768" t="str">
        <f>'F-3 Appropriations (Proposed)'!A2:I2</f>
        <v>Atlantic</v>
      </c>
      <c r="B2" s="768"/>
      <c r="C2" s="768"/>
      <c r="D2" s="768"/>
      <c r="E2" s="768"/>
      <c r="F2" s="768"/>
      <c r="G2" s="768"/>
      <c r="H2" s="768"/>
      <c r="I2" s="768"/>
    </row>
    <row r="3" spans="1:9" ht="45.75" thickBot="1" x14ac:dyDescent="0.3">
      <c r="A3" s="14" t="s">
        <v>124</v>
      </c>
      <c r="B3" s="14" t="s">
        <v>125</v>
      </c>
      <c r="C3" s="14" t="s">
        <v>126</v>
      </c>
      <c r="D3" s="14" t="str">
        <f>""&amp;'Information Sheet'!B11&amp;" Proposed Budget Salary &amp; Wages"</f>
        <v>2025 Proposed Budget Salary &amp; Wages</v>
      </c>
      <c r="E3" s="14" t="s">
        <v>127</v>
      </c>
      <c r="F3" s="14" t="s">
        <v>128</v>
      </c>
      <c r="G3" s="14" t="s">
        <v>129</v>
      </c>
      <c r="H3" s="14" t="s">
        <v>130</v>
      </c>
      <c r="I3" s="14" t="str">
        <f>""&amp;'Information Sheet'!B11&amp;" Proposed Budget Fringe Benefits"</f>
        <v>2025 Proposed Budget Fringe Benefits</v>
      </c>
    </row>
    <row r="4" spans="1:9" x14ac:dyDescent="0.25">
      <c r="A4" s="13" t="s">
        <v>1020</v>
      </c>
      <c r="B4" s="434"/>
      <c r="C4" s="141"/>
      <c r="D4" s="142">
        <f>B4*C4</f>
        <v>0</v>
      </c>
      <c r="E4" s="141"/>
      <c r="F4" s="141"/>
      <c r="G4" s="141"/>
      <c r="H4" s="141"/>
      <c r="I4" s="142">
        <f>SUM(E4:H4)</f>
        <v>0</v>
      </c>
    </row>
    <row r="5" spans="1:9" x14ac:dyDescent="0.25">
      <c r="A5" s="13" t="s">
        <v>132</v>
      </c>
      <c r="B5" s="434"/>
      <c r="C5" s="141"/>
      <c r="D5" s="142">
        <f t="shared" ref="D5:D11" si="0">B5*C5</f>
        <v>0</v>
      </c>
      <c r="E5" s="141"/>
      <c r="F5" s="141"/>
      <c r="G5" s="141"/>
      <c r="H5" s="141"/>
      <c r="I5" s="142">
        <f t="shared" ref="I5:I11" si="1">SUM(E5:H5)</f>
        <v>0</v>
      </c>
    </row>
    <row r="6" spans="1:9" x14ac:dyDescent="0.25">
      <c r="A6" s="13" t="s">
        <v>133</v>
      </c>
      <c r="B6" s="434"/>
      <c r="C6" s="141"/>
      <c r="D6" s="142">
        <f t="shared" si="0"/>
        <v>0</v>
      </c>
      <c r="E6" s="141"/>
      <c r="F6" s="141"/>
      <c r="G6" s="141"/>
      <c r="H6" s="141"/>
      <c r="I6" s="142">
        <f t="shared" si="1"/>
        <v>0</v>
      </c>
    </row>
    <row r="7" spans="1:9" x14ac:dyDescent="0.25">
      <c r="A7" s="13" t="s">
        <v>134</v>
      </c>
      <c r="B7" s="434"/>
      <c r="C7" s="141"/>
      <c r="D7" s="142">
        <f t="shared" si="0"/>
        <v>0</v>
      </c>
      <c r="E7" s="141"/>
      <c r="F7" s="141"/>
      <c r="G7" s="141"/>
      <c r="H7" s="141"/>
      <c r="I7" s="142">
        <f t="shared" si="1"/>
        <v>0</v>
      </c>
    </row>
    <row r="8" spans="1:9" x14ac:dyDescent="0.25">
      <c r="A8" s="13" t="s">
        <v>135</v>
      </c>
      <c r="B8" s="434"/>
      <c r="C8" s="141"/>
      <c r="D8" s="142">
        <f t="shared" si="0"/>
        <v>0</v>
      </c>
      <c r="E8" s="141"/>
      <c r="F8" s="141"/>
      <c r="G8" s="141"/>
      <c r="H8" s="141"/>
      <c r="I8" s="142">
        <f t="shared" si="1"/>
        <v>0</v>
      </c>
    </row>
    <row r="9" spans="1:9" x14ac:dyDescent="0.25">
      <c r="A9" s="13" t="s">
        <v>136</v>
      </c>
      <c r="B9" s="434"/>
      <c r="C9" s="141"/>
      <c r="D9" s="142">
        <f t="shared" si="0"/>
        <v>0</v>
      </c>
      <c r="E9" s="141"/>
      <c r="F9" s="141"/>
      <c r="G9" s="141"/>
      <c r="H9" s="141"/>
      <c r="I9" s="142">
        <f t="shared" si="1"/>
        <v>0</v>
      </c>
    </row>
    <row r="10" spans="1:9" x14ac:dyDescent="0.25">
      <c r="A10" s="13" t="s">
        <v>137</v>
      </c>
      <c r="B10" s="434"/>
      <c r="C10" s="141"/>
      <c r="D10" s="142">
        <f t="shared" si="0"/>
        <v>0</v>
      </c>
      <c r="E10" s="141"/>
      <c r="F10" s="141"/>
      <c r="G10" s="141"/>
      <c r="H10" s="141"/>
      <c r="I10" s="142">
        <f t="shared" si="1"/>
        <v>0</v>
      </c>
    </row>
    <row r="11" spans="1:9" x14ac:dyDescent="0.25">
      <c r="A11" s="13" t="s">
        <v>138</v>
      </c>
      <c r="B11" s="434"/>
      <c r="C11" s="141"/>
      <c r="D11" s="142">
        <f t="shared" si="0"/>
        <v>0</v>
      </c>
      <c r="E11" s="144"/>
      <c r="F11" s="144"/>
      <c r="G11" s="144"/>
      <c r="H11" s="144"/>
      <c r="I11" s="142">
        <f t="shared" si="1"/>
        <v>0</v>
      </c>
    </row>
    <row r="12" spans="1:9" ht="15.75" thickBot="1" x14ac:dyDescent="0.3">
      <c r="A12" t="s">
        <v>96</v>
      </c>
      <c r="B12" s="435">
        <f>B4+B5+B6+B7+B8+B9+B10+B11</f>
        <v>0</v>
      </c>
      <c r="D12" s="143">
        <f>SUM(D4:D11)</f>
        <v>0</v>
      </c>
      <c r="E12" s="145">
        <f>SUM(E4:E11)</f>
        <v>0</v>
      </c>
      <c r="F12" s="145">
        <f t="shared" ref="F12:H12" si="2">SUM(F4:F11)</f>
        <v>0</v>
      </c>
      <c r="G12" s="145">
        <f t="shared" si="2"/>
        <v>0</v>
      </c>
      <c r="H12" s="145">
        <f t="shared" si="2"/>
        <v>0</v>
      </c>
      <c r="I12" s="143">
        <f>SUM(I4:I11)</f>
        <v>0</v>
      </c>
    </row>
    <row r="13" spans="1:9" ht="9.75" customHeight="1" thickTop="1" x14ac:dyDescent="0.25"/>
    <row r="14" spans="1:9" ht="45.75" thickBot="1" x14ac:dyDescent="0.3">
      <c r="A14" s="14" t="s">
        <v>896</v>
      </c>
      <c r="B14" s="14" t="s">
        <v>125</v>
      </c>
      <c r="C14" s="14" t="s">
        <v>126</v>
      </c>
      <c r="D14" s="14" t="str">
        <f>D3</f>
        <v>2025 Proposed Budget Salary &amp; Wages</v>
      </c>
      <c r="E14" s="14" t="s">
        <v>127</v>
      </c>
      <c r="F14" s="14" t="s">
        <v>128</v>
      </c>
      <c r="G14" s="14" t="s">
        <v>129</v>
      </c>
      <c r="H14" s="14" t="s">
        <v>130</v>
      </c>
      <c r="I14" s="14" t="str">
        <f>I3</f>
        <v>2025 Proposed Budget Fringe Benefits</v>
      </c>
    </row>
    <row r="15" spans="1:9" x14ac:dyDescent="0.25">
      <c r="A15" s="13" t="s">
        <v>131</v>
      </c>
      <c r="B15" s="434"/>
      <c r="C15" s="141"/>
      <c r="D15" s="142">
        <f>B15*C15</f>
        <v>0</v>
      </c>
      <c r="E15" s="141"/>
      <c r="F15" s="141"/>
      <c r="G15" s="141"/>
      <c r="H15" s="141"/>
      <c r="I15" s="142">
        <f>SUM(E15:H15)</f>
        <v>0</v>
      </c>
    </row>
    <row r="16" spans="1:9" x14ac:dyDescent="0.25">
      <c r="A16" s="13" t="s">
        <v>132</v>
      </c>
      <c r="B16" s="434"/>
      <c r="C16" s="141"/>
      <c r="D16" s="142">
        <f t="shared" ref="D16:D28" si="3">B16*C16</f>
        <v>0</v>
      </c>
      <c r="E16" s="141"/>
      <c r="F16" s="141"/>
      <c r="G16" s="141"/>
      <c r="H16" s="141"/>
      <c r="I16" s="142">
        <f t="shared" ref="I16:I28" si="4">SUM(E16:H16)</f>
        <v>0</v>
      </c>
    </row>
    <row r="17" spans="1:9" x14ac:dyDescent="0.25">
      <c r="A17" s="13" t="s">
        <v>133</v>
      </c>
      <c r="B17" s="434"/>
      <c r="C17" s="141"/>
      <c r="D17" s="142">
        <f t="shared" si="3"/>
        <v>0</v>
      </c>
      <c r="E17" s="141"/>
      <c r="F17" s="141"/>
      <c r="G17" s="141"/>
      <c r="H17" s="141"/>
      <c r="I17" s="142">
        <f t="shared" si="4"/>
        <v>0</v>
      </c>
    </row>
    <row r="18" spans="1:9" x14ac:dyDescent="0.25">
      <c r="A18" s="13" t="s">
        <v>134</v>
      </c>
      <c r="B18" s="434"/>
      <c r="C18" s="141"/>
      <c r="D18" s="142">
        <f t="shared" si="3"/>
        <v>0</v>
      </c>
      <c r="E18" s="141"/>
      <c r="F18" s="141"/>
      <c r="G18" s="141"/>
      <c r="H18" s="141"/>
      <c r="I18" s="142">
        <f t="shared" si="4"/>
        <v>0</v>
      </c>
    </row>
    <row r="19" spans="1:9" x14ac:dyDescent="0.25">
      <c r="A19" s="13" t="s">
        <v>135</v>
      </c>
      <c r="B19" s="434"/>
      <c r="C19" s="141"/>
      <c r="D19" s="142">
        <f t="shared" si="3"/>
        <v>0</v>
      </c>
      <c r="E19" s="141"/>
      <c r="F19" s="141"/>
      <c r="G19" s="141"/>
      <c r="H19" s="141"/>
      <c r="I19" s="142">
        <f t="shared" si="4"/>
        <v>0</v>
      </c>
    </row>
    <row r="20" spans="1:9" x14ac:dyDescent="0.25">
      <c r="A20" s="13" t="s">
        <v>136</v>
      </c>
      <c r="B20" s="434"/>
      <c r="C20" s="141"/>
      <c r="D20" s="142">
        <f t="shared" si="3"/>
        <v>0</v>
      </c>
      <c r="E20" s="141"/>
      <c r="F20" s="141"/>
      <c r="G20" s="141"/>
      <c r="H20" s="141"/>
      <c r="I20" s="142">
        <f t="shared" si="4"/>
        <v>0</v>
      </c>
    </row>
    <row r="21" spans="1:9" x14ac:dyDescent="0.25">
      <c r="A21" s="13" t="s">
        <v>137</v>
      </c>
      <c r="B21" s="434"/>
      <c r="C21" s="141"/>
      <c r="D21" s="142">
        <f t="shared" si="3"/>
        <v>0</v>
      </c>
      <c r="E21" s="141"/>
      <c r="F21" s="141"/>
      <c r="G21" s="141"/>
      <c r="H21" s="141"/>
      <c r="I21" s="142">
        <f t="shared" si="4"/>
        <v>0</v>
      </c>
    </row>
    <row r="22" spans="1:9" x14ac:dyDescent="0.25">
      <c r="A22" s="13" t="s">
        <v>138</v>
      </c>
      <c r="B22" s="434"/>
      <c r="C22" s="141"/>
      <c r="D22" s="142">
        <f t="shared" si="3"/>
        <v>0</v>
      </c>
      <c r="E22" s="141"/>
      <c r="F22" s="141"/>
      <c r="G22" s="141"/>
      <c r="H22" s="141"/>
      <c r="I22" s="142">
        <f t="shared" si="4"/>
        <v>0</v>
      </c>
    </row>
    <row r="23" spans="1:9" x14ac:dyDescent="0.25">
      <c r="A23" s="13" t="s">
        <v>139</v>
      </c>
      <c r="B23" s="434"/>
      <c r="C23" s="141"/>
      <c r="D23" s="142">
        <f t="shared" si="3"/>
        <v>0</v>
      </c>
      <c r="E23" s="141"/>
      <c r="F23" s="141"/>
      <c r="G23" s="141"/>
      <c r="H23" s="141"/>
      <c r="I23" s="142">
        <f t="shared" si="4"/>
        <v>0</v>
      </c>
    </row>
    <row r="24" spans="1:9" x14ac:dyDescent="0.25">
      <c r="A24" s="13" t="s">
        <v>140</v>
      </c>
      <c r="B24" s="434"/>
      <c r="C24" s="141"/>
      <c r="D24" s="142">
        <f t="shared" si="3"/>
        <v>0</v>
      </c>
      <c r="E24" s="141"/>
      <c r="F24" s="141"/>
      <c r="G24" s="141"/>
      <c r="H24" s="141"/>
      <c r="I24" s="142">
        <f t="shared" si="4"/>
        <v>0</v>
      </c>
    </row>
    <row r="25" spans="1:9" x14ac:dyDescent="0.25">
      <c r="A25" s="13" t="s">
        <v>141</v>
      </c>
      <c r="B25" s="434"/>
      <c r="C25" s="141"/>
      <c r="D25" s="142">
        <f t="shared" si="3"/>
        <v>0</v>
      </c>
      <c r="E25" s="141"/>
      <c r="F25" s="141"/>
      <c r="G25" s="141"/>
      <c r="H25" s="141"/>
      <c r="I25" s="142">
        <f t="shared" si="4"/>
        <v>0</v>
      </c>
    </row>
    <row r="26" spans="1:9" x14ac:dyDescent="0.25">
      <c r="A26" s="13" t="s">
        <v>142</v>
      </c>
      <c r="B26" s="434"/>
      <c r="C26" s="141"/>
      <c r="D26" s="142">
        <f t="shared" si="3"/>
        <v>0</v>
      </c>
      <c r="E26" s="141"/>
      <c r="F26" s="141"/>
      <c r="G26" s="141"/>
      <c r="H26" s="141"/>
      <c r="I26" s="142">
        <f t="shared" si="4"/>
        <v>0</v>
      </c>
    </row>
    <row r="27" spans="1:9" x14ac:dyDescent="0.25">
      <c r="A27" s="13" t="s">
        <v>143</v>
      </c>
      <c r="B27" s="434"/>
      <c r="C27" s="141"/>
      <c r="D27" s="142">
        <f t="shared" si="3"/>
        <v>0</v>
      </c>
      <c r="E27" s="141"/>
      <c r="F27" s="141"/>
      <c r="G27" s="141"/>
      <c r="H27" s="141"/>
      <c r="I27" s="142">
        <f t="shared" si="4"/>
        <v>0</v>
      </c>
    </row>
    <row r="28" spans="1:9" x14ac:dyDescent="0.25">
      <c r="A28" s="13" t="s">
        <v>144</v>
      </c>
      <c r="B28" s="434"/>
      <c r="C28" s="141"/>
      <c r="D28" s="142">
        <f t="shared" si="3"/>
        <v>0</v>
      </c>
      <c r="E28" s="141"/>
      <c r="F28" s="141"/>
      <c r="G28" s="141"/>
      <c r="H28" s="141"/>
      <c r="I28" s="142">
        <f t="shared" si="4"/>
        <v>0</v>
      </c>
    </row>
    <row r="29" spans="1:9" ht="15.75" thickBot="1" x14ac:dyDescent="0.3">
      <c r="A29" t="s">
        <v>145</v>
      </c>
      <c r="B29" s="435">
        <f>B15+B16+B17+B18+B19+B20+B21+B22+B23+B24+B25+B26+B27+B28</f>
        <v>0</v>
      </c>
      <c r="D29" s="143">
        <f>SUM(D15:D28)</f>
        <v>0</v>
      </c>
      <c r="E29" s="143">
        <f>SUM(E15:E28)</f>
        <v>0</v>
      </c>
      <c r="F29" s="143">
        <f t="shared" ref="F29:H29" si="5">SUM(F15:F28)</f>
        <v>0</v>
      </c>
      <c r="G29" s="143">
        <f t="shared" si="5"/>
        <v>0</v>
      </c>
      <c r="H29" s="143">
        <f t="shared" si="5"/>
        <v>0</v>
      </c>
      <c r="I29" s="143">
        <f>SUM(I15:I28)</f>
        <v>0</v>
      </c>
    </row>
    <row r="30" spans="1:9" ht="9.75" customHeight="1" thickTop="1" x14ac:dyDescent="0.25"/>
    <row r="31" spans="1:9" ht="45.75" thickBot="1" x14ac:dyDescent="0.3">
      <c r="A31" s="14" t="s">
        <v>777</v>
      </c>
      <c r="B31" s="14" t="s">
        <v>125</v>
      </c>
      <c r="C31" s="14" t="s">
        <v>126</v>
      </c>
      <c r="D31" s="14" t="str">
        <f>D14</f>
        <v>2025 Proposed Budget Salary &amp; Wages</v>
      </c>
      <c r="E31" s="14" t="s">
        <v>127</v>
      </c>
      <c r="F31" s="14" t="s">
        <v>128</v>
      </c>
      <c r="G31" s="14" t="s">
        <v>129</v>
      </c>
      <c r="H31" s="14" t="s">
        <v>130</v>
      </c>
      <c r="I31" s="14" t="str">
        <f>I14</f>
        <v>2025 Proposed Budget Fringe Benefits</v>
      </c>
    </row>
    <row r="32" spans="1:9" x14ac:dyDescent="0.25">
      <c r="A32" s="13" t="s">
        <v>131</v>
      </c>
      <c r="B32" s="434"/>
      <c r="C32" s="141"/>
      <c r="D32" s="142">
        <f>B32*C32</f>
        <v>0</v>
      </c>
      <c r="E32" s="141"/>
      <c r="F32" s="141"/>
      <c r="G32" s="141"/>
      <c r="H32" s="141"/>
      <c r="I32" s="142">
        <f>SUM(E32:H32)</f>
        <v>0</v>
      </c>
    </row>
    <row r="33" spans="1:9" x14ac:dyDescent="0.25">
      <c r="A33" s="13" t="s">
        <v>132</v>
      </c>
      <c r="B33" s="434"/>
      <c r="C33" s="141"/>
      <c r="D33" s="142">
        <f t="shared" ref="D33:D39" si="6">B33*C33</f>
        <v>0</v>
      </c>
      <c r="E33" s="141"/>
      <c r="F33" s="141"/>
      <c r="G33" s="141"/>
      <c r="H33" s="141"/>
      <c r="I33" s="142">
        <f t="shared" ref="I33:I39" si="7">SUM(E33:H33)</f>
        <v>0</v>
      </c>
    </row>
    <row r="34" spans="1:9" x14ac:dyDescent="0.25">
      <c r="A34" s="13" t="s">
        <v>133</v>
      </c>
      <c r="B34" s="434"/>
      <c r="C34" s="141"/>
      <c r="D34" s="142">
        <f t="shared" si="6"/>
        <v>0</v>
      </c>
      <c r="E34" s="141"/>
      <c r="F34" s="141"/>
      <c r="G34" s="141"/>
      <c r="H34" s="141"/>
      <c r="I34" s="142">
        <f t="shared" si="7"/>
        <v>0</v>
      </c>
    </row>
    <row r="35" spans="1:9" x14ac:dyDescent="0.25">
      <c r="A35" s="13" t="s">
        <v>134</v>
      </c>
      <c r="B35" s="434"/>
      <c r="C35" s="141"/>
      <c r="D35" s="142">
        <f t="shared" si="6"/>
        <v>0</v>
      </c>
      <c r="E35" s="141"/>
      <c r="F35" s="141"/>
      <c r="G35" s="141"/>
      <c r="H35" s="141"/>
      <c r="I35" s="142">
        <f t="shared" si="7"/>
        <v>0</v>
      </c>
    </row>
    <row r="36" spans="1:9" x14ac:dyDescent="0.25">
      <c r="A36" s="13" t="s">
        <v>135</v>
      </c>
      <c r="B36" s="434"/>
      <c r="C36" s="141"/>
      <c r="D36" s="142">
        <f t="shared" si="6"/>
        <v>0</v>
      </c>
      <c r="E36" s="141"/>
      <c r="F36" s="141"/>
      <c r="G36" s="141"/>
      <c r="H36" s="141"/>
      <c r="I36" s="142">
        <f t="shared" si="7"/>
        <v>0</v>
      </c>
    </row>
    <row r="37" spans="1:9" x14ac:dyDescent="0.25">
      <c r="A37" s="13" t="s">
        <v>136</v>
      </c>
      <c r="B37" s="434"/>
      <c r="C37" s="141"/>
      <c r="D37" s="142">
        <f t="shared" si="6"/>
        <v>0</v>
      </c>
      <c r="E37" s="141"/>
      <c r="F37" s="141"/>
      <c r="G37" s="141"/>
      <c r="H37" s="141"/>
      <c r="I37" s="142">
        <f t="shared" si="7"/>
        <v>0</v>
      </c>
    </row>
    <row r="38" spans="1:9" x14ac:dyDescent="0.25">
      <c r="A38" s="13" t="s">
        <v>137</v>
      </c>
      <c r="B38" s="434"/>
      <c r="C38" s="141"/>
      <c r="D38" s="142">
        <f t="shared" si="6"/>
        <v>0</v>
      </c>
      <c r="E38" s="141"/>
      <c r="F38" s="141"/>
      <c r="G38" s="141"/>
      <c r="H38" s="141"/>
      <c r="I38" s="142">
        <f t="shared" si="7"/>
        <v>0</v>
      </c>
    </row>
    <row r="39" spans="1:9" x14ac:dyDescent="0.25">
      <c r="A39" s="13" t="s">
        <v>138</v>
      </c>
      <c r="B39" s="434"/>
      <c r="C39" s="141"/>
      <c r="D39" s="142">
        <f t="shared" si="6"/>
        <v>0</v>
      </c>
      <c r="E39" s="141"/>
      <c r="F39" s="141"/>
      <c r="G39" s="141"/>
      <c r="H39" s="141"/>
      <c r="I39" s="142">
        <f t="shared" si="7"/>
        <v>0</v>
      </c>
    </row>
    <row r="40" spans="1:9" ht="15.75" thickBot="1" x14ac:dyDescent="0.3">
      <c r="A40" t="s">
        <v>146</v>
      </c>
      <c r="B40" s="435">
        <f>B32+B33+B34+B35+B36+B37+B38+B39</f>
        <v>0</v>
      </c>
      <c r="D40" s="143">
        <f>SUM(D32:D39)</f>
        <v>0</v>
      </c>
      <c r="E40" s="143">
        <f>SUM(E32:E39)</f>
        <v>0</v>
      </c>
      <c r="F40" s="143">
        <f t="shared" ref="F40:H40" si="8">SUM(F32:F39)</f>
        <v>0</v>
      </c>
      <c r="G40" s="143">
        <f t="shared" si="8"/>
        <v>0</v>
      </c>
      <c r="H40" s="143">
        <f t="shared" si="8"/>
        <v>0</v>
      </c>
      <c r="I40" s="143">
        <f>SUM(I32:I39)</f>
        <v>0</v>
      </c>
    </row>
    <row r="41" spans="1:9" ht="9.75" customHeight="1" thickTop="1" x14ac:dyDescent="0.25">
      <c r="D41" s="142"/>
      <c r="E41" s="142"/>
      <c r="F41" s="142"/>
      <c r="G41" s="142"/>
      <c r="H41" s="142"/>
      <c r="I41" s="142"/>
    </row>
    <row r="42" spans="1:9" ht="15.75" thickBot="1" x14ac:dyDescent="0.3">
      <c r="A42" t="s">
        <v>147</v>
      </c>
      <c r="B42" s="435">
        <f>B12+B29+B40</f>
        <v>0</v>
      </c>
      <c r="D42" s="145">
        <f>+D40+D29+D12</f>
        <v>0</v>
      </c>
      <c r="E42" s="145">
        <f t="shared" ref="E42:I42" si="9">+E40+E29+E12</f>
        <v>0</v>
      </c>
      <c r="F42" s="145">
        <f t="shared" si="9"/>
        <v>0</v>
      </c>
      <c r="G42" s="145">
        <f t="shared" si="9"/>
        <v>0</v>
      </c>
      <c r="H42" s="145">
        <f t="shared" si="9"/>
        <v>0</v>
      </c>
      <c r="I42" s="145">
        <f t="shared" si="9"/>
        <v>0</v>
      </c>
    </row>
    <row r="43" spans="1:9" ht="15.75" thickTop="1" x14ac:dyDescent="0.25"/>
    <row r="44" spans="1:9" x14ac:dyDescent="0.25">
      <c r="A44" s="763" t="s">
        <v>888</v>
      </c>
      <c r="B44" s="763"/>
      <c r="C44" s="763"/>
      <c r="D44" s="763"/>
      <c r="E44" s="763"/>
      <c r="F44" s="763"/>
      <c r="G44" s="763"/>
      <c r="H44" s="763"/>
      <c r="I44" s="763"/>
    </row>
  </sheetData>
  <sheetProtection algorithmName="SHA-512" hashValue="mSI6G19d0RuREB+Cy/E1bGJpEsDan4FRyE8GqAzkRINjQGC+dq8+OjG2o1Q7pWz1J/p4cH3us3TWtHhIjbN2jg==" saltValue="EEetxi6tVCfN2jJLd/ywxw==" spinCount="100000" sheet="1" objects="1" scenarios="1"/>
  <mergeCells count="3">
    <mergeCell ref="A1:I1"/>
    <mergeCell ref="A2:I2"/>
    <mergeCell ref="A44:I44"/>
  </mergeCells>
  <phoneticPr fontId="58" type="noConversion"/>
  <printOptions horizontalCentered="1"/>
  <pageMargins left="0.25" right="0.25" top="0.25" bottom="0.25" header="0.3" footer="0.3"/>
  <pageSetup scale="77"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9B66-7BF6-4FAD-AC6A-DB4A6B316D96}">
  <sheetPr codeName="Sheet54">
    <tabColor rgb="FF92D050"/>
  </sheetPr>
  <dimension ref="A1:I33"/>
  <sheetViews>
    <sheetView showZeros="0" view="pageLayout" topLeftCell="A4" zoomScaleNormal="100" workbookViewId="0">
      <selection activeCell="I32" sqref="I32"/>
    </sheetView>
  </sheetViews>
  <sheetFormatPr defaultColWidth="9.140625" defaultRowHeight="12.75" x14ac:dyDescent="0.25"/>
  <cols>
    <col min="1" max="1" width="36.7109375" style="71" customWidth="1"/>
    <col min="2" max="2" width="7.42578125" style="71" customWidth="1"/>
    <col min="3" max="7" width="12.7109375" style="71" customWidth="1"/>
    <col min="8" max="8" width="12" style="71" customWidth="1"/>
    <col min="9" max="9" width="11.5703125" style="71" customWidth="1"/>
    <col min="10" max="16384" width="9.140625" style="71"/>
  </cols>
  <sheetData>
    <row r="1" spans="1:9" ht="23.25" x14ac:dyDescent="0.25">
      <c r="A1" s="784" t="s">
        <v>740</v>
      </c>
      <c r="B1" s="784"/>
      <c r="C1" s="784"/>
      <c r="D1" s="784"/>
      <c r="E1" s="784"/>
      <c r="F1" s="784"/>
      <c r="G1" s="784"/>
      <c r="H1" s="784"/>
      <c r="I1" s="784"/>
    </row>
    <row r="2" spans="1:9" ht="10.5" customHeight="1" x14ac:dyDescent="0.25">
      <c r="A2" s="785"/>
      <c r="B2" s="785"/>
      <c r="C2" s="785"/>
      <c r="D2" s="280"/>
      <c r="E2" s="280"/>
      <c r="F2" s="280"/>
      <c r="G2" s="280"/>
      <c r="H2" s="280"/>
      <c r="I2" s="280"/>
    </row>
    <row r="3" spans="1:9" ht="20.100000000000001" customHeight="1" x14ac:dyDescent="0.25">
      <c r="A3" s="786" t="str">
        <f>'KEY INPUTS'!B2</f>
        <v>Weymouth Township FD No. 1</v>
      </c>
      <c r="B3" s="786"/>
      <c r="C3" s="786"/>
      <c r="D3" s="786"/>
      <c r="E3" s="786"/>
      <c r="F3" s="786"/>
      <c r="G3" s="786"/>
      <c r="H3" s="786"/>
      <c r="I3" s="786"/>
    </row>
    <row r="4" spans="1:9" ht="10.5" customHeight="1" x14ac:dyDescent="0.25">
      <c r="A4" s="281"/>
      <c r="B4" s="281"/>
      <c r="C4" s="281"/>
      <c r="D4" s="280"/>
      <c r="E4" s="280"/>
      <c r="F4" s="280"/>
      <c r="G4" s="280"/>
      <c r="H4" s="280"/>
      <c r="I4" s="280"/>
    </row>
    <row r="5" spans="1:9" ht="15.75" customHeight="1" x14ac:dyDescent="0.25">
      <c r="A5" s="787" t="str">
        <f>"FISCAL YEAR: January 1, "&amp;'KEY INPUTS'!B1&amp;" to December 31, "&amp;'KEY INPUTS'!B1&amp;""</f>
        <v>FISCAL YEAR: January 1, 2025 to December 31, 2025</v>
      </c>
      <c r="B5" s="787"/>
      <c r="C5" s="787"/>
      <c r="D5" s="787"/>
      <c r="E5" s="787"/>
      <c r="F5" s="787"/>
      <c r="G5" s="787"/>
      <c r="H5" s="787"/>
      <c r="I5" s="787"/>
    </row>
    <row r="6" spans="1:9" ht="10.5" customHeight="1" x14ac:dyDescent="0.25">
      <c r="A6" s="282"/>
      <c r="B6" s="282"/>
      <c r="C6" s="282"/>
      <c r="D6" s="280"/>
      <c r="E6" s="280"/>
      <c r="F6" s="280"/>
      <c r="G6" s="280"/>
      <c r="H6" s="280"/>
      <c r="I6" s="280"/>
    </row>
    <row r="7" spans="1:9" ht="15.75" customHeight="1" x14ac:dyDescent="0.25">
      <c r="A7" s="790" t="s">
        <v>771</v>
      </c>
      <c r="B7" s="790"/>
      <c r="C7" s="790"/>
      <c r="D7" s="790"/>
      <c r="E7" s="790"/>
      <c r="F7" s="790"/>
      <c r="G7" s="790"/>
      <c r="H7" s="790"/>
      <c r="I7" s="790"/>
    </row>
    <row r="8" spans="1:9" ht="10.5" customHeight="1" thickBot="1" x14ac:dyDescent="0.3">
      <c r="A8" s="283"/>
      <c r="B8" s="280"/>
      <c r="C8" s="280"/>
      <c r="D8" s="280"/>
      <c r="E8" s="280"/>
      <c r="F8" s="280"/>
      <c r="G8" s="280"/>
      <c r="H8" s="280"/>
      <c r="I8" s="280"/>
    </row>
    <row r="9" spans="1:9" ht="51.75" thickBot="1" x14ac:dyDescent="0.3">
      <c r="A9" s="319" t="s">
        <v>866</v>
      </c>
      <c r="B9" s="320" t="s">
        <v>125</v>
      </c>
      <c r="C9" s="320" t="s">
        <v>126</v>
      </c>
      <c r="D9" s="320" t="s">
        <v>741</v>
      </c>
      <c r="E9" s="320" t="s">
        <v>127</v>
      </c>
      <c r="F9" s="321" t="s">
        <v>128</v>
      </c>
      <c r="G9" s="320" t="s">
        <v>129</v>
      </c>
      <c r="H9" s="320" t="s">
        <v>130</v>
      </c>
      <c r="I9" s="322" t="s">
        <v>742</v>
      </c>
    </row>
    <row r="10" spans="1:9" ht="14.1" customHeight="1" x14ac:dyDescent="0.25">
      <c r="A10" s="284"/>
      <c r="B10" s="296"/>
      <c r="C10" s="297"/>
      <c r="D10" s="298">
        <f>B10*C10</f>
        <v>0</v>
      </c>
      <c r="E10" s="297"/>
      <c r="F10" s="299"/>
      <c r="G10" s="300"/>
      <c r="H10" s="300"/>
      <c r="I10" s="301">
        <f>E10+F10+G10+H10</f>
        <v>0</v>
      </c>
    </row>
    <row r="11" spans="1:9" ht="14.1" customHeight="1" x14ac:dyDescent="0.25">
      <c r="A11" s="285"/>
      <c r="B11" s="302"/>
      <c r="C11" s="303"/>
      <c r="D11" s="304">
        <f t="shared" ref="D11:D29" si="0">B11*C11</f>
        <v>0</v>
      </c>
      <c r="E11" s="305"/>
      <c r="F11" s="306"/>
      <c r="G11" s="305"/>
      <c r="H11" s="305"/>
      <c r="I11" s="307">
        <f t="shared" ref="I11:I29" si="1">E11+F11+G11+H11</f>
        <v>0</v>
      </c>
    </row>
    <row r="12" spans="1:9" ht="14.1" customHeight="1" x14ac:dyDescent="0.25">
      <c r="A12" s="308"/>
      <c r="B12" s="302"/>
      <c r="C12" s="303"/>
      <c r="D12" s="309">
        <f t="shared" si="0"/>
        <v>0</v>
      </c>
      <c r="E12" s="305"/>
      <c r="F12" s="306"/>
      <c r="G12" s="305"/>
      <c r="H12" s="305"/>
      <c r="I12" s="307">
        <f t="shared" si="1"/>
        <v>0</v>
      </c>
    </row>
    <row r="13" spans="1:9" x14ac:dyDescent="0.25">
      <c r="A13" s="285"/>
      <c r="B13" s="302"/>
      <c r="C13" s="303"/>
      <c r="D13" s="310">
        <f>B13*C13</f>
        <v>0</v>
      </c>
      <c r="E13" s="305"/>
      <c r="F13" s="306"/>
      <c r="G13" s="305"/>
      <c r="H13" s="305"/>
      <c r="I13" s="307">
        <f t="shared" si="1"/>
        <v>0</v>
      </c>
    </row>
    <row r="14" spans="1:9" x14ac:dyDescent="0.25">
      <c r="A14" s="285"/>
      <c r="B14" s="302"/>
      <c r="C14" s="303"/>
      <c r="D14" s="304">
        <f t="shared" si="0"/>
        <v>0</v>
      </c>
      <c r="E14" s="305"/>
      <c r="F14" s="306"/>
      <c r="G14" s="305"/>
      <c r="H14" s="305"/>
      <c r="I14" s="307">
        <f t="shared" si="1"/>
        <v>0</v>
      </c>
    </row>
    <row r="15" spans="1:9" x14ac:dyDescent="0.25">
      <c r="A15" s="285"/>
      <c r="B15" s="302"/>
      <c r="C15" s="303"/>
      <c r="D15" s="304">
        <f t="shared" si="0"/>
        <v>0</v>
      </c>
      <c r="E15" s="305"/>
      <c r="F15" s="306"/>
      <c r="G15" s="305"/>
      <c r="H15" s="305"/>
      <c r="I15" s="307">
        <f t="shared" si="1"/>
        <v>0</v>
      </c>
    </row>
    <row r="16" spans="1:9" x14ac:dyDescent="0.25">
      <c r="A16" s="285"/>
      <c r="B16" s="302"/>
      <c r="C16" s="303"/>
      <c r="D16" s="304">
        <f t="shared" si="0"/>
        <v>0</v>
      </c>
      <c r="E16" s="305"/>
      <c r="F16" s="306"/>
      <c r="G16" s="305"/>
      <c r="H16" s="305"/>
      <c r="I16" s="307">
        <f t="shared" si="1"/>
        <v>0</v>
      </c>
    </row>
    <row r="17" spans="1:9" x14ac:dyDescent="0.25">
      <c r="A17" s="285"/>
      <c r="B17" s="302"/>
      <c r="C17" s="303"/>
      <c r="D17" s="304">
        <f t="shared" si="0"/>
        <v>0</v>
      </c>
      <c r="E17" s="305"/>
      <c r="F17" s="306"/>
      <c r="G17" s="305"/>
      <c r="H17" s="305"/>
      <c r="I17" s="307">
        <f t="shared" si="1"/>
        <v>0</v>
      </c>
    </row>
    <row r="18" spans="1:9" x14ac:dyDescent="0.25">
      <c r="A18" s="285"/>
      <c r="B18" s="302"/>
      <c r="C18" s="303"/>
      <c r="D18" s="304">
        <f t="shared" si="0"/>
        <v>0</v>
      </c>
      <c r="E18" s="305"/>
      <c r="F18" s="306"/>
      <c r="G18" s="305"/>
      <c r="H18" s="305"/>
      <c r="I18" s="307">
        <f t="shared" si="1"/>
        <v>0</v>
      </c>
    </row>
    <row r="19" spans="1:9" x14ac:dyDescent="0.25">
      <c r="A19" s="285"/>
      <c r="B19" s="302"/>
      <c r="C19" s="303"/>
      <c r="D19" s="304">
        <f t="shared" si="0"/>
        <v>0</v>
      </c>
      <c r="E19" s="305"/>
      <c r="F19" s="306"/>
      <c r="G19" s="305"/>
      <c r="H19" s="305"/>
      <c r="I19" s="307">
        <f t="shared" si="1"/>
        <v>0</v>
      </c>
    </row>
    <row r="20" spans="1:9" x14ac:dyDescent="0.25">
      <c r="A20" s="285"/>
      <c r="B20" s="302"/>
      <c r="C20" s="303"/>
      <c r="D20" s="304">
        <f t="shared" si="0"/>
        <v>0</v>
      </c>
      <c r="E20" s="305"/>
      <c r="F20" s="306"/>
      <c r="G20" s="305"/>
      <c r="H20" s="305"/>
      <c r="I20" s="307">
        <f t="shared" si="1"/>
        <v>0</v>
      </c>
    </row>
    <row r="21" spans="1:9" x14ac:dyDescent="0.25">
      <c r="A21" s="285"/>
      <c r="B21" s="302"/>
      <c r="C21" s="303"/>
      <c r="D21" s="304">
        <f t="shared" si="0"/>
        <v>0</v>
      </c>
      <c r="E21" s="305"/>
      <c r="F21" s="306"/>
      <c r="G21" s="305"/>
      <c r="H21" s="305"/>
      <c r="I21" s="307">
        <f t="shared" si="1"/>
        <v>0</v>
      </c>
    </row>
    <row r="22" spans="1:9" x14ac:dyDescent="0.25">
      <c r="A22" s="285"/>
      <c r="B22" s="302"/>
      <c r="C22" s="303"/>
      <c r="D22" s="304">
        <f t="shared" si="0"/>
        <v>0</v>
      </c>
      <c r="E22" s="305"/>
      <c r="F22" s="306"/>
      <c r="G22" s="305"/>
      <c r="H22" s="305"/>
      <c r="I22" s="307">
        <f t="shared" si="1"/>
        <v>0</v>
      </c>
    </row>
    <row r="23" spans="1:9" x14ac:dyDescent="0.25">
      <c r="A23" s="285"/>
      <c r="B23" s="302"/>
      <c r="C23" s="303"/>
      <c r="D23" s="304">
        <f t="shared" si="0"/>
        <v>0</v>
      </c>
      <c r="E23" s="305"/>
      <c r="F23" s="306"/>
      <c r="G23" s="305"/>
      <c r="H23" s="305"/>
      <c r="I23" s="307">
        <f t="shared" si="1"/>
        <v>0</v>
      </c>
    </row>
    <row r="24" spans="1:9" x14ac:dyDescent="0.25">
      <c r="A24" s="285"/>
      <c r="B24" s="302"/>
      <c r="C24" s="303"/>
      <c r="D24" s="304">
        <f t="shared" si="0"/>
        <v>0</v>
      </c>
      <c r="E24" s="305"/>
      <c r="F24" s="306"/>
      <c r="G24" s="305"/>
      <c r="H24" s="305"/>
      <c r="I24" s="307">
        <f t="shared" si="1"/>
        <v>0</v>
      </c>
    </row>
    <row r="25" spans="1:9" x14ac:dyDescent="0.25">
      <c r="A25" s="285"/>
      <c r="B25" s="302"/>
      <c r="C25" s="303"/>
      <c r="D25" s="304">
        <f t="shared" si="0"/>
        <v>0</v>
      </c>
      <c r="E25" s="305"/>
      <c r="F25" s="306"/>
      <c r="G25" s="305"/>
      <c r="H25" s="305"/>
      <c r="I25" s="307">
        <f t="shared" si="1"/>
        <v>0</v>
      </c>
    </row>
    <row r="26" spans="1:9" x14ac:dyDescent="0.25">
      <c r="A26" s="285"/>
      <c r="B26" s="302"/>
      <c r="C26" s="303"/>
      <c r="D26" s="304">
        <f t="shared" si="0"/>
        <v>0</v>
      </c>
      <c r="E26" s="305"/>
      <c r="F26" s="306"/>
      <c r="G26" s="305"/>
      <c r="H26" s="305"/>
      <c r="I26" s="307">
        <f t="shared" si="1"/>
        <v>0</v>
      </c>
    </row>
    <row r="27" spans="1:9" x14ac:dyDescent="0.25">
      <c r="A27" s="285"/>
      <c r="B27" s="302"/>
      <c r="C27" s="303"/>
      <c r="D27" s="304">
        <f t="shared" si="0"/>
        <v>0</v>
      </c>
      <c r="E27" s="305"/>
      <c r="F27" s="306"/>
      <c r="G27" s="305"/>
      <c r="H27" s="305"/>
      <c r="I27" s="307">
        <f t="shared" si="1"/>
        <v>0</v>
      </c>
    </row>
    <row r="28" spans="1:9" x14ac:dyDescent="0.25">
      <c r="A28" s="285"/>
      <c r="B28" s="302"/>
      <c r="C28" s="303"/>
      <c r="D28" s="304">
        <f t="shared" si="0"/>
        <v>0</v>
      </c>
      <c r="E28" s="305"/>
      <c r="F28" s="306"/>
      <c r="G28" s="305"/>
      <c r="H28" s="305"/>
      <c r="I28" s="307">
        <f t="shared" si="1"/>
        <v>0</v>
      </c>
    </row>
    <row r="29" spans="1:9" ht="13.5" thickBot="1" x14ac:dyDescent="0.3">
      <c r="A29" s="286"/>
      <c r="B29" s="311"/>
      <c r="C29" s="312"/>
      <c r="D29" s="313">
        <f t="shared" si="0"/>
        <v>0</v>
      </c>
      <c r="E29" s="312"/>
      <c r="F29" s="314"/>
      <c r="G29" s="312"/>
      <c r="H29" s="312"/>
      <c r="I29" s="315">
        <f t="shared" si="1"/>
        <v>0</v>
      </c>
    </row>
    <row r="30" spans="1:9" x14ac:dyDescent="0.25">
      <c r="A30" s="280"/>
      <c r="B30" s="280"/>
      <c r="C30" s="280"/>
      <c r="D30" s="280"/>
      <c r="E30" s="280"/>
      <c r="F30" s="280"/>
      <c r="G30" s="280"/>
      <c r="H30" s="280"/>
      <c r="I30" s="280"/>
    </row>
    <row r="31" spans="1:9" ht="13.5" thickBot="1" x14ac:dyDescent="0.3">
      <c r="A31" s="316" t="s">
        <v>743</v>
      </c>
      <c r="B31" s="317">
        <f t="shared" ref="B31:I31" si="2">SUM(B10:B29)</f>
        <v>0</v>
      </c>
      <c r="C31" s="318">
        <f t="shared" si="2"/>
        <v>0</v>
      </c>
      <c r="D31" s="318">
        <f t="shared" si="2"/>
        <v>0</v>
      </c>
      <c r="E31" s="318">
        <f t="shared" si="2"/>
        <v>0</v>
      </c>
      <c r="F31" s="318">
        <f t="shared" si="2"/>
        <v>0</v>
      </c>
      <c r="G31" s="318">
        <f t="shared" si="2"/>
        <v>0</v>
      </c>
      <c r="H31" s="318">
        <f t="shared" si="2"/>
        <v>0</v>
      </c>
      <c r="I31" s="318">
        <f t="shared" si="2"/>
        <v>0</v>
      </c>
    </row>
    <row r="32" spans="1:9" ht="13.5" thickTop="1" x14ac:dyDescent="0.25"/>
    <row r="33" spans="1:9" ht="15" x14ac:dyDescent="0.25">
      <c r="A33" s="791" t="s">
        <v>887</v>
      </c>
      <c r="B33" s="791"/>
      <c r="C33" s="791"/>
      <c r="D33" s="791"/>
      <c r="E33" s="791"/>
      <c r="F33" s="791"/>
      <c r="G33" s="791"/>
      <c r="H33" s="791"/>
      <c r="I33" s="791"/>
    </row>
  </sheetData>
  <sheetProtection algorithmName="SHA-512" hashValue="pERAg8EWAZ26D3+2I7sSB6d0LkMITVA9UX+PEjPs4jSMAaYsSR2p3nuBMwNJidw/wn2sV//Yc/Q5pAKHb8cFjg==" saltValue="m2CBBfmLLvNa58X751bYJQ==" spinCount="100000" sheet="1" objects="1" scenarios="1"/>
  <mergeCells count="6">
    <mergeCell ref="A33:I33"/>
    <mergeCell ref="A1:I1"/>
    <mergeCell ref="A3:I3"/>
    <mergeCell ref="A5:I5"/>
    <mergeCell ref="A7:I7"/>
    <mergeCell ref="A2:C2"/>
  </mergeCells>
  <printOptions horizontalCentered="1"/>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BB88-B186-4D8A-A0F3-60146470580B}">
  <sheetPr codeName="Sheet3">
    <tabColor rgb="FFC00000"/>
  </sheetPr>
  <dimension ref="A1:I35"/>
  <sheetViews>
    <sheetView showZeros="0" tabSelected="1" topLeftCell="A17" zoomScaleNormal="100" workbookViewId="0">
      <selection activeCell="B30" sqref="B30:B35"/>
    </sheetView>
  </sheetViews>
  <sheetFormatPr defaultColWidth="9.140625" defaultRowHeight="15" x14ac:dyDescent="0.25"/>
  <cols>
    <col min="1" max="1" width="18.5703125" bestFit="1" customWidth="1"/>
    <col min="2" max="2" width="50.85546875" customWidth="1"/>
    <col min="3" max="3" width="21.140625" customWidth="1"/>
    <col min="4" max="4" width="36.28515625" customWidth="1"/>
  </cols>
  <sheetData>
    <row r="1" spans="1:9" ht="15.75" x14ac:dyDescent="0.25">
      <c r="A1" s="491" t="s">
        <v>474</v>
      </c>
      <c r="B1" s="494">
        <v>2025</v>
      </c>
      <c r="C1" s="580" t="s">
        <v>678</v>
      </c>
      <c r="D1" s="581"/>
      <c r="F1" s="575" t="s">
        <v>1004</v>
      </c>
      <c r="G1" s="576"/>
      <c r="H1" s="576"/>
      <c r="I1" s="577"/>
    </row>
    <row r="2" spans="1:9" x14ac:dyDescent="0.25">
      <c r="A2" s="482" t="s">
        <v>675</v>
      </c>
      <c r="B2" s="492" t="s">
        <v>501</v>
      </c>
      <c r="C2" s="487" t="s">
        <v>696</v>
      </c>
      <c r="D2" s="483" t="s">
        <v>1008</v>
      </c>
    </row>
    <row r="3" spans="1:9" x14ac:dyDescent="0.25">
      <c r="A3" s="482" t="s">
        <v>475</v>
      </c>
      <c r="B3" s="493" t="str">
        <f>VLOOKUP($B$2,Info!B1:C173,2,FALSE)</f>
        <v>Atlantic</v>
      </c>
      <c r="C3" s="487" t="s">
        <v>676</v>
      </c>
      <c r="D3" s="483" t="s">
        <v>1009</v>
      </c>
    </row>
    <row r="4" spans="1:9" x14ac:dyDescent="0.25">
      <c r="A4" s="482" t="s">
        <v>476</v>
      </c>
      <c r="B4" s="483" t="s">
        <v>1005</v>
      </c>
      <c r="C4" s="487" t="s">
        <v>677</v>
      </c>
      <c r="D4" s="483" t="s">
        <v>1010</v>
      </c>
    </row>
    <row r="5" spans="1:9" x14ac:dyDescent="0.25">
      <c r="A5" s="482" t="s">
        <v>922</v>
      </c>
      <c r="B5" s="483" t="s">
        <v>1006</v>
      </c>
      <c r="C5" s="487" t="s">
        <v>283</v>
      </c>
      <c r="D5" s="483" t="s">
        <v>1011</v>
      </c>
    </row>
    <row r="6" spans="1:9" ht="15.75" thickBot="1" x14ac:dyDescent="0.3">
      <c r="A6" s="404"/>
      <c r="B6" s="176"/>
      <c r="C6" s="488" t="s">
        <v>283</v>
      </c>
      <c r="D6" s="486" t="s">
        <v>1012</v>
      </c>
    </row>
    <row r="7" spans="1:9" ht="15.75" thickBot="1" x14ac:dyDescent="0.3">
      <c r="C7" s="177"/>
    </row>
    <row r="8" spans="1:9" ht="16.5" thickBot="1" x14ac:dyDescent="0.3">
      <c r="A8" s="582" t="s">
        <v>695</v>
      </c>
      <c r="B8" s="583"/>
      <c r="C8" s="584" t="s">
        <v>931</v>
      </c>
      <c r="D8" s="585"/>
      <c r="E8" s="95" t="s">
        <v>937</v>
      </c>
    </row>
    <row r="9" spans="1:9" x14ac:dyDescent="0.25">
      <c r="A9" s="578" t="s">
        <v>483</v>
      </c>
      <c r="B9" s="579"/>
      <c r="C9" s="489" t="s">
        <v>932</v>
      </c>
      <c r="D9" s="490" t="s">
        <v>969</v>
      </c>
      <c r="E9" s="9" t="s">
        <v>938</v>
      </c>
    </row>
    <row r="10" spans="1:9" x14ac:dyDescent="0.25">
      <c r="A10" s="482" t="s">
        <v>478</v>
      </c>
      <c r="B10" s="483" t="s">
        <v>1007</v>
      </c>
      <c r="C10" s="487" t="s">
        <v>933</v>
      </c>
      <c r="D10" s="483" t="s">
        <v>969</v>
      </c>
      <c r="E10" s="9" t="s">
        <v>939</v>
      </c>
    </row>
    <row r="11" spans="1:9" x14ac:dyDescent="0.25">
      <c r="A11" s="482" t="s">
        <v>281</v>
      </c>
      <c r="B11" s="483" t="s">
        <v>1013</v>
      </c>
      <c r="C11" s="487" t="s">
        <v>936</v>
      </c>
      <c r="D11" s="483" t="s">
        <v>969</v>
      </c>
      <c r="E11" s="9" t="s">
        <v>941</v>
      </c>
    </row>
    <row r="12" spans="1:9" ht="15.75" thickBot="1" x14ac:dyDescent="0.3">
      <c r="A12" s="482" t="s">
        <v>479</v>
      </c>
      <c r="B12" s="483" t="s">
        <v>1014</v>
      </c>
      <c r="C12" s="488" t="s">
        <v>935</v>
      </c>
      <c r="D12" s="486" t="s">
        <v>969</v>
      </c>
      <c r="E12" s="9" t="s">
        <v>940</v>
      </c>
    </row>
    <row r="13" spans="1:9" x14ac:dyDescent="0.25">
      <c r="A13" s="482" t="s">
        <v>480</v>
      </c>
      <c r="B13" s="483" t="s">
        <v>1015</v>
      </c>
    </row>
    <row r="14" spans="1:9" x14ac:dyDescent="0.25">
      <c r="A14" s="482" t="s">
        <v>481</v>
      </c>
      <c r="B14" s="483" t="s">
        <v>1016</v>
      </c>
    </row>
    <row r="15" spans="1:9" ht="15.75" thickBot="1" x14ac:dyDescent="0.3">
      <c r="A15" s="484" t="s">
        <v>482</v>
      </c>
      <c r="B15" s="485" t="s">
        <v>1017</v>
      </c>
    </row>
    <row r="16" spans="1:9" ht="15.75" thickBot="1" x14ac:dyDescent="0.3"/>
    <row r="17" spans="1:4" x14ac:dyDescent="0.25">
      <c r="A17" s="578" t="s">
        <v>484</v>
      </c>
      <c r="B17" s="579"/>
    </row>
    <row r="18" spans="1:4" x14ac:dyDescent="0.25">
      <c r="A18" s="482" t="s">
        <v>485</v>
      </c>
      <c r="B18" s="483" t="s">
        <v>1009</v>
      </c>
    </row>
    <row r="19" spans="1:4" x14ac:dyDescent="0.25">
      <c r="A19" s="482" t="s">
        <v>281</v>
      </c>
      <c r="B19" s="483" t="s">
        <v>676</v>
      </c>
    </row>
    <row r="20" spans="1:4" x14ac:dyDescent="0.25">
      <c r="A20" s="482" t="s">
        <v>479</v>
      </c>
      <c r="B20" s="483" t="s">
        <v>1018</v>
      </c>
    </row>
    <row r="21" spans="1:4" x14ac:dyDescent="0.25">
      <c r="A21" s="482" t="s">
        <v>486</v>
      </c>
      <c r="B21" s="483" t="s">
        <v>1019</v>
      </c>
    </row>
    <row r="22" spans="1:4" x14ac:dyDescent="0.25">
      <c r="A22" s="482" t="s">
        <v>487</v>
      </c>
      <c r="B22" s="483" t="s">
        <v>1020</v>
      </c>
    </row>
    <row r="23" spans="1:4" ht="15.75" thickBot="1" x14ac:dyDescent="0.3">
      <c r="A23" s="484" t="s">
        <v>482</v>
      </c>
      <c r="B23" s="485" t="s">
        <v>1021</v>
      </c>
    </row>
    <row r="24" spans="1:4" ht="15.75" thickBot="1" x14ac:dyDescent="0.3">
      <c r="D24" s="38"/>
    </row>
    <row r="25" spans="1:4" x14ac:dyDescent="0.25">
      <c r="A25" s="578" t="s">
        <v>488</v>
      </c>
      <c r="B25" s="579"/>
    </row>
    <row r="26" spans="1:4" x14ac:dyDescent="0.25">
      <c r="A26" s="482" t="s">
        <v>485</v>
      </c>
      <c r="B26" s="483" t="s">
        <v>1010</v>
      </c>
    </row>
    <row r="27" spans="1:4" ht="15.75" thickBot="1" x14ac:dyDescent="0.3">
      <c r="A27" s="484" t="s">
        <v>281</v>
      </c>
      <c r="B27" s="486" t="s">
        <v>677</v>
      </c>
    </row>
    <row r="28" spans="1:4" ht="15.75" thickBot="1" x14ac:dyDescent="0.3">
      <c r="D28" s="38"/>
    </row>
    <row r="29" spans="1:4" x14ac:dyDescent="0.25">
      <c r="A29" s="578" t="s">
        <v>489</v>
      </c>
      <c r="B29" s="579"/>
    </row>
    <row r="30" spans="1:4" x14ac:dyDescent="0.25">
      <c r="A30" s="482" t="s">
        <v>485</v>
      </c>
      <c r="B30" s="483" t="s">
        <v>1009</v>
      </c>
    </row>
    <row r="31" spans="1:4" x14ac:dyDescent="0.25">
      <c r="A31" s="482" t="s">
        <v>281</v>
      </c>
      <c r="B31" s="483" t="s">
        <v>676</v>
      </c>
    </row>
    <row r="32" spans="1:4" x14ac:dyDescent="0.25">
      <c r="A32" s="482" t="s">
        <v>479</v>
      </c>
      <c r="B32" s="483" t="s">
        <v>1018</v>
      </c>
    </row>
    <row r="33" spans="1:2" x14ac:dyDescent="0.25">
      <c r="A33" s="482" t="s">
        <v>480</v>
      </c>
      <c r="B33" s="483" t="s">
        <v>1019</v>
      </c>
    </row>
    <row r="34" spans="1:2" x14ac:dyDescent="0.25">
      <c r="A34" s="482" t="s">
        <v>481</v>
      </c>
      <c r="B34" s="483" t="s">
        <v>1020</v>
      </c>
    </row>
    <row r="35" spans="1:2" ht="15.75" thickBot="1" x14ac:dyDescent="0.3">
      <c r="A35" s="484" t="s">
        <v>482</v>
      </c>
      <c r="B35" s="485" t="s">
        <v>1021</v>
      </c>
    </row>
  </sheetData>
  <sheetProtection algorithmName="SHA-512" hashValue="9O5YY7PNWQcTtnzj81lzeZbnO4b/YZ1QViXGgpBcN9yece8mhCgCy/9ytQH4kCKs+REb5dtF7KpbThdZFVaghw==" saltValue="4rFgJppC3pbTvC2fzdAvFQ==" spinCount="100000" sheet="1" objects="1" scenarios="1"/>
  <mergeCells count="8">
    <mergeCell ref="F1:I1"/>
    <mergeCell ref="A9:B9"/>
    <mergeCell ref="A17:B17"/>
    <mergeCell ref="A25:B25"/>
    <mergeCell ref="A29:B29"/>
    <mergeCell ref="C1:D1"/>
    <mergeCell ref="A8:B8"/>
    <mergeCell ref="C8:D8"/>
  </mergeCells>
  <dataValidations count="2">
    <dataValidation type="list" allowBlank="1" showInputMessage="1" showErrorMessage="1" sqref="B5" xr:uid="{2A0FD281-5388-4110-A110-433AE35DB622}">
      <formula1>"February, November"</formula1>
    </dataValidation>
    <dataValidation type="list" allowBlank="1" showInputMessage="1" showErrorMessage="1" sqref="D9:D10 D11 D12" xr:uid="{E6A96338-31D7-4F69-86CA-FD89FEA9BDD0}">
      <formula1>"Standard, Expanded"</formula1>
    </dataValidation>
  </dataValidations>
  <pageMargins left="0.7" right="0.7" top="0.75" bottom="0.75" header="0.3" footer="0.3"/>
  <pageSetup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558A547-68A8-49D9-83A3-A75BA987B0F8}">
          <x14:formula1>
            <xm:f>Info!$B$2:$B$173</xm:f>
          </x14:formula1>
          <xm:sqref>B2</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C13B-38A1-4753-9323-10298E0A6580}">
  <sheetPr codeName="Sheet43">
    <tabColor rgb="FF92D050"/>
  </sheetPr>
  <dimension ref="A1:H32"/>
  <sheetViews>
    <sheetView view="pageLayout" topLeftCell="A5" zoomScaleNormal="100" workbookViewId="0">
      <selection activeCell="G27" sqref="G27"/>
    </sheetView>
  </sheetViews>
  <sheetFormatPr defaultRowHeight="15" x14ac:dyDescent="0.25"/>
  <cols>
    <col min="1" max="1" width="1.7109375" customWidth="1"/>
    <col min="2" max="2" width="48.85546875" customWidth="1"/>
    <col min="3" max="3" width="17.42578125" customWidth="1"/>
    <col min="4" max="4" width="15.140625" customWidth="1"/>
    <col min="5" max="5" width="13.7109375" bestFit="1" customWidth="1"/>
    <col min="6" max="6" width="11.42578125" customWidth="1"/>
    <col min="7" max="8" width="16.28515625" bestFit="1" customWidth="1"/>
  </cols>
  <sheetData>
    <row r="1" spans="1:8" x14ac:dyDescent="0.25">
      <c r="A1" s="768" t="str">
        <f>'Information Sheet'!B9</f>
        <v>Weymouth Township FD No. 1</v>
      </c>
      <c r="B1" s="768"/>
      <c r="C1" s="768"/>
      <c r="D1" s="768"/>
      <c r="E1" s="768"/>
      <c r="F1" s="768"/>
      <c r="G1" s="768"/>
      <c r="H1" s="768"/>
    </row>
    <row r="2" spans="1:8" x14ac:dyDescent="0.25">
      <c r="A2" s="768" t="str">
        <f>'Information Sheet'!B10</f>
        <v>Atlantic</v>
      </c>
      <c r="B2" s="768"/>
      <c r="C2" s="768"/>
      <c r="D2" s="768"/>
      <c r="E2" s="768"/>
      <c r="F2" s="768"/>
      <c r="G2" s="768"/>
      <c r="H2" s="768"/>
    </row>
    <row r="3" spans="1:8" x14ac:dyDescent="0.25">
      <c r="D3" s="36"/>
      <c r="E3" s="37"/>
      <c r="F3" s="38"/>
      <c r="G3" s="37"/>
      <c r="H3" s="37"/>
    </row>
    <row r="4" spans="1:8" x14ac:dyDescent="0.25">
      <c r="A4" s="3" t="s">
        <v>187</v>
      </c>
      <c r="B4" s="3"/>
      <c r="C4" s="3"/>
      <c r="D4" s="36"/>
      <c r="E4" s="37"/>
      <c r="F4" s="38"/>
      <c r="G4" s="37"/>
      <c r="H4" s="37"/>
    </row>
    <row r="5" spans="1:8" ht="60.75" thickBot="1" x14ac:dyDescent="0.3">
      <c r="B5" s="39" t="s">
        <v>188</v>
      </c>
      <c r="C5" s="39" t="s">
        <v>189</v>
      </c>
      <c r="D5" s="40" t="s">
        <v>190</v>
      </c>
      <c r="E5" s="40" t="s">
        <v>191</v>
      </c>
      <c r="F5" s="40" t="s">
        <v>192</v>
      </c>
      <c r="G5" s="40" t="str">
        <f>""&amp;'Information Sheet'!B11&amp;" Proposed Budget"</f>
        <v>2025 Proposed Budget</v>
      </c>
      <c r="H5" s="40" t="str">
        <f>""&amp;'Information Sheet'!B11-1&amp;" Adopted Budget"</f>
        <v>2024 Adopted Budget</v>
      </c>
    </row>
    <row r="6" spans="1:8" x14ac:dyDescent="0.25">
      <c r="B6" s="27" t="s">
        <v>193</v>
      </c>
      <c r="C6" s="27"/>
      <c r="D6" s="28"/>
      <c r="E6" s="28"/>
      <c r="F6" s="29"/>
      <c r="G6" s="146"/>
      <c r="H6" s="146"/>
    </row>
    <row r="7" spans="1:8" x14ac:dyDescent="0.25">
      <c r="B7" s="27" t="s">
        <v>194</v>
      </c>
      <c r="C7" s="27"/>
      <c r="D7" s="28"/>
      <c r="E7" s="28"/>
      <c r="F7" s="29"/>
      <c r="G7" s="146"/>
      <c r="H7" s="146"/>
    </row>
    <row r="8" spans="1:8" x14ac:dyDescent="0.25">
      <c r="B8" s="27" t="s">
        <v>195</v>
      </c>
      <c r="C8" s="27"/>
      <c r="D8" s="28"/>
      <c r="E8" s="28"/>
      <c r="F8" s="29"/>
      <c r="G8" s="146"/>
      <c r="H8" s="146"/>
    </row>
    <row r="9" spans="1:8" x14ac:dyDescent="0.25">
      <c r="B9" s="27" t="s">
        <v>196</v>
      </c>
      <c r="C9" s="27"/>
      <c r="D9" s="28"/>
      <c r="E9" s="28"/>
      <c r="F9" s="29"/>
      <c r="G9" s="146"/>
      <c r="H9" s="146"/>
    </row>
    <row r="10" spans="1:8" x14ac:dyDescent="0.25">
      <c r="B10" s="27" t="s">
        <v>197</v>
      </c>
      <c r="C10" s="27"/>
      <c r="D10" s="28"/>
      <c r="E10" s="28"/>
      <c r="F10" s="29"/>
      <c r="G10" s="146"/>
      <c r="H10" s="146"/>
    </row>
    <row r="11" spans="1:8" x14ac:dyDescent="0.25">
      <c r="B11" s="27" t="s">
        <v>198</v>
      </c>
      <c r="C11" s="27"/>
      <c r="D11" s="28"/>
      <c r="E11" s="28"/>
      <c r="F11" s="29"/>
      <c r="G11" s="146"/>
      <c r="H11" s="146"/>
    </row>
    <row r="12" spans="1:8" x14ac:dyDescent="0.25">
      <c r="B12" s="27" t="s">
        <v>199</v>
      </c>
      <c r="C12" s="27"/>
      <c r="D12" s="28"/>
      <c r="E12" s="28"/>
      <c r="F12" s="29"/>
      <c r="G12" s="146"/>
      <c r="H12" s="146"/>
    </row>
    <row r="13" spans="1:8" x14ac:dyDescent="0.25">
      <c r="B13" s="15" t="s">
        <v>200</v>
      </c>
      <c r="C13" s="15"/>
      <c r="D13" s="31"/>
      <c r="E13" s="31"/>
      <c r="F13" s="31"/>
      <c r="G13" s="147">
        <f>SUM(G6:G12)</f>
        <v>0</v>
      </c>
      <c r="H13" s="147">
        <f>SUM(H6:H12)</f>
        <v>0</v>
      </c>
    </row>
    <row r="14" spans="1:8" x14ac:dyDescent="0.25">
      <c r="B14" s="15"/>
      <c r="C14" s="15"/>
      <c r="D14" s="31"/>
      <c r="E14" s="31"/>
      <c r="F14" s="31"/>
      <c r="G14" s="31"/>
      <c r="H14" s="31"/>
    </row>
    <row r="15" spans="1:8" x14ac:dyDescent="0.25">
      <c r="A15" s="3" t="s">
        <v>201</v>
      </c>
      <c r="D15" s="6"/>
      <c r="E15" s="6"/>
      <c r="F15" s="6"/>
      <c r="G15" s="6"/>
      <c r="H15" s="6"/>
    </row>
    <row r="16" spans="1:8" ht="45.75" thickBot="1" x14ac:dyDescent="0.3">
      <c r="A16" s="3"/>
      <c r="B16" s="39" t="s">
        <v>188</v>
      </c>
      <c r="C16" s="39" t="s">
        <v>189</v>
      </c>
      <c r="D16" s="40" t="s">
        <v>150</v>
      </c>
      <c r="E16" s="40" t="s">
        <v>148</v>
      </c>
      <c r="F16" s="40" t="s">
        <v>192</v>
      </c>
      <c r="G16" s="40" t="str">
        <f>G5</f>
        <v>2025 Proposed Budget</v>
      </c>
      <c r="H16" s="40" t="str">
        <f>H5</f>
        <v>2024 Adopted Budget</v>
      </c>
    </row>
    <row r="17" spans="1:8" x14ac:dyDescent="0.25">
      <c r="B17" s="27" t="s">
        <v>1063</v>
      </c>
      <c r="C17" s="27" t="s">
        <v>1064</v>
      </c>
      <c r="D17" s="28">
        <v>45364</v>
      </c>
      <c r="E17" s="28">
        <v>45237</v>
      </c>
      <c r="F17" s="29">
        <v>0.84</v>
      </c>
      <c r="G17" s="146"/>
      <c r="H17" s="146">
        <v>120000</v>
      </c>
    </row>
    <row r="18" spans="1:8" x14ac:dyDescent="0.25">
      <c r="B18" s="27" t="s">
        <v>194</v>
      </c>
      <c r="C18" s="27"/>
      <c r="D18" s="28"/>
      <c r="E18" s="28"/>
      <c r="F18" s="29"/>
      <c r="G18" s="146"/>
      <c r="H18" s="146"/>
    </row>
    <row r="19" spans="1:8" x14ac:dyDescent="0.25">
      <c r="B19" s="27" t="s">
        <v>195</v>
      </c>
      <c r="C19" s="27"/>
      <c r="D19" s="28"/>
      <c r="E19" s="28"/>
      <c r="F19" s="29"/>
      <c r="G19" s="146"/>
      <c r="H19" s="146"/>
    </row>
    <row r="20" spans="1:8" x14ac:dyDescent="0.25">
      <c r="B20" s="27" t="s">
        <v>196</v>
      </c>
      <c r="C20" s="27"/>
      <c r="D20" s="28"/>
      <c r="E20" s="28"/>
      <c r="F20" s="29"/>
      <c r="G20" s="146"/>
      <c r="H20" s="146"/>
    </row>
    <row r="21" spans="1:8" x14ac:dyDescent="0.25">
      <c r="B21" s="27" t="s">
        <v>197</v>
      </c>
      <c r="C21" s="27"/>
      <c r="D21" s="28"/>
      <c r="E21" s="28"/>
      <c r="F21" s="29"/>
      <c r="G21" s="146"/>
      <c r="H21" s="146"/>
    </row>
    <row r="22" spans="1:8" x14ac:dyDescent="0.25">
      <c r="A22" s="9"/>
      <c r="B22" s="27" t="s">
        <v>198</v>
      </c>
      <c r="C22" s="27"/>
      <c r="D22" s="28"/>
      <c r="E22" s="28"/>
      <c r="F22" s="29"/>
      <c r="G22" s="146"/>
      <c r="H22" s="146"/>
    </row>
    <row r="23" spans="1:8" x14ac:dyDescent="0.25">
      <c r="B23" s="27" t="s">
        <v>199</v>
      </c>
      <c r="C23" s="27"/>
      <c r="D23" s="28"/>
      <c r="E23" s="28"/>
      <c r="F23" s="29"/>
      <c r="G23" s="146"/>
      <c r="H23" s="146"/>
    </row>
    <row r="24" spans="1:8" x14ac:dyDescent="0.25">
      <c r="B24" s="15" t="s">
        <v>202</v>
      </c>
      <c r="C24" s="15"/>
      <c r="D24" s="31"/>
      <c r="E24" s="31"/>
      <c r="F24" s="31"/>
      <c r="G24" s="147">
        <f>SUM(G17:G23)</f>
        <v>0</v>
      </c>
      <c r="H24" s="147">
        <f>SUM(H17:H23)</f>
        <v>120000</v>
      </c>
    </row>
    <row r="25" spans="1:8" x14ac:dyDescent="0.25">
      <c r="B25" s="15" t="s">
        <v>203</v>
      </c>
      <c r="G25" s="142">
        <f>G13+G24</f>
        <v>0</v>
      </c>
      <c r="H25" s="142">
        <f>+H13+H24</f>
        <v>120000</v>
      </c>
    </row>
    <row r="26" spans="1:8" x14ac:dyDescent="0.25">
      <c r="A26" s="3" t="s">
        <v>204</v>
      </c>
      <c r="G26" s="144">
        <v>979.52</v>
      </c>
      <c r="H26" s="144"/>
    </row>
    <row r="27" spans="1:8" ht="15.75" thickBot="1" x14ac:dyDescent="0.3">
      <c r="A27" s="3" t="s">
        <v>205</v>
      </c>
      <c r="G27" s="143">
        <f>G25+G26</f>
        <v>979.52</v>
      </c>
      <c r="H27" s="143">
        <f>+H25+H26</f>
        <v>120000</v>
      </c>
    </row>
    <row r="28" spans="1:8" ht="15.75" thickTop="1" x14ac:dyDescent="0.25"/>
    <row r="29" spans="1:8" x14ac:dyDescent="0.25">
      <c r="B29" t="s">
        <v>184</v>
      </c>
      <c r="G29" s="148"/>
      <c r="H29" s="148">
        <v>85000</v>
      </c>
    </row>
    <row r="30" spans="1:8" x14ac:dyDescent="0.25">
      <c r="B30" t="s">
        <v>185</v>
      </c>
      <c r="G30" s="148"/>
      <c r="H30" s="148"/>
    </row>
    <row r="31" spans="1:8" x14ac:dyDescent="0.25">
      <c r="B31" t="s">
        <v>186</v>
      </c>
      <c r="G31" s="148"/>
      <c r="H31" s="148"/>
    </row>
    <row r="32" spans="1:8" x14ac:dyDescent="0.25">
      <c r="A32" s="763" t="s">
        <v>886</v>
      </c>
      <c r="B32" s="763"/>
      <c r="C32" s="763"/>
      <c r="D32" s="763"/>
      <c r="E32" s="763"/>
      <c r="F32" s="763"/>
      <c r="G32" s="763"/>
      <c r="H32" s="763"/>
    </row>
  </sheetData>
  <sheetProtection algorithmName="SHA-512" hashValue="E9AhBVR0VNtH41GwOVuIWKHCzkulc56CCMeRUPrhstmHiT+cq5ET/A8fl7rJSWFUIgN0jzwoFVmROX76l3dWtw==" saltValue="cuZMgwoSuQVz8V8gk8q31g==" spinCount="100000" sheet="1" objects="1" scenarios="1"/>
  <mergeCells count="3">
    <mergeCell ref="A1:H1"/>
    <mergeCell ref="A2:H2"/>
    <mergeCell ref="A32:H32"/>
  </mergeCells>
  <phoneticPr fontId="58" type="noConversion"/>
  <dataValidations count="1">
    <dataValidation type="list" allowBlank="1" showInputMessage="1" showErrorMessage="1" sqref="D6:D12" xr:uid="{FCB623A7-EA99-46E6-AAAD-66D23C0A5196}">
      <formula1>"February,November"</formula1>
    </dataValidation>
  </dataValidations>
  <printOptions horizontalCentered="1"/>
  <pageMargins left="0.25" right="0.25" top="0.5" bottom="0.5" header="0.3" footer="0.3"/>
  <pageSetup scale="9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922E-A2DA-4559-92AC-D681FEA5BC88}">
  <sheetPr codeName="Sheet58">
    <tabColor rgb="FF92D050"/>
  </sheetPr>
  <dimension ref="A1:J35"/>
  <sheetViews>
    <sheetView view="pageLayout" zoomScaleNormal="100" workbookViewId="0">
      <selection activeCell="A36" sqref="A36"/>
    </sheetView>
  </sheetViews>
  <sheetFormatPr defaultRowHeight="15" x14ac:dyDescent="0.25"/>
  <cols>
    <col min="1" max="1" width="1.7109375" customWidth="1"/>
    <col min="2" max="2" width="48.85546875" customWidth="1"/>
    <col min="3" max="3" width="17.42578125" customWidth="1"/>
    <col min="4" max="4" width="15.140625" customWidth="1"/>
    <col min="5" max="5" width="13.7109375" bestFit="1" customWidth="1"/>
    <col min="6" max="6" width="11.42578125" customWidth="1"/>
    <col min="7" max="8" width="16.28515625" bestFit="1" customWidth="1"/>
  </cols>
  <sheetData>
    <row r="1" spans="1:10" x14ac:dyDescent="0.25">
      <c r="A1" s="768" t="str">
        <f>'Information Sheet'!B9</f>
        <v>Weymouth Township FD No. 1</v>
      </c>
      <c r="B1" s="768"/>
      <c r="C1" s="768"/>
      <c r="D1" s="768"/>
      <c r="E1" s="768"/>
      <c r="F1" s="768"/>
      <c r="G1" s="768"/>
      <c r="H1" s="768"/>
    </row>
    <row r="2" spans="1:10" x14ac:dyDescent="0.25">
      <c r="A2" s="768" t="str">
        <f>'Information Sheet'!B10</f>
        <v>Atlantic</v>
      </c>
      <c r="B2" s="768"/>
      <c r="C2" s="768"/>
      <c r="D2" s="768"/>
      <c r="E2" s="768"/>
      <c r="F2" s="768"/>
      <c r="G2" s="768"/>
      <c r="H2" s="768"/>
    </row>
    <row r="3" spans="1:10" x14ac:dyDescent="0.25">
      <c r="D3" s="36"/>
      <c r="E3" s="37"/>
      <c r="F3" s="38"/>
      <c r="G3" s="37"/>
      <c r="H3" s="37"/>
    </row>
    <row r="4" spans="1:10" ht="15" customHeight="1" x14ac:dyDescent="0.25">
      <c r="A4" s="790" t="s">
        <v>854</v>
      </c>
      <c r="B4" s="790"/>
      <c r="C4" s="790"/>
      <c r="D4" s="790"/>
      <c r="E4" s="790"/>
      <c r="F4" s="790"/>
      <c r="G4" s="790"/>
      <c r="H4" s="790"/>
      <c r="I4" s="416"/>
      <c r="J4" s="416"/>
    </row>
    <row r="5" spans="1:10" x14ac:dyDescent="0.25">
      <c r="D5" s="36"/>
      <c r="E5" s="37"/>
      <c r="F5" s="38"/>
      <c r="G5" s="37"/>
      <c r="H5" s="37"/>
    </row>
    <row r="6" spans="1:10" x14ac:dyDescent="0.25">
      <c r="A6" s="3" t="s">
        <v>187</v>
      </c>
      <c r="B6" s="3"/>
      <c r="C6" s="3"/>
      <c r="D6" s="36"/>
      <c r="E6" s="37"/>
      <c r="F6" s="38"/>
      <c r="G6" s="37"/>
      <c r="H6" s="37"/>
    </row>
    <row r="7" spans="1:10" ht="60.75" thickBot="1" x14ac:dyDescent="0.3">
      <c r="B7" s="39" t="s">
        <v>188</v>
      </c>
      <c r="C7" s="39" t="s">
        <v>189</v>
      </c>
      <c r="D7" s="40" t="s">
        <v>190</v>
      </c>
      <c r="E7" s="40" t="s">
        <v>191</v>
      </c>
      <c r="F7" s="40" t="s">
        <v>192</v>
      </c>
      <c r="G7" s="40" t="str">
        <f>""&amp;'Information Sheet'!B11&amp;" Proposed Budget"</f>
        <v>2025 Proposed Budget</v>
      </c>
      <c r="H7" s="40" t="str">
        <f>""&amp;'Information Sheet'!B11-1&amp;" Adopted Budget"</f>
        <v>2024 Adopted Budget</v>
      </c>
    </row>
    <row r="8" spans="1:10" x14ac:dyDescent="0.25">
      <c r="B8" s="417" t="s">
        <v>193</v>
      </c>
      <c r="C8" s="417"/>
      <c r="D8" s="418"/>
      <c r="E8" s="418"/>
      <c r="F8" s="419"/>
      <c r="G8" s="420"/>
      <c r="H8" s="420"/>
    </row>
    <row r="9" spans="1:10" x14ac:dyDescent="0.25">
      <c r="B9" s="417" t="s">
        <v>194</v>
      </c>
      <c r="C9" s="417"/>
      <c r="D9" s="418"/>
      <c r="E9" s="418"/>
      <c r="F9" s="419"/>
      <c r="G9" s="420"/>
      <c r="H9" s="420"/>
    </row>
    <row r="10" spans="1:10" x14ac:dyDescent="0.25">
      <c r="B10" s="417" t="s">
        <v>195</v>
      </c>
      <c r="C10" s="417"/>
      <c r="D10" s="418"/>
      <c r="E10" s="418"/>
      <c r="F10" s="419"/>
      <c r="G10" s="420"/>
      <c r="H10" s="420"/>
    </row>
    <row r="11" spans="1:10" x14ac:dyDescent="0.25">
      <c r="B11" s="417" t="s">
        <v>196</v>
      </c>
      <c r="C11" s="417"/>
      <c r="D11" s="418"/>
      <c r="E11" s="418"/>
      <c r="F11" s="419"/>
      <c r="G11" s="420"/>
      <c r="H11" s="420"/>
    </row>
    <row r="12" spans="1:10" x14ac:dyDescent="0.25">
      <c r="B12" s="417" t="s">
        <v>197</v>
      </c>
      <c r="C12" s="417"/>
      <c r="D12" s="418"/>
      <c r="E12" s="418"/>
      <c r="F12" s="419"/>
      <c r="G12" s="420"/>
      <c r="H12" s="420"/>
    </row>
    <row r="13" spans="1:10" x14ac:dyDescent="0.25">
      <c r="B13" s="417" t="s">
        <v>198</v>
      </c>
      <c r="C13" s="417"/>
      <c r="D13" s="418"/>
      <c r="E13" s="418"/>
      <c r="F13" s="419"/>
      <c r="G13" s="420"/>
      <c r="H13" s="420"/>
    </row>
    <row r="14" spans="1:10" x14ac:dyDescent="0.25">
      <c r="B14" s="417" t="s">
        <v>199</v>
      </c>
      <c r="C14" s="417"/>
      <c r="D14" s="418"/>
      <c r="E14" s="418"/>
      <c r="F14" s="419"/>
      <c r="G14" s="420"/>
      <c r="H14" s="420"/>
    </row>
    <row r="15" spans="1:10" x14ac:dyDescent="0.25">
      <c r="B15" s="417" t="s">
        <v>841</v>
      </c>
      <c r="C15" s="417"/>
      <c r="D15" s="418"/>
      <c r="E15" s="418"/>
      <c r="F15" s="419"/>
      <c r="G15" s="420"/>
      <c r="H15" s="420"/>
    </row>
    <row r="16" spans="1:10" x14ac:dyDescent="0.25">
      <c r="B16" s="417" t="s">
        <v>842</v>
      </c>
      <c r="C16" s="417"/>
      <c r="D16" s="418"/>
      <c r="E16" s="418"/>
      <c r="F16" s="419"/>
      <c r="G16" s="420"/>
      <c r="H16" s="420"/>
    </row>
    <row r="17" spans="2:8" x14ac:dyDescent="0.25">
      <c r="B17" s="417" t="s">
        <v>843</v>
      </c>
      <c r="C17" s="417"/>
      <c r="D17" s="418"/>
      <c r="E17" s="418"/>
      <c r="F17" s="419"/>
      <c r="G17" s="420"/>
      <c r="H17" s="420"/>
    </row>
    <row r="18" spans="2:8" x14ac:dyDescent="0.25">
      <c r="B18" s="417" t="s">
        <v>844</v>
      </c>
      <c r="C18" s="417"/>
      <c r="D18" s="418"/>
      <c r="E18" s="418"/>
      <c r="F18" s="419"/>
      <c r="G18" s="420"/>
      <c r="H18" s="420"/>
    </row>
    <row r="19" spans="2:8" x14ac:dyDescent="0.25">
      <c r="B19" s="417" t="s">
        <v>845</v>
      </c>
      <c r="C19" s="417"/>
      <c r="D19" s="418"/>
      <c r="E19" s="418"/>
      <c r="F19" s="419"/>
      <c r="G19" s="420"/>
      <c r="H19" s="420"/>
    </row>
    <row r="20" spans="2:8" x14ac:dyDescent="0.25">
      <c r="B20" s="417" t="s">
        <v>846</v>
      </c>
      <c r="C20" s="417"/>
      <c r="D20" s="418"/>
      <c r="E20" s="418"/>
      <c r="F20" s="419"/>
      <c r="G20" s="420"/>
      <c r="H20" s="420"/>
    </row>
    <row r="21" spans="2:8" x14ac:dyDescent="0.25">
      <c r="B21" s="417" t="s">
        <v>847</v>
      </c>
      <c r="C21" s="417"/>
      <c r="D21" s="418"/>
      <c r="E21" s="418"/>
      <c r="F21" s="419"/>
      <c r="G21" s="420"/>
      <c r="H21" s="420"/>
    </row>
    <row r="22" spans="2:8" x14ac:dyDescent="0.25">
      <c r="B22" s="417" t="s">
        <v>848</v>
      </c>
      <c r="C22" s="417"/>
      <c r="D22" s="418"/>
      <c r="E22" s="418"/>
      <c r="F22" s="419"/>
      <c r="G22" s="420"/>
      <c r="H22" s="420"/>
    </row>
    <row r="23" spans="2:8" x14ac:dyDescent="0.25">
      <c r="B23" s="417" t="s">
        <v>849</v>
      </c>
      <c r="C23" s="417"/>
      <c r="D23" s="418"/>
      <c r="E23" s="418"/>
      <c r="F23" s="419"/>
      <c r="G23" s="420"/>
      <c r="H23" s="420"/>
    </row>
    <row r="24" spans="2:8" x14ac:dyDescent="0.25">
      <c r="B24" s="417" t="s">
        <v>850</v>
      </c>
      <c r="C24" s="417"/>
      <c r="D24" s="418"/>
      <c r="E24" s="418"/>
      <c r="F24" s="419"/>
      <c r="G24" s="420"/>
      <c r="H24" s="420"/>
    </row>
    <row r="25" spans="2:8" x14ac:dyDescent="0.25">
      <c r="B25" s="417" t="s">
        <v>851</v>
      </c>
      <c r="C25" s="417"/>
      <c r="D25" s="418"/>
      <c r="E25" s="418"/>
      <c r="F25" s="419"/>
      <c r="G25" s="420"/>
      <c r="H25" s="420"/>
    </row>
    <row r="26" spans="2:8" x14ac:dyDescent="0.25">
      <c r="B26" s="417" t="s">
        <v>852</v>
      </c>
      <c r="C26" s="417"/>
      <c r="D26" s="418"/>
      <c r="E26" s="418"/>
      <c r="F26" s="419"/>
      <c r="G26" s="420"/>
      <c r="H26" s="420"/>
    </row>
    <row r="27" spans="2:8" x14ac:dyDescent="0.25">
      <c r="B27" s="417" t="s">
        <v>853</v>
      </c>
      <c r="C27" s="417"/>
      <c r="D27" s="418"/>
      <c r="E27" s="418"/>
      <c r="F27" s="419"/>
      <c r="G27" s="420"/>
      <c r="H27" s="420"/>
    </row>
    <row r="28" spans="2:8" x14ac:dyDescent="0.25">
      <c r="B28" s="417" t="s">
        <v>855</v>
      </c>
      <c r="C28" s="417"/>
      <c r="D28" s="418"/>
      <c r="E28" s="418"/>
      <c r="F28" s="419"/>
      <c r="G28" s="420"/>
      <c r="H28" s="420"/>
    </row>
    <row r="29" spans="2:8" x14ac:dyDescent="0.25">
      <c r="B29" s="417" t="s">
        <v>856</v>
      </c>
      <c r="C29" s="417"/>
      <c r="D29" s="418"/>
      <c r="E29" s="418"/>
      <c r="F29" s="419"/>
      <c r="G29" s="420"/>
      <c r="H29" s="420"/>
    </row>
    <row r="30" spans="2:8" x14ac:dyDescent="0.25">
      <c r="B30" s="417" t="s">
        <v>857</v>
      </c>
      <c r="C30" s="417"/>
      <c r="D30" s="418"/>
      <c r="E30" s="418"/>
      <c r="F30" s="419"/>
      <c r="G30" s="420"/>
      <c r="H30" s="420"/>
    </row>
    <row r="31" spans="2:8" x14ac:dyDescent="0.25">
      <c r="B31" s="417" t="s">
        <v>858</v>
      </c>
      <c r="C31" s="417"/>
      <c r="D31" s="418"/>
      <c r="E31" s="418"/>
      <c r="F31" s="419"/>
      <c r="G31" s="420"/>
      <c r="H31" s="420"/>
    </row>
    <row r="32" spans="2:8" x14ac:dyDescent="0.25">
      <c r="B32" s="417" t="s">
        <v>859</v>
      </c>
      <c r="C32" s="417"/>
      <c r="D32" s="418"/>
      <c r="E32" s="418"/>
      <c r="F32" s="419"/>
      <c r="G32" s="420"/>
      <c r="H32" s="420"/>
    </row>
    <row r="33" spans="1:8" x14ac:dyDescent="0.25">
      <c r="B33" s="15" t="s">
        <v>200</v>
      </c>
      <c r="C33" s="15"/>
      <c r="D33" s="31"/>
      <c r="E33" s="31"/>
      <c r="F33" s="31"/>
      <c r="G33" s="147">
        <f>SUM(G8:G32)</f>
        <v>0</v>
      </c>
      <c r="H33" s="147">
        <f>SUM(H8:H32)</f>
        <v>0</v>
      </c>
    </row>
    <row r="34" spans="1:8" x14ac:dyDescent="0.25">
      <c r="B34" s="15"/>
      <c r="C34" s="15"/>
      <c r="D34" s="31"/>
      <c r="E34" s="31"/>
      <c r="F34" s="31"/>
      <c r="G34" s="31"/>
      <c r="H34" s="31"/>
    </row>
    <row r="35" spans="1:8" x14ac:dyDescent="0.25">
      <c r="A35" s="763" t="s">
        <v>885</v>
      </c>
      <c r="B35" s="763"/>
      <c r="C35" s="763"/>
      <c r="D35" s="763"/>
      <c r="E35" s="763"/>
      <c r="F35" s="763"/>
      <c r="G35" s="763"/>
      <c r="H35" s="763"/>
    </row>
  </sheetData>
  <sheetProtection algorithmName="SHA-512" hashValue="1enh8iYXc0AA17o6j7tRgqcLe8HCw2bEf+u7MnbnCk+6zBGo+9PA85SZyq/OWRAEXBPVOjUPayFiFt8VVwqyUA==" saltValue="hUqNo7Oqo2yxinisKJPdhA==" spinCount="100000" sheet="1" objects="1" scenarios="1"/>
  <mergeCells count="4">
    <mergeCell ref="A1:H1"/>
    <mergeCell ref="A2:H2"/>
    <mergeCell ref="A4:H4"/>
    <mergeCell ref="A35:H35"/>
  </mergeCells>
  <phoneticPr fontId="58" type="noConversion"/>
  <dataValidations count="1">
    <dataValidation type="list" allowBlank="1" showInputMessage="1" showErrorMessage="1" sqref="D8:D32" xr:uid="{212A5F0F-63D2-44B9-8D46-831C60F91D2E}">
      <formula1>"February,November"</formula1>
    </dataValidation>
  </dataValidations>
  <printOptions horizontalCentered="1"/>
  <pageMargins left="0.25" right="0.25" top="0.5" bottom="0.5" header="0.3" footer="0.3"/>
  <pageSetup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462B4-9CC4-42D7-B845-3DEBAD44EDA2}">
  <sheetPr codeName="Sheet44">
    <tabColor rgb="FF92D050"/>
  </sheetPr>
  <dimension ref="A1:R44"/>
  <sheetViews>
    <sheetView showZeros="0" view="pageLayout" topLeftCell="A4" zoomScaleNormal="100" workbookViewId="0">
      <selection activeCell="B19" sqref="B19"/>
    </sheetView>
  </sheetViews>
  <sheetFormatPr defaultColWidth="2.28515625" defaultRowHeight="15" x14ac:dyDescent="0.25"/>
  <cols>
    <col min="1" max="1" width="1" customWidth="1"/>
    <col min="2" max="2" width="25.7109375" customWidth="1"/>
    <col min="3" max="3" width="9" bestFit="1" customWidth="1"/>
    <col min="4" max="4" width="8.7109375" customWidth="1"/>
    <col min="5" max="5" width="11.7109375" customWidth="1"/>
    <col min="6" max="6" width="1" customWidth="1"/>
    <col min="7" max="7" width="14.28515625" bestFit="1" customWidth="1"/>
    <col min="8" max="8" width="1" customWidth="1"/>
    <col min="9" max="9" width="14.28515625" bestFit="1" customWidth="1"/>
    <col min="10" max="10" width="1" customWidth="1"/>
    <col min="11" max="11" width="14.140625" customWidth="1"/>
    <col min="12" max="14" width="14.28515625" bestFit="1" customWidth="1"/>
    <col min="15" max="15" width="14.28515625" customWidth="1"/>
    <col min="16" max="17" width="14.28515625" bestFit="1" customWidth="1"/>
  </cols>
  <sheetData>
    <row r="1" spans="1:17" x14ac:dyDescent="0.25">
      <c r="A1" s="768" t="str">
        <f>'Information Sheet'!B9</f>
        <v>Weymouth Township FD No. 1</v>
      </c>
      <c r="B1" s="768"/>
      <c r="C1" s="768"/>
      <c r="D1" s="768"/>
      <c r="E1" s="768"/>
      <c r="F1" s="768"/>
      <c r="G1" s="768"/>
      <c r="H1" s="768"/>
      <c r="I1" s="768"/>
      <c r="J1" s="768"/>
      <c r="K1" s="768"/>
      <c r="L1" s="768"/>
      <c r="M1" s="768"/>
      <c r="N1" s="768"/>
      <c r="O1" s="768"/>
      <c r="P1" s="768"/>
      <c r="Q1" s="768"/>
    </row>
    <row r="2" spans="1:17" x14ac:dyDescent="0.25">
      <c r="A2" s="768" t="str">
        <f>'Information Sheet'!B10</f>
        <v>Atlantic</v>
      </c>
      <c r="B2" s="768"/>
      <c r="C2" s="768"/>
      <c r="D2" s="768"/>
      <c r="E2" s="768"/>
      <c r="F2" s="768"/>
      <c r="G2" s="768"/>
      <c r="H2" s="768"/>
      <c r="I2" s="768"/>
      <c r="J2" s="768"/>
      <c r="K2" s="768"/>
      <c r="L2" s="768"/>
      <c r="M2" s="768"/>
      <c r="N2" s="768"/>
      <c r="O2" s="768"/>
      <c r="P2" s="768"/>
      <c r="Q2" s="768"/>
    </row>
    <row r="4" spans="1:17" ht="75.75" thickBot="1" x14ac:dyDescent="0.3">
      <c r="B4" s="15"/>
      <c r="C4" s="16" t="s">
        <v>148</v>
      </c>
      <c r="D4" s="16" t="s">
        <v>149</v>
      </c>
      <c r="E4" s="16" t="s">
        <v>150</v>
      </c>
      <c r="F4" s="15"/>
      <c r="G4" s="17" t="str">
        <f>"Current Year "&amp;I4-1&amp;""</f>
        <v>Current Year 2024</v>
      </c>
      <c r="H4" s="15"/>
      <c r="I4" s="18" t="str">
        <f>""&amp;'Information Sheet'!B11&amp;""</f>
        <v>2025</v>
      </c>
      <c r="J4" s="19"/>
      <c r="K4" s="20">
        <f>I4+1</f>
        <v>2026</v>
      </c>
      <c r="L4" s="20">
        <f>K4+1</f>
        <v>2027</v>
      </c>
      <c r="M4" s="20">
        <f>L4+1</f>
        <v>2028</v>
      </c>
      <c r="N4" s="20">
        <f>M4+1</f>
        <v>2029</v>
      </c>
      <c r="O4" s="20">
        <f>N4+1</f>
        <v>2030</v>
      </c>
      <c r="P4" s="21" t="s">
        <v>151</v>
      </c>
      <c r="Q4" s="22" t="s">
        <v>152</v>
      </c>
    </row>
    <row r="5" spans="1:17" x14ac:dyDescent="0.25">
      <c r="A5" s="9" t="s">
        <v>153</v>
      </c>
      <c r="B5" s="15"/>
      <c r="C5" s="15"/>
      <c r="D5" s="15"/>
      <c r="E5" s="15"/>
      <c r="F5" s="15"/>
      <c r="G5" s="23"/>
      <c r="H5" s="15"/>
      <c r="I5" s="24"/>
      <c r="J5" s="19"/>
      <c r="K5" s="25"/>
      <c r="L5" s="25"/>
      <c r="M5" s="25"/>
      <c r="N5" s="25"/>
      <c r="O5" s="25"/>
      <c r="P5" s="8"/>
      <c r="Q5" s="26"/>
    </row>
    <row r="6" spans="1:17" x14ac:dyDescent="0.25">
      <c r="B6" s="27" t="s">
        <v>154</v>
      </c>
      <c r="C6" s="28"/>
      <c r="D6" s="29"/>
      <c r="E6" s="28"/>
      <c r="F6" s="15"/>
      <c r="G6" s="146"/>
      <c r="H6" s="30"/>
      <c r="I6" s="146"/>
      <c r="J6" s="30"/>
      <c r="K6" s="146"/>
      <c r="L6" s="146"/>
      <c r="M6" s="146"/>
      <c r="N6" s="146"/>
      <c r="O6" s="146"/>
      <c r="P6" s="141"/>
      <c r="Q6" s="142">
        <f>SUM(K6:P6)+I6</f>
        <v>0</v>
      </c>
    </row>
    <row r="7" spans="1:17" x14ac:dyDescent="0.25">
      <c r="B7" s="27" t="s">
        <v>155</v>
      </c>
      <c r="C7" s="28"/>
      <c r="D7" s="29"/>
      <c r="E7" s="28"/>
      <c r="F7" s="15"/>
      <c r="G7" s="146"/>
      <c r="H7" s="15"/>
      <c r="I7" s="146"/>
      <c r="J7" s="31"/>
      <c r="K7" s="146"/>
      <c r="L7" s="146"/>
      <c r="M7" s="146"/>
      <c r="N7" s="146"/>
      <c r="O7" s="146"/>
      <c r="P7" s="141"/>
      <c r="Q7" s="142">
        <f>SUM(K7:P7)+I7</f>
        <v>0</v>
      </c>
    </row>
    <row r="8" spans="1:17" x14ac:dyDescent="0.25">
      <c r="B8" s="27" t="s">
        <v>156</v>
      </c>
      <c r="C8" s="28"/>
      <c r="D8" s="29"/>
      <c r="E8" s="28"/>
      <c r="F8" s="15"/>
      <c r="G8" s="146"/>
      <c r="H8" s="15"/>
      <c r="I8" s="146"/>
      <c r="J8" s="31"/>
      <c r="K8" s="146"/>
      <c r="L8" s="146"/>
      <c r="M8" s="146"/>
      <c r="N8" s="146"/>
      <c r="O8" s="146"/>
      <c r="P8" s="141"/>
      <c r="Q8" s="142">
        <f t="shared" ref="Q8:Q9" si="0">SUM(K8:P8)+I8</f>
        <v>0</v>
      </c>
    </row>
    <row r="9" spans="1:17" x14ac:dyDescent="0.25">
      <c r="B9" s="27" t="s">
        <v>157</v>
      </c>
      <c r="C9" s="28"/>
      <c r="D9" s="29"/>
      <c r="E9" s="28"/>
      <c r="F9" s="15"/>
      <c r="G9" s="149"/>
      <c r="H9" s="15"/>
      <c r="I9" s="146"/>
      <c r="J9" s="31"/>
      <c r="K9" s="146"/>
      <c r="L9" s="146"/>
      <c r="M9" s="146"/>
      <c r="N9" s="146"/>
      <c r="O9" s="146"/>
      <c r="P9" s="141"/>
      <c r="Q9" s="142">
        <f t="shared" si="0"/>
        <v>0</v>
      </c>
    </row>
    <row r="10" spans="1:17" x14ac:dyDescent="0.25">
      <c r="B10" s="792" t="s">
        <v>158</v>
      </c>
      <c r="C10" s="792"/>
      <c r="D10" s="792"/>
      <c r="E10" s="792"/>
      <c r="F10" s="15"/>
      <c r="G10" s="147">
        <f>SUM(G6:G9)</f>
        <v>0</v>
      </c>
      <c r="H10" s="15"/>
      <c r="I10" s="150">
        <f>SUM(I6:I9)</f>
        <v>0</v>
      </c>
      <c r="J10" s="6"/>
      <c r="K10" s="150">
        <f>SUM(K6:K9)</f>
        <v>0</v>
      </c>
      <c r="L10" s="150">
        <f t="shared" ref="L10:P10" si="1">SUM(L6:L9)</f>
        <v>0</v>
      </c>
      <c r="M10" s="150">
        <f t="shared" si="1"/>
        <v>0</v>
      </c>
      <c r="N10" s="150">
        <f t="shared" si="1"/>
        <v>0</v>
      </c>
      <c r="O10" s="150">
        <f t="shared" si="1"/>
        <v>0</v>
      </c>
      <c r="P10" s="150">
        <f t="shared" si="1"/>
        <v>0</v>
      </c>
      <c r="Q10" s="150">
        <f>SUM(Q6:Q9)</f>
        <v>0</v>
      </c>
    </row>
    <row r="11" spans="1:17" x14ac:dyDescent="0.25">
      <c r="A11" s="9" t="s">
        <v>159</v>
      </c>
      <c r="C11" s="32"/>
      <c r="D11" s="33"/>
      <c r="E11" s="32"/>
      <c r="G11" s="6"/>
      <c r="I11" s="6"/>
      <c r="J11" s="6"/>
      <c r="K11" s="6"/>
      <c r="L11" s="6"/>
      <c r="M11" s="6"/>
      <c r="N11" s="6"/>
      <c r="O11" s="6"/>
      <c r="P11" s="6"/>
      <c r="Q11" s="6"/>
    </row>
    <row r="12" spans="1:17" x14ac:dyDescent="0.25">
      <c r="B12" s="27" t="s">
        <v>160</v>
      </c>
      <c r="C12" s="28"/>
      <c r="D12" s="29"/>
      <c r="E12" s="28"/>
      <c r="F12" s="15"/>
      <c r="G12" s="151"/>
      <c r="H12" s="15"/>
      <c r="I12" s="138"/>
      <c r="J12" s="6"/>
      <c r="K12" s="138"/>
      <c r="L12" s="138"/>
      <c r="M12" s="138"/>
      <c r="N12" s="138"/>
      <c r="O12" s="138"/>
      <c r="P12" s="138"/>
      <c r="Q12" s="134">
        <f>SUM(K12:P12)+I12</f>
        <v>0</v>
      </c>
    </row>
    <row r="13" spans="1:17" x14ac:dyDescent="0.25">
      <c r="B13" s="27" t="s">
        <v>161</v>
      </c>
      <c r="C13" s="28"/>
      <c r="D13" s="29"/>
      <c r="E13" s="28"/>
      <c r="F13" s="15"/>
      <c r="G13" s="151"/>
      <c r="H13" s="15"/>
      <c r="I13" s="138"/>
      <c r="J13" s="6"/>
      <c r="K13" s="138"/>
      <c r="L13" s="138"/>
      <c r="M13" s="138"/>
      <c r="N13" s="138"/>
      <c r="O13" s="138"/>
      <c r="P13" s="138"/>
      <c r="Q13" s="134">
        <f t="shared" ref="Q13:Q15" si="2">SUM(K13:P13)+I13</f>
        <v>0</v>
      </c>
    </row>
    <row r="14" spans="1:17" x14ac:dyDescent="0.25">
      <c r="B14" s="27" t="s">
        <v>162</v>
      </c>
      <c r="C14" s="28"/>
      <c r="D14" s="29"/>
      <c r="E14" s="28"/>
      <c r="F14" s="15"/>
      <c r="G14" s="151"/>
      <c r="H14" s="15"/>
      <c r="I14" s="138"/>
      <c r="J14" s="6"/>
      <c r="K14" s="138"/>
      <c r="L14" s="138"/>
      <c r="M14" s="138"/>
      <c r="N14" s="138"/>
      <c r="O14" s="138"/>
      <c r="P14" s="138"/>
      <c r="Q14" s="134">
        <f t="shared" si="2"/>
        <v>0</v>
      </c>
    </row>
    <row r="15" spans="1:17" x14ac:dyDescent="0.25">
      <c r="B15" s="27" t="s">
        <v>163</v>
      </c>
      <c r="C15" s="28"/>
      <c r="D15" s="29"/>
      <c r="E15" s="28"/>
      <c r="F15" s="15"/>
      <c r="G15" s="152"/>
      <c r="H15" s="15"/>
      <c r="I15" s="138"/>
      <c r="J15" s="6"/>
      <c r="K15" s="138"/>
      <c r="L15" s="138"/>
      <c r="M15" s="138"/>
      <c r="N15" s="138"/>
      <c r="O15" s="138"/>
      <c r="P15" s="138"/>
      <c r="Q15" s="134">
        <f t="shared" si="2"/>
        <v>0</v>
      </c>
    </row>
    <row r="16" spans="1:17" x14ac:dyDescent="0.25">
      <c r="B16" s="15" t="s">
        <v>164</v>
      </c>
      <c r="C16" s="34"/>
      <c r="D16" s="35"/>
      <c r="E16" s="34"/>
      <c r="F16" s="15"/>
      <c r="G16" s="153">
        <f>SUM(G12:G15)</f>
        <v>0</v>
      </c>
      <c r="H16" s="15"/>
      <c r="I16" s="137">
        <f>SUM(I12:I15)</f>
        <v>0</v>
      </c>
      <c r="J16" s="6"/>
      <c r="K16" s="137">
        <f>SUM(K12:K15)</f>
        <v>0</v>
      </c>
      <c r="L16" s="137">
        <f>SUM(L12:L15)</f>
        <v>0</v>
      </c>
      <c r="M16" s="137">
        <f t="shared" ref="M16:P16" si="3">SUM(M12:M15)</f>
        <v>0</v>
      </c>
      <c r="N16" s="137">
        <f t="shared" si="3"/>
        <v>0</v>
      </c>
      <c r="O16" s="137">
        <f t="shared" si="3"/>
        <v>0</v>
      </c>
      <c r="P16" s="137">
        <f t="shared" si="3"/>
        <v>0</v>
      </c>
      <c r="Q16" s="137">
        <f>SUM(Q12:Q15)</f>
        <v>0</v>
      </c>
    </row>
    <row r="17" spans="1:17" x14ac:dyDescent="0.25">
      <c r="A17" s="9" t="s">
        <v>165</v>
      </c>
      <c r="C17" s="32"/>
      <c r="D17" s="33"/>
      <c r="E17" s="32"/>
      <c r="G17" s="6"/>
      <c r="I17" s="6"/>
      <c r="J17" s="6"/>
      <c r="K17" s="6"/>
      <c r="L17" s="6"/>
      <c r="M17" s="6"/>
      <c r="N17" s="6"/>
      <c r="O17" s="6"/>
      <c r="P17" s="6"/>
      <c r="Q17" s="6"/>
    </row>
    <row r="18" spans="1:17" x14ac:dyDescent="0.25">
      <c r="B18" s="27" t="s">
        <v>1065</v>
      </c>
      <c r="C18" s="28">
        <v>45237</v>
      </c>
      <c r="D18" s="29">
        <v>0.84</v>
      </c>
      <c r="E18" s="28">
        <v>45364</v>
      </c>
      <c r="F18" s="15"/>
      <c r="G18" s="154">
        <v>0</v>
      </c>
      <c r="H18" s="15"/>
      <c r="I18" s="157">
        <v>20101.25</v>
      </c>
      <c r="J18" s="6"/>
      <c r="K18" s="157">
        <v>20453.37</v>
      </c>
      <c r="L18" s="157">
        <v>21654.65</v>
      </c>
      <c r="M18" s="157">
        <v>22926.48</v>
      </c>
      <c r="N18" s="157">
        <v>24273.02</v>
      </c>
      <c r="O18" s="157">
        <v>25698.639999999999</v>
      </c>
      <c r="P18" s="157">
        <f>27207.99+28805.99+30497.84+32289.03</f>
        <v>118800.85</v>
      </c>
      <c r="Q18" s="159">
        <f>SUM(K18:P18)+I18</f>
        <v>253908.26</v>
      </c>
    </row>
    <row r="19" spans="1:17" x14ac:dyDescent="0.25">
      <c r="B19" s="27" t="s">
        <v>166</v>
      </c>
      <c r="C19" s="28"/>
      <c r="D19" s="29"/>
      <c r="E19" s="28"/>
      <c r="F19" s="15"/>
      <c r="G19" s="154"/>
      <c r="H19" s="15"/>
      <c r="I19" s="157"/>
      <c r="J19" s="6"/>
      <c r="K19" s="157"/>
      <c r="L19" s="157"/>
      <c r="M19" s="157"/>
      <c r="N19" s="157"/>
      <c r="O19" s="157"/>
      <c r="P19" s="157"/>
      <c r="Q19" s="159">
        <f t="shared" ref="Q19:Q21" si="4">SUM(K19:P19)+I19</f>
        <v>0</v>
      </c>
    </row>
    <row r="20" spans="1:17" x14ac:dyDescent="0.25">
      <c r="B20" s="27" t="s">
        <v>167</v>
      </c>
      <c r="C20" s="28"/>
      <c r="D20" s="29"/>
      <c r="E20" s="28"/>
      <c r="F20" s="15"/>
      <c r="G20" s="154"/>
      <c r="H20" s="15"/>
      <c r="I20" s="157"/>
      <c r="J20" s="6"/>
      <c r="K20" s="157"/>
      <c r="L20" s="157"/>
      <c r="M20" s="157"/>
      <c r="N20" s="157"/>
      <c r="O20" s="157"/>
      <c r="P20" s="157"/>
      <c r="Q20" s="159">
        <f t="shared" si="4"/>
        <v>0</v>
      </c>
    </row>
    <row r="21" spans="1:17" x14ac:dyDescent="0.25">
      <c r="B21" s="27" t="s">
        <v>168</v>
      </c>
      <c r="C21" s="28"/>
      <c r="D21" s="29"/>
      <c r="E21" s="28"/>
      <c r="F21" s="15"/>
      <c r="G21" s="155"/>
      <c r="H21" s="15"/>
      <c r="I21" s="157"/>
      <c r="J21" s="6"/>
      <c r="K21" s="157"/>
      <c r="L21" s="157"/>
      <c r="M21" s="157"/>
      <c r="N21" s="157"/>
      <c r="O21" s="157"/>
      <c r="P21" s="157"/>
      <c r="Q21" s="159">
        <f t="shared" si="4"/>
        <v>0</v>
      </c>
    </row>
    <row r="22" spans="1:17" x14ac:dyDescent="0.25">
      <c r="B22" s="15" t="s">
        <v>169</v>
      </c>
      <c r="C22" s="34"/>
      <c r="D22" s="35"/>
      <c r="E22" s="34"/>
      <c r="F22" s="15"/>
      <c r="G22" s="156">
        <f>SUM(G18:G21)</f>
        <v>0</v>
      </c>
      <c r="H22" s="15"/>
      <c r="I22" s="158">
        <f>SUM(I18:I21)</f>
        <v>20101.25</v>
      </c>
      <c r="J22" s="6"/>
      <c r="K22" s="158">
        <f t="shared" ref="K22:Q22" si="5">SUM(K18:K21)</f>
        <v>20453.37</v>
      </c>
      <c r="L22" s="158">
        <f t="shared" si="5"/>
        <v>21654.65</v>
      </c>
      <c r="M22" s="158">
        <f t="shared" si="5"/>
        <v>22926.48</v>
      </c>
      <c r="N22" s="158">
        <f t="shared" si="5"/>
        <v>24273.02</v>
      </c>
      <c r="O22" s="158">
        <f t="shared" si="5"/>
        <v>25698.639999999999</v>
      </c>
      <c r="P22" s="158">
        <f t="shared" si="5"/>
        <v>118800.85</v>
      </c>
      <c r="Q22" s="158">
        <f t="shared" si="5"/>
        <v>253908.26</v>
      </c>
    </row>
    <row r="23" spans="1:17" x14ac:dyDescent="0.25">
      <c r="A23" s="9" t="s">
        <v>170</v>
      </c>
      <c r="C23" s="32"/>
      <c r="D23" s="33"/>
      <c r="E23" s="32"/>
      <c r="G23" s="6"/>
      <c r="I23" s="6"/>
      <c r="J23" s="6"/>
      <c r="K23" s="6"/>
      <c r="L23" s="6"/>
      <c r="M23" s="6"/>
      <c r="N23" s="6"/>
      <c r="O23" s="6"/>
      <c r="P23" s="6"/>
      <c r="Q23" s="6"/>
    </row>
    <row r="24" spans="1:17" x14ac:dyDescent="0.25">
      <c r="B24" s="27" t="s">
        <v>171</v>
      </c>
      <c r="C24" s="28"/>
      <c r="D24" s="29"/>
      <c r="E24" s="28"/>
      <c r="F24" s="15"/>
      <c r="G24" s="154"/>
      <c r="H24" s="15"/>
      <c r="I24" s="157"/>
      <c r="J24" s="6"/>
      <c r="K24" s="157"/>
      <c r="L24" s="157"/>
      <c r="M24" s="157"/>
      <c r="N24" s="157"/>
      <c r="O24" s="157"/>
      <c r="P24" s="157"/>
      <c r="Q24" s="159">
        <f>SUM(K24:P24)+I24</f>
        <v>0</v>
      </c>
    </row>
    <row r="25" spans="1:17" x14ac:dyDescent="0.25">
      <c r="B25" s="27" t="s">
        <v>172</v>
      </c>
      <c r="C25" s="28"/>
      <c r="D25" s="29"/>
      <c r="E25" s="28"/>
      <c r="F25" s="15"/>
      <c r="G25" s="154"/>
      <c r="H25" s="15"/>
      <c r="I25" s="157"/>
      <c r="J25" s="6"/>
      <c r="K25" s="157"/>
      <c r="L25" s="157"/>
      <c r="M25" s="157"/>
      <c r="N25" s="157"/>
      <c r="O25" s="157"/>
      <c r="P25" s="157"/>
      <c r="Q25" s="159">
        <f t="shared" ref="Q25:Q27" si="6">SUM(K25:P25)+I25</f>
        <v>0</v>
      </c>
    </row>
    <row r="26" spans="1:17" x14ac:dyDescent="0.25">
      <c r="B26" s="27" t="s">
        <v>173</v>
      </c>
      <c r="C26" s="28"/>
      <c r="D26" s="29"/>
      <c r="E26" s="28"/>
      <c r="F26" s="15"/>
      <c r="G26" s="154"/>
      <c r="H26" s="15"/>
      <c r="I26" s="157"/>
      <c r="J26" s="6"/>
      <c r="K26" s="157"/>
      <c r="L26" s="157"/>
      <c r="M26" s="157"/>
      <c r="N26" s="157"/>
      <c r="O26" s="157"/>
      <c r="P26" s="157"/>
      <c r="Q26" s="159">
        <f t="shared" si="6"/>
        <v>0</v>
      </c>
    </row>
    <row r="27" spans="1:17" x14ac:dyDescent="0.25">
      <c r="B27" s="27" t="s">
        <v>174</v>
      </c>
      <c r="C27" s="28"/>
      <c r="D27" s="29"/>
      <c r="E27" s="28"/>
      <c r="F27" s="15"/>
      <c r="G27" s="155"/>
      <c r="H27" s="15"/>
      <c r="I27" s="157"/>
      <c r="J27" s="6"/>
      <c r="K27" s="157"/>
      <c r="L27" s="157"/>
      <c r="M27" s="157"/>
      <c r="N27" s="157"/>
      <c r="O27" s="157"/>
      <c r="P27" s="157"/>
      <c r="Q27" s="159">
        <f t="shared" si="6"/>
        <v>0</v>
      </c>
    </row>
    <row r="28" spans="1:17" x14ac:dyDescent="0.25">
      <c r="B28" s="792" t="s">
        <v>175</v>
      </c>
      <c r="C28" s="792"/>
      <c r="D28" s="792"/>
      <c r="E28" s="792"/>
      <c r="F28" s="15"/>
      <c r="G28" s="156">
        <f>SUM(G24:G27)</f>
        <v>0</v>
      </c>
      <c r="H28" s="15"/>
      <c r="I28" s="158">
        <f>SUM(I24:I27)</f>
        <v>0</v>
      </c>
      <c r="J28" s="6"/>
      <c r="K28" s="158">
        <f t="shared" ref="K28:Q28" si="7">SUM(K24:K27)</f>
        <v>0</v>
      </c>
      <c r="L28" s="158">
        <f t="shared" si="7"/>
        <v>0</v>
      </c>
      <c r="M28" s="158">
        <f t="shared" si="7"/>
        <v>0</v>
      </c>
      <c r="N28" s="158">
        <f t="shared" si="7"/>
        <v>0</v>
      </c>
      <c r="O28" s="158">
        <f t="shared" si="7"/>
        <v>0</v>
      </c>
      <c r="P28" s="158">
        <f t="shared" si="7"/>
        <v>0</v>
      </c>
      <c r="Q28" s="158">
        <f t="shared" si="7"/>
        <v>0</v>
      </c>
    </row>
    <row r="29" spans="1:17" x14ac:dyDescent="0.25">
      <c r="A29" s="9" t="s">
        <v>176</v>
      </c>
      <c r="C29" s="32"/>
      <c r="D29" s="33"/>
      <c r="E29" s="32"/>
      <c r="G29" s="6"/>
      <c r="I29" s="6"/>
      <c r="J29" s="6"/>
      <c r="K29" s="6"/>
      <c r="L29" s="6"/>
      <c r="M29" s="6"/>
      <c r="N29" s="6"/>
      <c r="O29" s="6"/>
      <c r="P29" s="6"/>
      <c r="Q29" s="6"/>
    </row>
    <row r="30" spans="1:17" x14ac:dyDescent="0.25">
      <c r="B30" s="27" t="s">
        <v>177</v>
      </c>
      <c r="C30" s="28"/>
      <c r="D30" s="29"/>
      <c r="E30" s="28"/>
      <c r="F30" s="15"/>
      <c r="G30" s="154"/>
      <c r="H30" s="15"/>
      <c r="I30" s="157"/>
      <c r="J30" s="6"/>
      <c r="K30" s="157"/>
      <c r="L30" s="157"/>
      <c r="M30" s="157"/>
      <c r="N30" s="157"/>
      <c r="O30" s="157"/>
      <c r="P30" s="157"/>
      <c r="Q30" s="159">
        <f>SUM(K30:P30)+I30</f>
        <v>0</v>
      </c>
    </row>
    <row r="31" spans="1:17" x14ac:dyDescent="0.25">
      <c r="B31" s="27" t="s">
        <v>178</v>
      </c>
      <c r="C31" s="28"/>
      <c r="D31" s="29"/>
      <c r="E31" s="28"/>
      <c r="F31" s="15"/>
      <c r="G31" s="154"/>
      <c r="H31" s="15"/>
      <c r="I31" s="157"/>
      <c r="J31" s="6"/>
      <c r="K31" s="157"/>
      <c r="L31" s="157"/>
      <c r="M31" s="157"/>
      <c r="N31" s="157"/>
      <c r="O31" s="157"/>
      <c r="P31" s="157"/>
      <c r="Q31" s="159">
        <f t="shared" ref="Q31:Q33" si="8">SUM(K31:P31)+I31</f>
        <v>0</v>
      </c>
    </row>
    <row r="32" spans="1:17" x14ac:dyDescent="0.25">
      <c r="B32" s="27" t="s">
        <v>179</v>
      </c>
      <c r="C32" s="28"/>
      <c r="D32" s="29"/>
      <c r="E32" s="28"/>
      <c r="F32" s="15"/>
      <c r="G32" s="154"/>
      <c r="H32" s="15"/>
      <c r="I32" s="157"/>
      <c r="J32" s="6"/>
      <c r="K32" s="157"/>
      <c r="L32" s="157"/>
      <c r="M32" s="157"/>
      <c r="N32" s="157"/>
      <c r="O32" s="157"/>
      <c r="P32" s="157"/>
      <c r="Q32" s="159">
        <f t="shared" si="8"/>
        <v>0</v>
      </c>
    </row>
    <row r="33" spans="1:18" x14ac:dyDescent="0.25">
      <c r="B33" s="27" t="s">
        <v>180</v>
      </c>
      <c r="C33" s="28"/>
      <c r="D33" s="29"/>
      <c r="E33" s="28"/>
      <c r="F33" s="15"/>
      <c r="G33" s="155"/>
      <c r="H33" s="15"/>
      <c r="I33" s="157"/>
      <c r="J33" s="6"/>
      <c r="K33" s="157"/>
      <c r="L33" s="157"/>
      <c r="M33" s="157"/>
      <c r="N33" s="157"/>
      <c r="O33" s="157"/>
      <c r="P33" s="157"/>
      <c r="Q33" s="159">
        <f t="shared" si="8"/>
        <v>0</v>
      </c>
    </row>
    <row r="34" spans="1:18" x14ac:dyDescent="0.25">
      <c r="B34" s="792" t="s">
        <v>181</v>
      </c>
      <c r="C34" s="792"/>
      <c r="D34" s="792"/>
      <c r="E34" s="792"/>
      <c r="F34" s="15"/>
      <c r="G34" s="156">
        <f>SUM(G30:G33)</f>
        <v>0</v>
      </c>
      <c r="H34" s="15"/>
      <c r="I34" s="158">
        <f>SUM(I30:I33)</f>
        <v>0</v>
      </c>
      <c r="J34" s="6"/>
      <c r="K34" s="158">
        <f t="shared" ref="K34:Q34" si="9">SUM(K30:K33)</f>
        <v>0</v>
      </c>
      <c r="L34" s="158">
        <f t="shared" si="9"/>
        <v>0</v>
      </c>
      <c r="M34" s="158">
        <f t="shared" si="9"/>
        <v>0</v>
      </c>
      <c r="N34" s="158">
        <f t="shared" si="9"/>
        <v>0</v>
      </c>
      <c r="O34" s="158">
        <f t="shared" si="9"/>
        <v>0</v>
      </c>
      <c r="P34" s="158">
        <f t="shared" si="9"/>
        <v>0</v>
      </c>
      <c r="Q34" s="158">
        <f t="shared" si="9"/>
        <v>0</v>
      </c>
    </row>
    <row r="35" spans="1:18" ht="15.75" thickBot="1" x14ac:dyDescent="0.3">
      <c r="A35" s="3" t="s">
        <v>182</v>
      </c>
      <c r="G35" s="160">
        <f>+G34+G28+G22+G16+G10</f>
        <v>0</v>
      </c>
      <c r="I35" s="160">
        <f>+I34+I28+I22+I16+I10</f>
        <v>20101.25</v>
      </c>
      <c r="J35" s="5"/>
      <c r="K35" s="160">
        <f>+K34+K28+K22+K16+K10</f>
        <v>20453.37</v>
      </c>
      <c r="L35" s="160">
        <f t="shared" ref="L35:Q35" si="10">+L34+L28+L22+L16+L10</f>
        <v>21654.65</v>
      </c>
      <c r="M35" s="160">
        <f t="shared" si="10"/>
        <v>22926.48</v>
      </c>
      <c r="N35" s="160">
        <f t="shared" si="10"/>
        <v>24273.02</v>
      </c>
      <c r="O35" s="160">
        <f t="shared" si="10"/>
        <v>25698.639999999999</v>
      </c>
      <c r="P35" s="160">
        <f t="shared" si="10"/>
        <v>118800.85</v>
      </c>
      <c r="Q35" s="160">
        <f t="shared" si="10"/>
        <v>253908.26</v>
      </c>
    </row>
    <row r="36" spans="1:18" ht="15.75" thickTop="1" x14ac:dyDescent="0.25"/>
    <row r="37" spans="1:18" x14ac:dyDescent="0.25">
      <c r="A37" s="563" t="s">
        <v>183</v>
      </c>
      <c r="B37" s="563"/>
      <c r="C37" s="563"/>
      <c r="D37" s="563"/>
      <c r="E37" s="563"/>
      <c r="F37" s="563"/>
      <c r="G37" s="563"/>
      <c r="H37" s="563"/>
      <c r="I37" s="563"/>
      <c r="J37" s="563"/>
      <c r="K37" s="563"/>
      <c r="L37" s="563"/>
      <c r="M37" s="563"/>
      <c r="N37" s="563"/>
      <c r="O37" s="563"/>
      <c r="P37" s="563"/>
      <c r="Q37" s="563"/>
    </row>
    <row r="39" spans="1:18" x14ac:dyDescent="0.25">
      <c r="B39" t="s">
        <v>184</v>
      </c>
      <c r="G39" s="275"/>
      <c r="H39" s="276"/>
      <c r="I39" s="275"/>
    </row>
    <row r="40" spans="1:18" x14ac:dyDescent="0.25">
      <c r="B40" t="s">
        <v>185</v>
      </c>
      <c r="G40" s="275"/>
      <c r="H40" s="276"/>
      <c r="I40" s="275"/>
    </row>
    <row r="41" spans="1:18" x14ac:dyDescent="0.25">
      <c r="B41" t="s">
        <v>186</v>
      </c>
      <c r="G41" s="275"/>
      <c r="H41" s="276"/>
      <c r="I41" s="275"/>
    </row>
    <row r="44" spans="1:18" x14ac:dyDescent="0.25">
      <c r="B44" s="763" t="s">
        <v>884</v>
      </c>
      <c r="C44" s="763"/>
      <c r="D44" s="763"/>
      <c r="E44" s="763"/>
      <c r="F44" s="763"/>
      <c r="G44" s="763"/>
      <c r="H44" s="763"/>
      <c r="I44" s="763"/>
      <c r="J44" s="763"/>
      <c r="K44" s="763"/>
      <c r="L44" s="763"/>
      <c r="M44" s="763"/>
      <c r="N44" s="763"/>
      <c r="O44" s="763"/>
      <c r="P44" s="763"/>
      <c r="Q44" s="763"/>
      <c r="R44" s="763"/>
    </row>
  </sheetData>
  <sheetProtection algorithmName="SHA-512" hashValue="dK/sWcPrfEuToEXcEm94cWrURMcmT7SD/ZSxIyhXlVae2aLnUDks+pIXWc6i/nv5oRScGfwATAPvjdLsLIUwEg==" saltValue="NjnlUfxxP2nTh46DNphHwA==" spinCount="100000" sheet="1" objects="1" scenarios="1"/>
  <mergeCells count="7">
    <mergeCell ref="B44:R44"/>
    <mergeCell ref="A37:Q37"/>
    <mergeCell ref="A1:Q1"/>
    <mergeCell ref="A2:Q2"/>
    <mergeCell ref="B10:E10"/>
    <mergeCell ref="B28:E28"/>
    <mergeCell ref="B34:E34"/>
  </mergeCells>
  <phoneticPr fontId="58" type="noConversion"/>
  <printOptions horizontalCentered="1"/>
  <pageMargins left="0.25" right="0.25" top="0.75" bottom="0.75" header="0.3" footer="0.3"/>
  <pageSetup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0432-B178-4F32-8AE8-283AB507E467}">
  <sheetPr codeName="Sheet45">
    <tabColor rgb="FF92D050"/>
  </sheetPr>
  <dimension ref="A1:N43"/>
  <sheetViews>
    <sheetView showZeros="0" view="pageLayout" zoomScaleNormal="100" workbookViewId="0">
      <selection activeCell="M19" sqref="M19"/>
    </sheetView>
  </sheetViews>
  <sheetFormatPr defaultRowHeight="15" x14ac:dyDescent="0.25"/>
  <cols>
    <col min="1" max="1" width="1.85546875" customWidth="1"/>
    <col min="2" max="2" width="41.28515625" customWidth="1"/>
    <col min="3" max="3" width="1.5703125" customWidth="1"/>
    <col min="4" max="4" width="16" customWidth="1"/>
    <col min="5" max="5" width="1.28515625" customWidth="1"/>
    <col min="6" max="6" width="13" customWidth="1"/>
    <col min="7" max="7" width="1.28515625" customWidth="1"/>
    <col min="8" max="8" width="17.28515625" customWidth="1"/>
    <col min="9" max="9" width="13.5703125" customWidth="1"/>
    <col min="10" max="10" width="13" customWidth="1"/>
    <col min="11" max="11" width="12.7109375" customWidth="1"/>
    <col min="12" max="12" width="14.28515625" customWidth="1"/>
    <col min="13" max="13" width="13.7109375" customWidth="1"/>
    <col min="14" max="14" width="13.7109375" bestFit="1" customWidth="1"/>
  </cols>
  <sheetData>
    <row r="1" spans="1:14" x14ac:dyDescent="0.25">
      <c r="A1" s="768" t="str">
        <f>'F-6 Debt Service - Principal'!A1:Q1</f>
        <v>Weymouth Township FD No. 1</v>
      </c>
      <c r="B1" s="768"/>
      <c r="C1" s="768"/>
      <c r="D1" s="768"/>
      <c r="E1" s="768"/>
      <c r="F1" s="768"/>
      <c r="G1" s="768"/>
      <c r="H1" s="768"/>
      <c r="I1" s="768"/>
      <c r="J1" s="768"/>
      <c r="K1" s="768"/>
      <c r="L1" s="768"/>
      <c r="M1" s="768"/>
      <c r="N1" s="768"/>
    </row>
    <row r="2" spans="1:14" x14ac:dyDescent="0.25">
      <c r="A2" s="768" t="str">
        <f>'F-6 Debt Service - Principal'!A2:Q2</f>
        <v>Atlantic</v>
      </c>
      <c r="B2" s="768"/>
      <c r="C2" s="768"/>
      <c r="D2" s="768"/>
      <c r="E2" s="768"/>
      <c r="F2" s="768"/>
      <c r="G2" s="768"/>
      <c r="H2" s="768"/>
      <c r="I2" s="768"/>
      <c r="J2" s="768"/>
      <c r="K2" s="768"/>
      <c r="L2" s="768"/>
      <c r="M2" s="768"/>
      <c r="N2" s="768"/>
    </row>
    <row r="4" spans="1:14" ht="45.75" thickBot="1" x14ac:dyDescent="0.3">
      <c r="B4" s="15"/>
      <c r="C4" s="15"/>
      <c r="D4" s="17" t="str">
        <f>"Current Year "&amp;F4-1&amp;""</f>
        <v>Current Year 2024</v>
      </c>
      <c r="E4" s="41"/>
      <c r="F4" s="18" t="str">
        <f>""&amp;'Information Sheet'!B11&amp;""</f>
        <v>2025</v>
      </c>
      <c r="G4" s="19"/>
      <c r="H4" s="20">
        <f>F4+1</f>
        <v>2026</v>
      </c>
      <c r="I4" s="20">
        <f>H4+1</f>
        <v>2027</v>
      </c>
      <c r="J4" s="20">
        <f>I4+1</f>
        <v>2028</v>
      </c>
      <c r="K4" s="20">
        <f>J4+1</f>
        <v>2029</v>
      </c>
      <c r="L4" s="20">
        <f>K4+1</f>
        <v>2030</v>
      </c>
      <c r="M4" s="21" t="s">
        <v>151</v>
      </c>
      <c r="N4" s="22" t="s">
        <v>206</v>
      </c>
    </row>
    <row r="5" spans="1:14" x14ac:dyDescent="0.25">
      <c r="A5" s="42" t="s">
        <v>153</v>
      </c>
      <c r="B5" s="42"/>
      <c r="C5" s="42"/>
      <c r="D5" s="42"/>
      <c r="E5" s="42"/>
      <c r="F5" s="15"/>
      <c r="G5" s="15"/>
      <c r="H5" s="15"/>
      <c r="I5" s="15"/>
      <c r="J5" s="15"/>
      <c r="K5" s="15"/>
      <c r="L5" s="15"/>
    </row>
    <row r="6" spans="1:14" x14ac:dyDescent="0.25">
      <c r="B6" s="15" t="str">
        <f>'F-6 Debt Service - Principal'!B6</f>
        <v>General Obligation Bond #1</v>
      </c>
      <c r="C6" s="15"/>
      <c r="D6" s="154"/>
      <c r="E6" s="30"/>
      <c r="F6" s="154"/>
      <c r="G6" s="30"/>
      <c r="H6" s="154"/>
      <c r="I6" s="154"/>
      <c r="J6" s="154"/>
      <c r="K6" s="154"/>
      <c r="L6" s="154"/>
      <c r="M6" s="157"/>
      <c r="N6" s="159">
        <f>SUM(H6:M6)+F6</f>
        <v>0</v>
      </c>
    </row>
    <row r="7" spans="1:14" x14ac:dyDescent="0.25">
      <c r="B7" s="15" t="str">
        <f>'F-6 Debt Service - Principal'!B7</f>
        <v>General Obligation Bond #2</v>
      </c>
      <c r="C7" s="15"/>
      <c r="D7" s="154"/>
      <c r="E7" s="31"/>
      <c r="F7" s="154"/>
      <c r="G7" s="31"/>
      <c r="H7" s="154"/>
      <c r="I7" s="154"/>
      <c r="J7" s="154"/>
      <c r="K7" s="154"/>
      <c r="L7" s="154"/>
      <c r="M7" s="157"/>
      <c r="N7" s="159">
        <f t="shared" ref="N7:N9" si="0">SUM(H7:M7)+F7</f>
        <v>0</v>
      </c>
    </row>
    <row r="8" spans="1:14" x14ac:dyDescent="0.25">
      <c r="B8" s="15" t="str">
        <f>'F-6 Debt Service - Principal'!B8</f>
        <v>General Obligation Bond #3</v>
      </c>
      <c r="C8" s="15"/>
      <c r="D8" s="154"/>
      <c r="E8" s="31"/>
      <c r="F8" s="154"/>
      <c r="G8" s="31"/>
      <c r="H8" s="154"/>
      <c r="I8" s="154"/>
      <c r="J8" s="154"/>
      <c r="K8" s="154"/>
      <c r="L8" s="154"/>
      <c r="M8" s="157"/>
      <c r="N8" s="159">
        <f t="shared" si="0"/>
        <v>0</v>
      </c>
    </row>
    <row r="9" spans="1:14" x14ac:dyDescent="0.25">
      <c r="B9" s="15" t="str">
        <f>'F-6 Debt Service - Principal'!B9</f>
        <v>General Obligation Bond #4</v>
      </c>
      <c r="C9" s="15"/>
      <c r="D9" s="155"/>
      <c r="E9" s="31"/>
      <c r="F9" s="154"/>
      <c r="G9" s="31"/>
      <c r="H9" s="154"/>
      <c r="I9" s="154"/>
      <c r="J9" s="154"/>
      <c r="K9" s="154"/>
      <c r="L9" s="154"/>
      <c r="M9" s="157"/>
      <c r="N9" s="159">
        <f t="shared" si="0"/>
        <v>0</v>
      </c>
    </row>
    <row r="10" spans="1:14" x14ac:dyDescent="0.25">
      <c r="B10" s="15" t="s">
        <v>207</v>
      </c>
      <c r="C10" s="15"/>
      <c r="D10" s="161">
        <f>SUM(D6:D9)</f>
        <v>0</v>
      </c>
      <c r="E10" s="31"/>
      <c r="F10" s="158">
        <f>SUM(F6:F9)</f>
        <v>0</v>
      </c>
      <c r="G10" s="6"/>
      <c r="H10" s="158">
        <f>SUM(H6:H9)</f>
        <v>0</v>
      </c>
      <c r="I10" s="158">
        <f t="shared" ref="I10:M10" si="1">SUM(I6:I9)</f>
        <v>0</v>
      </c>
      <c r="J10" s="158">
        <f t="shared" si="1"/>
        <v>0</v>
      </c>
      <c r="K10" s="158">
        <f t="shared" si="1"/>
        <v>0</v>
      </c>
      <c r="L10" s="158">
        <f t="shared" si="1"/>
        <v>0</v>
      </c>
      <c r="M10" s="158">
        <f t="shared" si="1"/>
        <v>0</v>
      </c>
      <c r="N10" s="158">
        <f>SUM(N6:N9)</f>
        <v>0</v>
      </c>
    </row>
    <row r="11" spans="1:14" x14ac:dyDescent="0.25">
      <c r="A11" s="9" t="s">
        <v>159</v>
      </c>
      <c r="D11" s="6"/>
      <c r="E11" s="6"/>
      <c r="F11" s="6"/>
      <c r="G11" s="6"/>
      <c r="H11" s="6"/>
      <c r="I11" s="6"/>
      <c r="J11" s="6"/>
      <c r="K11" s="6"/>
      <c r="L11" s="6"/>
      <c r="M11" s="6"/>
      <c r="N11" s="6"/>
    </row>
    <row r="12" spans="1:14" x14ac:dyDescent="0.25">
      <c r="B12" s="15" t="str">
        <f>'F-6 Debt Service - Principal'!B12</f>
        <v>BAN #1</v>
      </c>
      <c r="C12" s="15"/>
      <c r="D12" s="154"/>
      <c r="E12" s="31"/>
      <c r="F12" s="157"/>
      <c r="G12" s="6"/>
      <c r="H12" s="157"/>
      <c r="I12" s="157"/>
      <c r="J12" s="157"/>
      <c r="K12" s="157"/>
      <c r="L12" s="157"/>
      <c r="M12" s="157"/>
      <c r="N12" s="159">
        <f>SUM(H12:M12)+F12</f>
        <v>0</v>
      </c>
    </row>
    <row r="13" spans="1:14" x14ac:dyDescent="0.25">
      <c r="B13" s="15" t="str">
        <f>'F-6 Debt Service - Principal'!B13</f>
        <v>BAN #2</v>
      </c>
      <c r="C13" s="15"/>
      <c r="D13" s="154"/>
      <c r="E13" s="31"/>
      <c r="F13" s="157"/>
      <c r="G13" s="6"/>
      <c r="H13" s="157"/>
      <c r="I13" s="157"/>
      <c r="J13" s="157"/>
      <c r="K13" s="157"/>
      <c r="L13" s="157"/>
      <c r="M13" s="157"/>
      <c r="N13" s="159">
        <f t="shared" ref="N13:N15" si="2">SUM(H13:M13)+F13</f>
        <v>0</v>
      </c>
    </row>
    <row r="14" spans="1:14" x14ac:dyDescent="0.25">
      <c r="B14" s="15" t="str">
        <f>'F-6 Debt Service - Principal'!B14</f>
        <v>BAN #3</v>
      </c>
      <c r="C14" s="15"/>
      <c r="D14" s="154"/>
      <c r="E14" s="31"/>
      <c r="F14" s="157"/>
      <c r="G14" s="6"/>
      <c r="H14" s="157"/>
      <c r="I14" s="157"/>
      <c r="J14" s="157"/>
      <c r="K14" s="157"/>
      <c r="L14" s="157"/>
      <c r="M14" s="157"/>
      <c r="N14" s="159">
        <f t="shared" si="2"/>
        <v>0</v>
      </c>
    </row>
    <row r="15" spans="1:14" x14ac:dyDescent="0.25">
      <c r="B15" s="15" t="str">
        <f>'F-6 Debt Service - Principal'!B15</f>
        <v>BAN #4</v>
      </c>
      <c r="C15" s="15"/>
      <c r="D15" s="155"/>
      <c r="E15" s="31"/>
      <c r="F15" s="157"/>
      <c r="G15" s="6"/>
      <c r="H15" s="157"/>
      <c r="I15" s="157"/>
      <c r="J15" s="157"/>
      <c r="K15" s="157"/>
      <c r="L15" s="157"/>
      <c r="M15" s="157"/>
      <c r="N15" s="159">
        <f t="shared" si="2"/>
        <v>0</v>
      </c>
    </row>
    <row r="16" spans="1:14" x14ac:dyDescent="0.25">
      <c r="B16" s="15" t="s">
        <v>208</v>
      </c>
      <c r="C16" s="15"/>
      <c r="D16" s="156">
        <f>SUM(D12:D15)</f>
        <v>0</v>
      </c>
      <c r="E16" s="31"/>
      <c r="F16" s="158">
        <f>SUM(F12:F15)</f>
        <v>0</v>
      </c>
      <c r="G16" s="6"/>
      <c r="H16" s="158">
        <f t="shared" ref="H16:N16" si="3">SUM(H12:H15)</f>
        <v>0</v>
      </c>
      <c r="I16" s="158">
        <f t="shared" si="3"/>
        <v>0</v>
      </c>
      <c r="J16" s="158">
        <f t="shared" si="3"/>
        <v>0</v>
      </c>
      <c r="K16" s="158">
        <f t="shared" si="3"/>
        <v>0</v>
      </c>
      <c r="L16" s="158">
        <f t="shared" si="3"/>
        <v>0</v>
      </c>
      <c r="M16" s="158">
        <f t="shared" si="3"/>
        <v>0</v>
      </c>
      <c r="N16" s="158">
        <f t="shared" si="3"/>
        <v>0</v>
      </c>
    </row>
    <row r="17" spans="1:14" x14ac:dyDescent="0.25">
      <c r="A17" s="9" t="s">
        <v>165</v>
      </c>
      <c r="D17" s="6"/>
      <c r="E17" s="6"/>
      <c r="F17" s="6"/>
      <c r="G17" s="6"/>
      <c r="H17" s="6"/>
      <c r="I17" s="6"/>
      <c r="J17" s="6"/>
      <c r="K17" s="6"/>
      <c r="L17" s="6"/>
      <c r="M17" s="6"/>
      <c r="N17" s="6"/>
    </row>
    <row r="18" spans="1:14" x14ac:dyDescent="0.25">
      <c r="B18" s="15" t="str">
        <f>'F-6 Debt Service - Principal'!B18</f>
        <v>Community First National Bank</v>
      </c>
      <c r="C18" s="15"/>
      <c r="D18" s="154"/>
      <c r="E18" s="31"/>
      <c r="F18" s="157">
        <v>14084.23</v>
      </c>
      <c r="G18" s="6"/>
      <c r="H18" s="157">
        <v>13732.11</v>
      </c>
      <c r="I18" s="157">
        <v>12530.83</v>
      </c>
      <c r="J18" s="157">
        <v>11259</v>
      </c>
      <c r="K18" s="157">
        <v>9912.4599999999991</v>
      </c>
      <c r="L18" s="157">
        <v>8486.84</v>
      </c>
      <c r="M18" s="157">
        <f>6977.49+5379.49+3687.64+1896.45</f>
        <v>17941.07</v>
      </c>
      <c r="N18" s="159">
        <f>SUM(H18:M18)+F18</f>
        <v>87946.54</v>
      </c>
    </row>
    <row r="19" spans="1:14" x14ac:dyDescent="0.25">
      <c r="B19" s="15" t="str">
        <f>'F-6 Debt Service - Principal'!B19</f>
        <v>Capital Lease #2</v>
      </c>
      <c r="C19" s="15"/>
      <c r="D19" s="154"/>
      <c r="E19" s="31"/>
      <c r="F19" s="157"/>
      <c r="G19" s="6"/>
      <c r="H19" s="157"/>
      <c r="I19" s="157"/>
      <c r="J19" s="157"/>
      <c r="K19" s="157"/>
      <c r="L19" s="157"/>
      <c r="M19" s="157"/>
      <c r="N19" s="159">
        <f t="shared" ref="N19:N21" si="4">SUM(H19:M19)+F19</f>
        <v>0</v>
      </c>
    </row>
    <row r="20" spans="1:14" x14ac:dyDescent="0.25">
      <c r="B20" s="15" t="str">
        <f>'F-6 Debt Service - Principal'!B20</f>
        <v>Capital Lease #3</v>
      </c>
      <c r="C20" s="15"/>
      <c r="D20" s="154"/>
      <c r="E20" s="31"/>
      <c r="F20" s="157"/>
      <c r="G20" s="6"/>
      <c r="H20" s="157"/>
      <c r="I20" s="157"/>
      <c r="J20" s="157"/>
      <c r="K20" s="157"/>
      <c r="L20" s="157"/>
      <c r="M20" s="157"/>
      <c r="N20" s="159">
        <f t="shared" si="4"/>
        <v>0</v>
      </c>
    </row>
    <row r="21" spans="1:14" x14ac:dyDescent="0.25">
      <c r="B21" s="15" t="str">
        <f>'F-6 Debt Service - Principal'!B21</f>
        <v>Capital Lease #4</v>
      </c>
      <c r="C21" s="15"/>
      <c r="D21" s="155"/>
      <c r="E21" s="31"/>
      <c r="F21" s="157"/>
      <c r="G21" s="6"/>
      <c r="H21" s="157"/>
      <c r="I21" s="157"/>
      <c r="J21" s="157"/>
      <c r="K21" s="157"/>
      <c r="L21" s="157"/>
      <c r="M21" s="157"/>
      <c r="N21" s="159">
        <f t="shared" si="4"/>
        <v>0</v>
      </c>
    </row>
    <row r="22" spans="1:14" x14ac:dyDescent="0.25">
      <c r="B22" s="15" t="s">
        <v>209</v>
      </c>
      <c r="C22" s="15"/>
      <c r="D22" s="156">
        <f>SUM(D18:D21)</f>
        <v>0</v>
      </c>
      <c r="E22" s="31"/>
      <c r="F22" s="158">
        <f>SUM(F18:F21)</f>
        <v>14084.23</v>
      </c>
      <c r="G22" s="6"/>
      <c r="H22" s="158">
        <f t="shared" ref="H22:N22" si="5">SUM(H18:H21)</f>
        <v>13732.11</v>
      </c>
      <c r="I22" s="158">
        <f t="shared" si="5"/>
        <v>12530.83</v>
      </c>
      <c r="J22" s="158">
        <f t="shared" si="5"/>
        <v>11259</v>
      </c>
      <c r="K22" s="158">
        <f t="shared" si="5"/>
        <v>9912.4599999999991</v>
      </c>
      <c r="L22" s="158">
        <f t="shared" si="5"/>
        <v>8486.84</v>
      </c>
      <c r="M22" s="158">
        <f t="shared" si="5"/>
        <v>17941.07</v>
      </c>
      <c r="N22" s="158">
        <f t="shared" si="5"/>
        <v>87946.54</v>
      </c>
    </row>
    <row r="23" spans="1:14" x14ac:dyDescent="0.25">
      <c r="A23" s="9" t="s">
        <v>170</v>
      </c>
      <c r="D23" s="6"/>
      <c r="E23" s="6"/>
      <c r="F23" s="6"/>
      <c r="G23" s="6"/>
      <c r="H23" s="6"/>
      <c r="I23" s="6"/>
      <c r="J23" s="6"/>
      <c r="K23" s="6"/>
      <c r="L23" s="6"/>
      <c r="M23" s="6"/>
      <c r="N23" s="6"/>
    </row>
    <row r="24" spans="1:14" x14ac:dyDescent="0.25">
      <c r="B24" s="15" t="str">
        <f>'F-6 Debt Service - Principal'!B24</f>
        <v>Intergovernmental #1</v>
      </c>
      <c r="C24" s="15"/>
      <c r="D24" s="154"/>
      <c r="E24" s="31"/>
      <c r="F24" s="157"/>
      <c r="G24" s="6"/>
      <c r="H24" s="157"/>
      <c r="I24" s="157"/>
      <c r="J24" s="157"/>
      <c r="K24" s="157"/>
      <c r="L24" s="157"/>
      <c r="M24" s="157"/>
      <c r="N24" s="159">
        <f>SUM(H24:M24)+F24</f>
        <v>0</v>
      </c>
    </row>
    <row r="25" spans="1:14" x14ac:dyDescent="0.25">
      <c r="B25" s="15" t="str">
        <f>'F-6 Debt Service - Principal'!B25</f>
        <v>Intergovernmental #2</v>
      </c>
      <c r="C25" s="15"/>
      <c r="D25" s="154"/>
      <c r="E25" s="31"/>
      <c r="F25" s="157"/>
      <c r="G25" s="6"/>
      <c r="H25" s="157"/>
      <c r="I25" s="157"/>
      <c r="J25" s="157"/>
      <c r="K25" s="157"/>
      <c r="L25" s="157"/>
      <c r="M25" s="157"/>
      <c r="N25" s="159">
        <f t="shared" ref="N25:N27" si="6">SUM(H25:M25)+F25</f>
        <v>0</v>
      </c>
    </row>
    <row r="26" spans="1:14" x14ac:dyDescent="0.25">
      <c r="B26" s="15" t="str">
        <f>'F-6 Debt Service - Principal'!B26</f>
        <v>Intergovernmental #3</v>
      </c>
      <c r="C26" s="15"/>
      <c r="D26" s="154"/>
      <c r="E26" s="31"/>
      <c r="F26" s="157"/>
      <c r="G26" s="6"/>
      <c r="H26" s="157"/>
      <c r="I26" s="157"/>
      <c r="J26" s="157"/>
      <c r="K26" s="157"/>
      <c r="L26" s="157"/>
      <c r="M26" s="157"/>
      <c r="N26" s="159">
        <f t="shared" si="6"/>
        <v>0</v>
      </c>
    </row>
    <row r="27" spans="1:14" x14ac:dyDescent="0.25">
      <c r="B27" s="15" t="str">
        <f>'F-6 Debt Service - Principal'!B27</f>
        <v>Intergovernmental #4</v>
      </c>
      <c r="C27" s="15"/>
      <c r="D27" s="155"/>
      <c r="E27" s="31"/>
      <c r="F27" s="157"/>
      <c r="G27" s="6"/>
      <c r="H27" s="157"/>
      <c r="I27" s="157"/>
      <c r="J27" s="157"/>
      <c r="K27" s="157"/>
      <c r="L27" s="157"/>
      <c r="M27" s="157"/>
      <c r="N27" s="159">
        <f t="shared" si="6"/>
        <v>0</v>
      </c>
    </row>
    <row r="28" spans="1:14" x14ac:dyDescent="0.25">
      <c r="B28" s="15" t="s">
        <v>210</v>
      </c>
      <c r="C28" s="15"/>
      <c r="D28" s="156">
        <f>SUM(D24:D27)</f>
        <v>0</v>
      </c>
      <c r="E28" s="31"/>
      <c r="F28" s="158">
        <f>SUM(F24:F27)</f>
        <v>0</v>
      </c>
      <c r="G28" s="6"/>
      <c r="H28" s="158">
        <f t="shared" ref="H28:N28" si="7">SUM(H24:H27)</f>
        <v>0</v>
      </c>
      <c r="I28" s="158">
        <f t="shared" si="7"/>
        <v>0</v>
      </c>
      <c r="J28" s="158">
        <f t="shared" si="7"/>
        <v>0</v>
      </c>
      <c r="K28" s="158">
        <f t="shared" si="7"/>
        <v>0</v>
      </c>
      <c r="L28" s="158">
        <f t="shared" si="7"/>
        <v>0</v>
      </c>
      <c r="M28" s="158">
        <f t="shared" si="7"/>
        <v>0</v>
      </c>
      <c r="N28" s="158">
        <f t="shared" si="7"/>
        <v>0</v>
      </c>
    </row>
    <row r="29" spans="1:14" x14ac:dyDescent="0.25">
      <c r="A29" s="9" t="s">
        <v>176</v>
      </c>
      <c r="D29" s="6"/>
      <c r="E29" s="6"/>
      <c r="F29" s="6"/>
      <c r="G29" s="6"/>
      <c r="H29" s="6"/>
      <c r="I29" s="6"/>
      <c r="J29" s="6"/>
      <c r="K29" s="6"/>
      <c r="L29" s="6"/>
      <c r="M29" s="6"/>
      <c r="N29" s="6"/>
    </row>
    <row r="30" spans="1:14" x14ac:dyDescent="0.25">
      <c r="B30" s="15" t="str">
        <f>'F-6 Debt Service - Principal'!B30</f>
        <v>Other Bonds or Notes #1</v>
      </c>
      <c r="C30" s="15"/>
      <c r="D30" s="154"/>
      <c r="E30" s="31"/>
      <c r="F30" s="157"/>
      <c r="G30" s="6"/>
      <c r="H30" s="157"/>
      <c r="I30" s="157"/>
      <c r="J30" s="157"/>
      <c r="K30" s="157"/>
      <c r="L30" s="157"/>
      <c r="M30" s="157"/>
      <c r="N30" s="159">
        <f>SUM(H30:M30)+F30</f>
        <v>0</v>
      </c>
    </row>
    <row r="31" spans="1:14" x14ac:dyDescent="0.25">
      <c r="B31" s="15" t="str">
        <f>'F-6 Debt Service - Principal'!B31</f>
        <v>Other Bonds or Notes #2</v>
      </c>
      <c r="C31" s="15"/>
      <c r="D31" s="154"/>
      <c r="E31" s="31"/>
      <c r="F31" s="157"/>
      <c r="G31" s="6"/>
      <c r="H31" s="157"/>
      <c r="I31" s="157"/>
      <c r="J31" s="157"/>
      <c r="K31" s="157"/>
      <c r="L31" s="157"/>
      <c r="M31" s="157"/>
      <c r="N31" s="159">
        <f t="shared" ref="N31:N33" si="8">SUM(H31:M31)+F31</f>
        <v>0</v>
      </c>
    </row>
    <row r="32" spans="1:14" x14ac:dyDescent="0.25">
      <c r="B32" s="15" t="str">
        <f>'F-6 Debt Service - Principal'!B32</f>
        <v>Other Bonds or Notes #3</v>
      </c>
      <c r="C32" s="15"/>
      <c r="D32" s="154"/>
      <c r="E32" s="31"/>
      <c r="F32" s="157"/>
      <c r="G32" s="6"/>
      <c r="H32" s="157"/>
      <c r="I32" s="157"/>
      <c r="J32" s="157"/>
      <c r="K32" s="157"/>
      <c r="L32" s="157"/>
      <c r="M32" s="157"/>
      <c r="N32" s="159">
        <f t="shared" si="8"/>
        <v>0</v>
      </c>
    </row>
    <row r="33" spans="1:14" x14ac:dyDescent="0.25">
      <c r="B33" s="15" t="str">
        <f>'F-6 Debt Service - Principal'!B33</f>
        <v>Other Bonds or Notes #4</v>
      </c>
      <c r="C33" s="15"/>
      <c r="D33" s="155"/>
      <c r="E33" s="31"/>
      <c r="F33" s="157"/>
      <c r="G33" s="6"/>
      <c r="H33" s="157"/>
      <c r="I33" s="157"/>
      <c r="J33" s="157"/>
      <c r="K33" s="157"/>
      <c r="L33" s="157"/>
      <c r="M33" s="157"/>
      <c r="N33" s="159">
        <f t="shared" si="8"/>
        <v>0</v>
      </c>
    </row>
    <row r="34" spans="1:14" x14ac:dyDescent="0.25">
      <c r="B34" s="15" t="s">
        <v>211</v>
      </c>
      <c r="C34" s="15"/>
      <c r="D34" s="156">
        <f>SUM(D30:D33)</f>
        <v>0</v>
      </c>
      <c r="E34" s="31"/>
      <c r="F34" s="158">
        <f>SUM(F30:F33)</f>
        <v>0</v>
      </c>
      <c r="G34" s="6"/>
      <c r="H34" s="158">
        <f t="shared" ref="H34:N34" si="9">SUM(H30:H33)</f>
        <v>0</v>
      </c>
      <c r="I34" s="158">
        <f t="shared" si="9"/>
        <v>0</v>
      </c>
      <c r="J34" s="158">
        <f t="shared" si="9"/>
        <v>0</v>
      </c>
      <c r="K34" s="158">
        <f t="shared" si="9"/>
        <v>0</v>
      </c>
      <c r="L34" s="158">
        <f t="shared" si="9"/>
        <v>0</v>
      </c>
      <c r="M34" s="158">
        <f t="shared" si="9"/>
        <v>0</v>
      </c>
      <c r="N34" s="158">
        <f t="shared" si="9"/>
        <v>0</v>
      </c>
    </row>
    <row r="35" spans="1:14" ht="15.75" thickBot="1" x14ac:dyDescent="0.3">
      <c r="A35" s="3" t="s">
        <v>212</v>
      </c>
      <c r="D35" s="160">
        <f>+D34+D28+D22+D16+D10</f>
        <v>0</v>
      </c>
      <c r="E35" s="5"/>
      <c r="F35" s="160">
        <f>+F34+F28+F22+F16+F10</f>
        <v>14084.23</v>
      </c>
      <c r="G35" s="5"/>
      <c r="H35" s="160">
        <f>+H34+H28+H22+H16+H10</f>
        <v>13732.11</v>
      </c>
      <c r="I35" s="160">
        <f t="shared" ref="I35:N35" si="10">+I34+I28+I22+I16+I10</f>
        <v>12530.83</v>
      </c>
      <c r="J35" s="160">
        <f t="shared" si="10"/>
        <v>11259</v>
      </c>
      <c r="K35" s="160">
        <f t="shared" si="10"/>
        <v>9912.4599999999991</v>
      </c>
      <c r="L35" s="160">
        <f t="shared" si="10"/>
        <v>8486.84</v>
      </c>
      <c r="M35" s="160">
        <f t="shared" si="10"/>
        <v>17941.07</v>
      </c>
      <c r="N35" s="160">
        <f t="shared" si="10"/>
        <v>87946.54</v>
      </c>
    </row>
    <row r="36" spans="1:14" ht="15.75" thickTop="1" x14ac:dyDescent="0.25"/>
    <row r="37" spans="1:14" x14ac:dyDescent="0.25">
      <c r="A37" s="793" t="s">
        <v>818</v>
      </c>
      <c r="B37" s="793"/>
      <c r="C37" s="793"/>
      <c r="D37" s="793"/>
      <c r="E37" s="793"/>
      <c r="F37" s="793"/>
      <c r="G37" s="793"/>
      <c r="H37" s="793"/>
      <c r="I37" s="793"/>
      <c r="J37" s="793"/>
      <c r="K37" s="793"/>
      <c r="L37" s="793"/>
      <c r="M37" s="793"/>
      <c r="N37" s="793"/>
    </row>
    <row r="38" spans="1:14" x14ac:dyDescent="0.25">
      <c r="A38" s="9" t="s">
        <v>819</v>
      </c>
    </row>
    <row r="39" spans="1:14" x14ac:dyDescent="0.25">
      <c r="A39" t="s">
        <v>184</v>
      </c>
      <c r="D39" s="275"/>
      <c r="E39" s="276"/>
      <c r="F39" s="275"/>
    </row>
    <row r="40" spans="1:14" x14ac:dyDescent="0.25">
      <c r="A40" t="s">
        <v>185</v>
      </c>
      <c r="D40" s="275"/>
      <c r="E40" s="276"/>
      <c r="F40" s="275"/>
    </row>
    <row r="41" spans="1:14" x14ac:dyDescent="0.25">
      <c r="A41" t="s">
        <v>186</v>
      </c>
      <c r="D41" s="275"/>
      <c r="E41" s="276"/>
      <c r="F41" s="275"/>
    </row>
    <row r="42" spans="1:14" x14ac:dyDescent="0.25">
      <c r="A42" s="763" t="s">
        <v>883</v>
      </c>
      <c r="B42" s="763"/>
      <c r="C42" s="763"/>
      <c r="D42" s="763"/>
      <c r="E42" s="763"/>
      <c r="F42" s="763"/>
      <c r="G42" s="763"/>
      <c r="H42" s="763"/>
      <c r="I42" s="763"/>
      <c r="J42" s="763"/>
      <c r="K42" s="763"/>
      <c r="L42" s="763"/>
      <c r="M42" s="763"/>
      <c r="N42" s="763"/>
    </row>
    <row r="43" spans="1:14" x14ac:dyDescent="0.25">
      <c r="D43" t="s">
        <v>213</v>
      </c>
    </row>
  </sheetData>
  <sheetProtection algorithmName="SHA-512" hashValue="XSe+pAc5qmt1OnCO7mtwQTwVv8wfO4d7ieB7/yES15xgXUKPSwpMNkFtu3KLko11CXn08pYZtki+F67mN/5FOg==" saltValue="MgzlD9GUF6P6eXZzlvNe/g==" spinCount="100000" sheet="1" objects="1" scenarios="1"/>
  <mergeCells count="4">
    <mergeCell ref="A1:N1"/>
    <mergeCell ref="A2:N2"/>
    <mergeCell ref="A37:N37"/>
    <mergeCell ref="A42:N42"/>
  </mergeCells>
  <printOptions horizontalCentered="1"/>
  <pageMargins left="0.25" right="0.25" top="0.75" bottom="0.75" header="0.3" footer="0.3"/>
  <pageSetup scale="76"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E7F6D-31F6-4486-B201-528EF653AB54}">
  <sheetPr codeName="Sheet46">
    <tabColor rgb="FF92D050"/>
  </sheetPr>
  <dimension ref="A1:E44"/>
  <sheetViews>
    <sheetView view="pageLayout" zoomScaleNormal="100" workbookViewId="0">
      <selection activeCell="D19" sqref="D19"/>
    </sheetView>
  </sheetViews>
  <sheetFormatPr defaultRowHeight="15" x14ac:dyDescent="0.25"/>
  <cols>
    <col min="1" max="1" width="2.7109375" customWidth="1"/>
    <col min="2" max="2" width="4.5703125" customWidth="1"/>
    <col min="3" max="3" width="69.42578125" customWidth="1"/>
    <col min="4" max="4" width="20.42578125" customWidth="1"/>
    <col min="5" max="5" width="3.7109375" customWidth="1"/>
  </cols>
  <sheetData>
    <row r="1" spans="1:5" x14ac:dyDescent="0.25">
      <c r="A1" s="768" t="str">
        <f>'Information Sheet'!B9</f>
        <v>Weymouth Township FD No. 1</v>
      </c>
      <c r="B1" s="768"/>
      <c r="C1" s="768"/>
      <c r="D1" s="768"/>
      <c r="E1" s="768"/>
    </row>
    <row r="2" spans="1:5" x14ac:dyDescent="0.25">
      <c r="A2" s="768" t="str">
        <f>'Information Sheet'!B10</f>
        <v>Atlantic</v>
      </c>
      <c r="B2" s="768"/>
      <c r="C2" s="768"/>
      <c r="D2" s="768"/>
      <c r="E2" s="768"/>
    </row>
    <row r="3" spans="1:5" x14ac:dyDescent="0.25">
      <c r="C3" s="36"/>
      <c r="D3" s="37"/>
    </row>
    <row r="4" spans="1:5" x14ac:dyDescent="0.25">
      <c r="A4" s="794" t="s">
        <v>214</v>
      </c>
      <c r="B4" s="794"/>
      <c r="C4" s="794"/>
      <c r="D4" s="5"/>
    </row>
    <row r="5" spans="1:5" x14ac:dyDescent="0.25">
      <c r="B5" t="str">
        <f>"Beginning balance January 1, "&amp;'KEY INPUTS'!B1-1&amp;" (1)"</f>
        <v>Beginning balance January 1, 2024 (1)</v>
      </c>
      <c r="D5" s="141">
        <v>10554</v>
      </c>
    </row>
    <row r="6" spans="1:5" x14ac:dyDescent="0.25">
      <c r="B6" t="s">
        <v>216</v>
      </c>
      <c r="D6" s="141"/>
    </row>
    <row r="7" spans="1:5" x14ac:dyDescent="0.25">
      <c r="B7" t="s">
        <v>217</v>
      </c>
      <c r="D7" s="141"/>
    </row>
    <row r="8" spans="1:5" x14ac:dyDescent="0.25">
      <c r="B8" t="str">
        <f>"Less: Utilized in "&amp;'KEY INPUTS'!B1-1&amp;" Adopted Budget"</f>
        <v>Less: Utilized in 2024 Adopted Budget</v>
      </c>
      <c r="D8" s="162">
        <f>'F-2 Revenues (Proposed)'!F5</f>
        <v>0</v>
      </c>
    </row>
    <row r="9" spans="1:5" x14ac:dyDescent="0.25">
      <c r="C9" t="s">
        <v>215</v>
      </c>
      <c r="D9" s="142">
        <f>(D5+D6+D7)-D8</f>
        <v>10554</v>
      </c>
    </row>
    <row r="10" spans="1:5" x14ac:dyDescent="0.25">
      <c r="B10" t="str">
        <f>"Estimated results of operations for the year ending December 31, "&amp;'KEY INPUTS'!B1-1&amp;""</f>
        <v>Estimated results of operations for the year ending December 31, 2024</v>
      </c>
      <c r="D10" s="144"/>
    </row>
    <row r="11" spans="1:5" x14ac:dyDescent="0.25">
      <c r="C11" t="str">
        <f>"Anticipated balance December 31, "&amp;'KEY INPUTS'!B1-1&amp;""</f>
        <v>Anticipated balance December 31, 2024</v>
      </c>
      <c r="D11" s="142">
        <f>D9+D10</f>
        <v>10554</v>
      </c>
    </row>
    <row r="12" spans="1:5" x14ac:dyDescent="0.25">
      <c r="B12" t="str">
        <f>"Less: Fund Balance utilized in "&amp;'KEY INPUTS'!B1&amp;" Proposed Budget"</f>
        <v>Less: Fund Balance utilized in 2025 Proposed Budget</v>
      </c>
      <c r="D12" s="141"/>
    </row>
    <row r="13" spans="1:5" ht="15.75" thickBot="1" x14ac:dyDescent="0.3">
      <c r="C13" t="str">
        <f>"Proposed balance after utilization in "&amp;'KEY INPUTS'!B1&amp;" Proposed Budget"</f>
        <v>Proposed balance after utilization in 2025 Proposed Budget</v>
      </c>
      <c r="D13" s="143">
        <f>D11-D12</f>
        <v>10554</v>
      </c>
    </row>
    <row r="14" spans="1:5" ht="15.75" thickTop="1" x14ac:dyDescent="0.25">
      <c r="D14" s="6"/>
    </row>
    <row r="15" spans="1:5" x14ac:dyDescent="0.25">
      <c r="A15" s="794" t="s">
        <v>218</v>
      </c>
      <c r="B15" s="794"/>
      <c r="C15" s="794"/>
      <c r="D15" s="6"/>
    </row>
    <row r="16" spans="1:5" x14ac:dyDescent="0.25">
      <c r="B16" t="str">
        <f>"Beginning balance January 1, "&amp;'KEY INPUTS'!B1-1&amp;" (1)"</f>
        <v>Beginning balance January 1, 2024 (1)</v>
      </c>
      <c r="D16" s="141">
        <v>88616</v>
      </c>
    </row>
    <row r="17" spans="1:4" x14ac:dyDescent="0.25">
      <c r="B17" t="str">
        <f>"Less: Utilized in "&amp;'KEY INPUTS'!B1-1&amp;" Adopted Budget"</f>
        <v>Less: Utilized in 2024 Adopted Budget</v>
      </c>
      <c r="D17" s="162">
        <f>'F-2 Revenues (Proposed)'!F6</f>
        <v>85000</v>
      </c>
    </row>
    <row r="18" spans="1:4" x14ac:dyDescent="0.25">
      <c r="C18" t="s">
        <v>215</v>
      </c>
      <c r="D18" s="142">
        <f>D16-D17</f>
        <v>3616</v>
      </c>
    </row>
    <row r="19" spans="1:4" x14ac:dyDescent="0.25">
      <c r="B19" t="str">
        <f>"Estimated results of operations for the year ending December 31, "&amp;'KEY INPUTS'!B1-1&amp;""</f>
        <v>Estimated results of operations for the year ending December 31, 2024</v>
      </c>
      <c r="D19" s="144"/>
    </row>
    <row r="20" spans="1:4" x14ac:dyDescent="0.25">
      <c r="C20" t="str">
        <f>"Anticipated balance December 31, "&amp;'KEY INPUTS'!B1-1&amp;""</f>
        <v>Anticipated balance December 31, 2024</v>
      </c>
      <c r="D20" s="142">
        <f>D18+D19</f>
        <v>3616</v>
      </c>
    </row>
    <row r="21" spans="1:4" x14ac:dyDescent="0.25">
      <c r="B21" t="str">
        <f>"Less: Restricted Fund Balance used in "&amp;'KEY INPUTS'!B1&amp;" Proposed Budget for Capital Purposes"</f>
        <v>Less: Restricted Fund Balance used in 2025 Proposed Budget for Capital Purposes</v>
      </c>
      <c r="D21" s="141"/>
    </row>
    <row r="22" spans="1:4" x14ac:dyDescent="0.25">
      <c r="B22" t="s">
        <v>219</v>
      </c>
      <c r="D22" s="162">
        <f>'F-9 Referendums'!B28</f>
        <v>0</v>
      </c>
    </row>
    <row r="23" spans="1:4" ht="15.75" thickBot="1" x14ac:dyDescent="0.3">
      <c r="C23" t="str">
        <f>"Proposed balance after utilization in "&amp;'KEY INPUTS'!B1&amp;" Proposed Budget"</f>
        <v>Proposed balance after utilization in 2025 Proposed Budget</v>
      </c>
      <c r="D23" s="143">
        <f>D20-D21-D22</f>
        <v>3616</v>
      </c>
    </row>
    <row r="24" spans="1:4" ht="15.75" thickTop="1" x14ac:dyDescent="0.25">
      <c r="D24" s="6"/>
    </row>
    <row r="25" spans="1:4" x14ac:dyDescent="0.25">
      <c r="A25" s="793" t="s">
        <v>220</v>
      </c>
      <c r="B25" s="793"/>
      <c r="C25" s="793"/>
      <c r="D25" s="793"/>
    </row>
    <row r="26" spans="1:4" x14ac:dyDescent="0.25">
      <c r="D26" s="6"/>
    </row>
    <row r="27" spans="1:4" x14ac:dyDescent="0.25">
      <c r="D27" s="6"/>
    </row>
    <row r="28" spans="1:4" x14ac:dyDescent="0.25">
      <c r="D28" s="6"/>
    </row>
    <row r="44" spans="1:5" x14ac:dyDescent="0.25">
      <c r="A44" s="763" t="s">
        <v>882</v>
      </c>
      <c r="B44" s="763"/>
      <c r="C44" s="763"/>
      <c r="D44" s="763"/>
      <c r="E44" s="763"/>
    </row>
  </sheetData>
  <sheetProtection algorithmName="SHA-512" hashValue="Y0db+sUnXP1UDjBwE22CpKSRUtbKNbdkmrK3XNULupZDtsp4cR6dQVLqpo0sC5jUR8L2AGCBoZc0B8EAYpyHmA==" saltValue="Wx2z0uzEMGlcLU7DyrAz0w==" spinCount="100000" sheet="1" objects="1" scenarios="1"/>
  <mergeCells count="6">
    <mergeCell ref="A1:E1"/>
    <mergeCell ref="A44:E44"/>
    <mergeCell ref="A4:C4"/>
    <mergeCell ref="A15:C15"/>
    <mergeCell ref="A25:D25"/>
    <mergeCell ref="A2:E2"/>
  </mergeCells>
  <printOptions horizontalCentered="1"/>
  <pageMargins left="0.25" right="0.25"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AA3B2-8DC7-45FD-A3C4-66D9863A087E}">
  <sheetPr codeName="Sheet47">
    <tabColor rgb="FF92D050"/>
  </sheetPr>
  <dimension ref="A1:D44"/>
  <sheetViews>
    <sheetView view="pageLayout" zoomScaleNormal="100" workbookViewId="0">
      <selection activeCell="A6" sqref="A6"/>
    </sheetView>
  </sheetViews>
  <sheetFormatPr defaultColWidth="9.140625" defaultRowHeight="15" x14ac:dyDescent="0.25"/>
  <cols>
    <col min="1" max="1" width="67.28515625" customWidth="1"/>
    <col min="2" max="2" width="16.7109375" customWidth="1"/>
    <col min="3" max="3" width="1.85546875" customWidth="1"/>
    <col min="4" max="4" width="17.7109375" customWidth="1"/>
  </cols>
  <sheetData>
    <row r="1" spans="1:4" x14ac:dyDescent="0.25">
      <c r="A1" s="768" t="str">
        <f>'Information Sheet'!B9</f>
        <v>Weymouth Township FD No. 1</v>
      </c>
      <c r="B1" s="768"/>
      <c r="C1" s="768"/>
      <c r="D1" s="768"/>
    </row>
    <row r="2" spans="1:4" x14ac:dyDescent="0.25">
      <c r="A2" s="768" t="str">
        <f>'Information Sheet'!B10</f>
        <v>Atlantic</v>
      </c>
      <c r="B2" s="768"/>
      <c r="C2" s="768"/>
      <c r="D2" s="768"/>
    </row>
    <row r="5" spans="1:4" ht="45" x14ac:dyDescent="0.25">
      <c r="A5" s="103" t="s">
        <v>221</v>
      </c>
      <c r="B5" s="104" t="str">
        <f>""&amp;'Information Sheet'!B11&amp;" Proposed Budget Amount Requested"</f>
        <v>2025 Proposed Budget Amount Requested</v>
      </c>
      <c r="C5" s="105"/>
      <c r="D5" s="106" t="str">
        <f>""&amp;'Information Sheet'!B11-1&amp;" Final Budget"</f>
        <v>2024 Final Budget</v>
      </c>
    </row>
    <row r="6" spans="1:4" x14ac:dyDescent="0.25">
      <c r="A6" s="43" t="s">
        <v>1020</v>
      </c>
      <c r="B6" s="163"/>
      <c r="C6" s="107"/>
      <c r="D6" s="148"/>
    </row>
    <row r="7" spans="1:4" x14ac:dyDescent="0.25">
      <c r="A7" s="43"/>
      <c r="B7" s="163"/>
      <c r="C7" s="108"/>
      <c r="D7" s="148"/>
    </row>
    <row r="8" spans="1:4" x14ac:dyDescent="0.25">
      <c r="A8" s="43"/>
      <c r="B8" s="163"/>
      <c r="C8" s="108"/>
      <c r="D8" s="148"/>
    </row>
    <row r="9" spans="1:4" x14ac:dyDescent="0.25">
      <c r="A9" s="43"/>
      <c r="B9" s="163"/>
      <c r="C9" s="108"/>
      <c r="D9" s="148"/>
    </row>
    <row r="10" spans="1:4" x14ac:dyDescent="0.25">
      <c r="A10" s="43"/>
      <c r="B10" s="163"/>
      <c r="C10" s="108"/>
      <c r="D10" s="148"/>
    </row>
    <row r="11" spans="1:4" x14ac:dyDescent="0.25">
      <c r="A11" s="43"/>
      <c r="B11" s="163"/>
      <c r="C11" s="108"/>
      <c r="D11" s="148"/>
    </row>
    <row r="12" spans="1:4" ht="15.75" thickBot="1" x14ac:dyDescent="0.3">
      <c r="A12" s="44"/>
      <c r="B12" s="164"/>
      <c r="C12" s="108"/>
      <c r="D12" s="166"/>
    </row>
    <row r="13" spans="1:4" ht="15.75" thickBot="1" x14ac:dyDescent="0.3">
      <c r="A13" s="109" t="s">
        <v>222</v>
      </c>
      <c r="B13" s="165">
        <f>SUM(B6:B12)</f>
        <v>0</v>
      </c>
      <c r="C13" s="107"/>
      <c r="D13" s="167">
        <f>SUM(D6:D12)</f>
        <v>0</v>
      </c>
    </row>
    <row r="14" spans="1:4" ht="15.75" thickTop="1" x14ac:dyDescent="0.25">
      <c r="A14" s="110"/>
      <c r="B14" s="108"/>
      <c r="C14" s="108"/>
      <c r="D14" s="111"/>
    </row>
    <row r="15" spans="1:4" ht="15.75" thickBot="1" x14ac:dyDescent="0.3">
      <c r="A15" s="112" t="s">
        <v>223</v>
      </c>
      <c r="B15" s="165">
        <f>IF(('F-1 Budget Summary'!D22-'F-10 Levy Cap Summary'!E29-'F-9 Referendums'!B13)&gt;0,('F-1 Budget Summary'!D22-'F-10 Levy Cap Summary'!E29-'F-9 Referendums'!B13),0)</f>
        <v>0</v>
      </c>
      <c r="C15" s="108"/>
      <c r="D15" s="108"/>
    </row>
    <row r="16" spans="1:4" ht="15.75" thickTop="1" x14ac:dyDescent="0.25">
      <c r="A16" s="112" t="s">
        <v>930</v>
      </c>
      <c r="B16" s="110"/>
      <c r="C16" s="110"/>
      <c r="D16" s="110"/>
    </row>
    <row r="17" spans="1:4" x14ac:dyDescent="0.25">
      <c r="A17" s="112" t="s">
        <v>224</v>
      </c>
      <c r="B17" s="110"/>
      <c r="C17" s="110"/>
      <c r="D17" s="110"/>
    </row>
    <row r="18" spans="1:4" x14ac:dyDescent="0.25">
      <c r="A18" s="112" t="s">
        <v>225</v>
      </c>
      <c r="B18" s="110"/>
      <c r="C18" s="110"/>
      <c r="D18" s="110"/>
    </row>
    <row r="19" spans="1:4" x14ac:dyDescent="0.25">
      <c r="A19" s="113"/>
      <c r="B19" s="110"/>
      <c r="C19" s="110"/>
      <c r="D19" s="110"/>
    </row>
    <row r="20" spans="1:4" ht="45" x14ac:dyDescent="0.25">
      <c r="A20" s="105" t="s">
        <v>226</v>
      </c>
      <c r="B20" s="104" t="str">
        <f>B5</f>
        <v>2025 Proposed Budget Amount Requested</v>
      </c>
      <c r="C20" s="105"/>
      <c r="D20" s="106" t="str">
        <f>D5</f>
        <v>2024 Final Budget</v>
      </c>
    </row>
    <row r="21" spans="1:4" x14ac:dyDescent="0.25">
      <c r="A21" s="43"/>
      <c r="B21" s="163"/>
      <c r="C21" s="107"/>
      <c r="D21" s="148"/>
    </row>
    <row r="22" spans="1:4" x14ac:dyDescent="0.25">
      <c r="A22" s="43"/>
      <c r="B22" s="163"/>
      <c r="C22" s="108"/>
      <c r="D22" s="148"/>
    </row>
    <row r="23" spans="1:4" x14ac:dyDescent="0.25">
      <c r="A23" s="43"/>
      <c r="B23" s="163"/>
      <c r="C23" s="108"/>
      <c r="D23" s="148"/>
    </row>
    <row r="24" spans="1:4" x14ac:dyDescent="0.25">
      <c r="A24" s="43"/>
      <c r="B24" s="163"/>
      <c r="C24" s="108"/>
      <c r="D24" s="148"/>
    </row>
    <row r="25" spans="1:4" x14ac:dyDescent="0.25">
      <c r="A25" s="43"/>
      <c r="B25" s="163"/>
      <c r="C25" s="108"/>
      <c r="D25" s="148"/>
    </row>
    <row r="26" spans="1:4" x14ac:dyDescent="0.25">
      <c r="A26" s="43"/>
      <c r="B26" s="163"/>
      <c r="C26" s="108"/>
      <c r="D26" s="148"/>
    </row>
    <row r="27" spans="1:4" ht="15.75" thickBot="1" x14ac:dyDescent="0.3">
      <c r="A27" s="44"/>
      <c r="B27" s="164"/>
      <c r="C27" s="108"/>
      <c r="D27" s="166"/>
    </row>
    <row r="28" spans="1:4" ht="15.75" thickBot="1" x14ac:dyDescent="0.3">
      <c r="A28" s="114" t="s">
        <v>227</v>
      </c>
      <c r="B28" s="165">
        <f>SUM(B21:B27)</f>
        <v>0</v>
      </c>
      <c r="C28" s="107"/>
      <c r="D28" s="167">
        <f>SUM(D21:D27)</f>
        <v>0</v>
      </c>
    </row>
    <row r="29" spans="1:4" ht="15.75" thickTop="1" x14ac:dyDescent="0.25"/>
    <row r="44" spans="1:4" x14ac:dyDescent="0.25">
      <c r="A44" s="763" t="s">
        <v>881</v>
      </c>
      <c r="B44" s="763"/>
      <c r="C44" s="763"/>
      <c r="D44" s="763"/>
    </row>
  </sheetData>
  <sheetProtection algorithmName="SHA-512" hashValue="Bl9DuD6TLbI/DYV9xEEsqrNZ+P3NQb5KwKELDImDdQTf4s9lyfh2hkgQOlmv0kokMdgLwGGHrKz6lWhAQDa2sg==" saltValue="nWoRKpUQm6vqChtCGw5ieQ==" spinCount="100000" sheet="1" objects="1" scenarios="1"/>
  <mergeCells count="3">
    <mergeCell ref="A1:D1"/>
    <mergeCell ref="A2:D2"/>
    <mergeCell ref="A44:D44"/>
  </mergeCells>
  <printOptions horizontalCentered="1"/>
  <pageMargins left="0.25" right="0.25" top="0.75" bottom="0.75" header="0.3" footer="0.3"/>
  <pageSetup scale="9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B543-540F-4369-8063-664CD2E826C9}">
  <sheetPr codeName="Sheet48">
    <tabColor rgb="FF92D050"/>
  </sheetPr>
  <dimension ref="A1:E46"/>
  <sheetViews>
    <sheetView view="pageLayout" topLeftCell="A17" zoomScaleNormal="100" workbookViewId="0">
      <selection activeCell="D32" sqref="D32"/>
    </sheetView>
  </sheetViews>
  <sheetFormatPr defaultColWidth="9.140625" defaultRowHeight="15" x14ac:dyDescent="0.25"/>
  <cols>
    <col min="1" max="1" width="3.140625" customWidth="1"/>
    <col min="2" max="2" width="3" customWidth="1"/>
    <col min="3" max="3" width="57.85546875" customWidth="1"/>
    <col min="4" max="4" width="18.28515625" customWidth="1"/>
    <col min="5" max="5" width="18.5703125" customWidth="1"/>
  </cols>
  <sheetData>
    <row r="1" spans="1:5" x14ac:dyDescent="0.25">
      <c r="A1" s="768" t="str">
        <f>'Information Sheet'!B9</f>
        <v>Weymouth Township FD No. 1</v>
      </c>
      <c r="B1" s="768"/>
      <c r="C1" s="768"/>
      <c r="D1" s="768"/>
      <c r="E1" s="768"/>
    </row>
    <row r="2" spans="1:5" x14ac:dyDescent="0.25">
      <c r="A2" s="768" t="str">
        <f>'Information Sheet'!B10</f>
        <v>Atlantic</v>
      </c>
      <c r="B2" s="768"/>
      <c r="C2" s="768"/>
      <c r="D2" s="768"/>
      <c r="E2" s="768"/>
    </row>
    <row r="4" spans="1:5" x14ac:dyDescent="0.25">
      <c r="A4" s="3" t="s">
        <v>228</v>
      </c>
    </row>
    <row r="5" spans="1:5" x14ac:dyDescent="0.25">
      <c r="A5" t="s">
        <v>229</v>
      </c>
      <c r="E5" s="134">
        <f>'Information Sheet'!B14</f>
        <v>133290</v>
      </c>
    </row>
    <row r="6" spans="1:5" x14ac:dyDescent="0.25">
      <c r="B6" t="s">
        <v>5</v>
      </c>
      <c r="E6" s="134">
        <f>'Information Sheet'!B21</f>
        <v>0</v>
      </c>
    </row>
    <row r="7" spans="1:5" x14ac:dyDescent="0.25">
      <c r="B7" t="s">
        <v>6</v>
      </c>
      <c r="E7" s="135">
        <f>'Information Sheet'!B22</f>
        <v>0</v>
      </c>
    </row>
    <row r="8" spans="1:5" x14ac:dyDescent="0.25">
      <c r="A8" t="s">
        <v>230</v>
      </c>
      <c r="E8" s="134">
        <f>E5+E6+E7</f>
        <v>133290</v>
      </c>
    </row>
    <row r="9" spans="1:5" x14ac:dyDescent="0.25">
      <c r="B9" t="s">
        <v>231</v>
      </c>
      <c r="E9" s="135">
        <f>E8*0.02</f>
        <v>2665.8</v>
      </c>
    </row>
    <row r="10" spans="1:5" x14ac:dyDescent="0.25">
      <c r="A10" s="3" t="s">
        <v>232</v>
      </c>
      <c r="E10" s="134">
        <f>E8+E9</f>
        <v>135955.79999999999</v>
      </c>
    </row>
    <row r="11" spans="1:5" x14ac:dyDescent="0.25">
      <c r="A11" s="9" t="s">
        <v>233</v>
      </c>
      <c r="E11" s="6"/>
    </row>
    <row r="12" spans="1:5" x14ac:dyDescent="0.25">
      <c r="B12" t="s">
        <v>234</v>
      </c>
      <c r="E12" s="134">
        <f>IF(('F-11 Shared Services'!M23-'F-11 Shared Services'!N23)&gt;0,('F-11 Shared Services'!M23-'F-11 Shared Services'!N23),0)</f>
        <v>0</v>
      </c>
    </row>
    <row r="13" spans="1:5" x14ac:dyDescent="0.25">
      <c r="B13" t="s">
        <v>235</v>
      </c>
      <c r="E13" s="134">
        <f>'F-12 Cap Exclusions'!D31</f>
        <v>34185.479999999996</v>
      </c>
    </row>
    <row r="14" spans="1:5" x14ac:dyDescent="0.25">
      <c r="B14" t="s">
        <v>236</v>
      </c>
      <c r="E14" s="134">
        <f>'F-12 Cap Exclusions'!D12</f>
        <v>0</v>
      </c>
    </row>
    <row r="15" spans="1:5" x14ac:dyDescent="0.25">
      <c r="B15" t="s">
        <v>237</v>
      </c>
      <c r="E15" s="134">
        <f>'F-12 Cap Exclusions'!D59</f>
        <v>0</v>
      </c>
    </row>
    <row r="16" spans="1:5" x14ac:dyDescent="0.25">
      <c r="B16" t="s">
        <v>238</v>
      </c>
      <c r="E16" s="134">
        <f>'F-12 Cap Exclusions'!D17</f>
        <v>0</v>
      </c>
    </row>
    <row r="17" spans="1:5" x14ac:dyDescent="0.25">
      <c r="B17" t="s">
        <v>239</v>
      </c>
      <c r="E17" s="134">
        <f>'F-3 Appropriations (Proposed)'!F62</f>
        <v>0</v>
      </c>
    </row>
    <row r="18" spans="1:5" x14ac:dyDescent="0.25">
      <c r="B18" s="767" t="s">
        <v>240</v>
      </c>
      <c r="C18" s="767"/>
      <c r="D18" s="101"/>
      <c r="E18" s="135">
        <f>'F-12 Cap Exclusions'!D44</f>
        <v>0</v>
      </c>
    </row>
    <row r="19" spans="1:5" x14ac:dyDescent="0.25">
      <c r="C19" t="s">
        <v>241</v>
      </c>
      <c r="E19" s="134">
        <f>SUM(E12:E18)</f>
        <v>34185.479999999996</v>
      </c>
    </row>
    <row r="20" spans="1:5" x14ac:dyDescent="0.25">
      <c r="A20" t="s">
        <v>242</v>
      </c>
      <c r="E20" s="134">
        <f>'Information Sheet'!B23</f>
        <v>0</v>
      </c>
    </row>
    <row r="21" spans="1:5" x14ac:dyDescent="0.25">
      <c r="A21" t="s">
        <v>243</v>
      </c>
      <c r="D21" s="134">
        <f>'Information Sheet'!B25</f>
        <v>337000</v>
      </c>
      <c r="E21" s="6"/>
    </row>
    <row r="22" spans="1:5" x14ac:dyDescent="0.25">
      <c r="A22" t="s">
        <v>244</v>
      </c>
      <c r="D22" s="102">
        <f>'Information Sheet'!B26</f>
        <v>8.1000000000000003E-2</v>
      </c>
      <c r="E22" s="135">
        <f>D21*D22/100</f>
        <v>272.97000000000003</v>
      </c>
    </row>
    <row r="23" spans="1:5" x14ac:dyDescent="0.25">
      <c r="A23" s="3" t="s">
        <v>245</v>
      </c>
      <c r="E23" s="134">
        <f>E22+E19+E10-E20</f>
        <v>170414.25</v>
      </c>
    </row>
    <row r="24" spans="1:5" x14ac:dyDescent="0.25">
      <c r="A24" t="str">
        <f>"Amount Utilized from Levy Cap Bank from "&amp;'Information Sheet'!B11-3&amp;""</f>
        <v>Amount Utilized from Levy Cap Bank from 2022</v>
      </c>
      <c r="E24" s="134">
        <f>'Information Sheet'!B18</f>
        <v>0</v>
      </c>
    </row>
    <row r="25" spans="1:5" x14ac:dyDescent="0.25">
      <c r="A25" t="str">
        <f>"Amount Utilized from Levy Cap Bank from "&amp;'Information Sheet'!B11-2&amp;""</f>
        <v>Amount Utilized from Levy Cap Bank from 2023</v>
      </c>
      <c r="E25" s="134">
        <f>'Information Sheet'!B19</f>
        <v>0</v>
      </c>
    </row>
    <row r="26" spans="1:5" x14ac:dyDescent="0.25">
      <c r="A26" t="str">
        <f>"Amount Utilized from Levy Cap Bank from "&amp;'Information Sheet'!B11-1&amp;""</f>
        <v>Amount Utilized from Levy Cap Bank from 2024</v>
      </c>
      <c r="E26" s="135">
        <f>'Information Sheet'!B20</f>
        <v>0</v>
      </c>
    </row>
    <row r="27" spans="1:5" x14ac:dyDescent="0.25">
      <c r="B27" t="s">
        <v>246</v>
      </c>
      <c r="E27" s="134">
        <f>SUM(E23:E26)</f>
        <v>170414.25</v>
      </c>
    </row>
    <row r="28" spans="1:5" x14ac:dyDescent="0.25">
      <c r="A28" t="s">
        <v>247</v>
      </c>
      <c r="E28" s="135">
        <f>'F-9 Referendums'!B13</f>
        <v>0</v>
      </c>
    </row>
    <row r="29" spans="1:5" ht="15.75" thickBot="1" x14ac:dyDescent="0.3">
      <c r="A29" s="3" t="s">
        <v>248</v>
      </c>
      <c r="E29" s="140">
        <f>E27+E28</f>
        <v>170414.25</v>
      </c>
    </row>
    <row r="30" spans="1:5" ht="15.75" thickTop="1" x14ac:dyDescent="0.25">
      <c r="E30" s="6"/>
    </row>
    <row r="31" spans="1:5" x14ac:dyDescent="0.25">
      <c r="A31" s="3" t="s">
        <v>249</v>
      </c>
      <c r="E31" s="6"/>
    </row>
    <row r="32" spans="1:5" x14ac:dyDescent="0.25">
      <c r="A32" t="s">
        <v>250</v>
      </c>
      <c r="D32" s="134">
        <f>'F-1 Budget Summary'!D22</f>
        <v>134640.22999999998</v>
      </c>
    </row>
    <row r="33" spans="1:5" x14ac:dyDescent="0.25">
      <c r="D33" s="134"/>
    </row>
    <row r="34" spans="1:5" x14ac:dyDescent="0.25">
      <c r="A34" t="str">
        <f>"Cap Bank Available from Prior Year ("&amp;'Information Sheet'!B11-3&amp;") for "&amp;'Information Sheet'!B11&amp;" Budget"</f>
        <v>Cap Bank Available from Prior Year (2022) for 2025 Budget</v>
      </c>
      <c r="D34" s="134">
        <f>'Information Sheet'!B15</f>
        <v>5155</v>
      </c>
    </row>
    <row r="35" spans="1:5" x14ac:dyDescent="0.25">
      <c r="A35" t="str">
        <f>"Cap Bank Available from Prior Year ("&amp;'Information Sheet'!B11-2&amp;") for "&amp;'Information Sheet'!B11&amp;" Budget"</f>
        <v>Cap Bank Available from Prior Year (2023) for 2025 Budget</v>
      </c>
      <c r="D35" s="135">
        <f>'Information Sheet'!B16</f>
        <v>322</v>
      </c>
    </row>
    <row r="36" spans="1:5" x14ac:dyDescent="0.25">
      <c r="B36" t="str">
        <f>"Revised Cap Bank from Prior Year ("&amp;'Information Sheet'!B11-2&amp;") Available for "&amp;'Information Sheet'!B11+1&amp;" Budget"</f>
        <v>Revised Cap Bank from Prior Year (2023) Available for 2026 Budget</v>
      </c>
      <c r="E36" s="520">
        <f>D35-E25</f>
        <v>322</v>
      </c>
    </row>
    <row r="37" spans="1:5" x14ac:dyDescent="0.25">
      <c r="A37" t="str">
        <f>"Cap Bank Available from Prior Year ("&amp;'Information Sheet'!B11-1&amp;") for "&amp;'Information Sheet'!B11&amp;" Budget"</f>
        <v>Cap Bank Available from Prior Year (2024) for 2025 Budget</v>
      </c>
      <c r="D37" s="135">
        <f>'Information Sheet'!B17</f>
        <v>18140</v>
      </c>
    </row>
    <row r="38" spans="1:5" x14ac:dyDescent="0.25">
      <c r="B38" t="str">
        <f>"Revised Cap Bank from Prior Year ("&amp;'Information Sheet'!B11-1&amp;") Available for "&amp;'Information Sheet'!B11+1&amp;" Budget"</f>
        <v>Revised Cap Bank from Prior Year (2024) Available for 2026 Budget</v>
      </c>
      <c r="E38" s="520">
        <f>D37-E26</f>
        <v>18140</v>
      </c>
    </row>
    <row r="39" spans="1:5" x14ac:dyDescent="0.25">
      <c r="E39" s="134"/>
    </row>
    <row r="40" spans="1:5" x14ac:dyDescent="0.25">
      <c r="B40" t="str">
        <f>"Cap Bank Available from ("&amp;'Information Sheet'!B11&amp;") for "&amp;'Information Sheet'!B11+1&amp;" Budget"</f>
        <v>Cap Bank Available from (2025) for 2026 Budget</v>
      </c>
      <c r="E40" s="520">
        <f>IF(E28&gt;0,0,(IF(D32&gt;E27,0,(E27-D32))))</f>
        <v>35774.020000000019</v>
      </c>
    </row>
    <row r="46" spans="1:5" x14ac:dyDescent="0.25">
      <c r="A46" s="763" t="s">
        <v>880</v>
      </c>
      <c r="B46" s="763"/>
      <c r="C46" s="763"/>
      <c r="D46" s="763"/>
      <c r="E46" s="763"/>
    </row>
  </sheetData>
  <sheetProtection algorithmName="SHA-512" hashValue="IJz0CgUWj8GUFQ0JqvkknpGYZk2eD30bfmXSXWyfNWkV9A/coZQ/2BKLORmEspzrqe/zPe+OhPwhBU/fuBpk4w==" saltValue="VGR8Bmr/Dyk8mL4fn7Seig==" spinCount="100000" sheet="1" objects="1" scenarios="1"/>
  <mergeCells count="4">
    <mergeCell ref="A1:E1"/>
    <mergeCell ref="A2:E2"/>
    <mergeCell ref="B18:C18"/>
    <mergeCell ref="A46:E46"/>
  </mergeCells>
  <printOptions horizontalCentered="1"/>
  <pageMargins left="0.25" right="0.25"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891C-0D39-40EA-ACA7-B86E29D1947D}">
  <sheetPr codeName="Sheet49">
    <tabColor rgb="FF92D050"/>
  </sheetPr>
  <dimension ref="A1:U53"/>
  <sheetViews>
    <sheetView view="pageLayout" zoomScaleNormal="100" workbookViewId="0">
      <selection activeCell="A10" sqref="A10"/>
    </sheetView>
  </sheetViews>
  <sheetFormatPr defaultColWidth="9.140625" defaultRowHeight="15" x14ac:dyDescent="0.25"/>
  <cols>
    <col min="1" max="1" width="16.7109375" bestFit="1" customWidth="1"/>
    <col min="2" max="2" width="18.5703125" customWidth="1"/>
    <col min="3" max="11" width="11.5703125" bestFit="1" customWidth="1"/>
    <col min="12" max="12" width="11.42578125" customWidth="1"/>
    <col min="13" max="14" width="14" customWidth="1"/>
    <col min="15" max="18" width="11.5703125" bestFit="1" customWidth="1"/>
    <col min="19" max="20" width="14" customWidth="1"/>
  </cols>
  <sheetData>
    <row r="1" spans="1:20" x14ac:dyDescent="0.25">
      <c r="A1" s="768" t="str">
        <f>'Information Sheet'!B9</f>
        <v>Weymouth Township FD No. 1</v>
      </c>
      <c r="B1" s="768"/>
      <c r="C1" s="768"/>
      <c r="D1" s="768"/>
      <c r="E1" s="768"/>
      <c r="F1" s="768"/>
      <c r="G1" s="768"/>
      <c r="H1" s="768"/>
      <c r="I1" s="768"/>
      <c r="J1" s="768"/>
      <c r="K1" s="768"/>
      <c r="L1" s="768"/>
      <c r="M1" s="768"/>
      <c r="N1" s="768"/>
      <c r="O1" s="768"/>
      <c r="P1" s="768"/>
      <c r="Q1" s="768"/>
      <c r="R1" s="768"/>
      <c r="S1" s="768"/>
      <c r="T1" s="768"/>
    </row>
    <row r="2" spans="1:20" x14ac:dyDescent="0.25">
      <c r="A2" s="768" t="str">
        <f>'F-10 Levy Cap Summary'!A2:E2</f>
        <v>Atlantic</v>
      </c>
      <c r="B2" s="768"/>
      <c r="C2" s="768"/>
      <c r="D2" s="768"/>
      <c r="E2" s="768"/>
      <c r="F2" s="768"/>
      <c r="G2" s="768"/>
      <c r="H2" s="768"/>
      <c r="I2" s="768"/>
      <c r="J2" s="768"/>
      <c r="K2" s="768"/>
      <c r="L2" s="768"/>
      <c r="M2" s="768"/>
      <c r="N2" s="768"/>
      <c r="O2" s="768"/>
      <c r="P2" s="768"/>
      <c r="Q2" s="768"/>
      <c r="R2" s="768"/>
      <c r="S2" s="768"/>
      <c r="T2" s="768"/>
    </row>
    <row r="3" spans="1:20" x14ac:dyDescent="0.25">
      <c r="A3" s="8"/>
      <c r="B3" s="8"/>
      <c r="C3" s="8"/>
      <c r="D3" s="8"/>
      <c r="E3" s="8"/>
      <c r="F3" s="8"/>
      <c r="G3" s="8"/>
      <c r="H3" s="8"/>
      <c r="I3" s="8"/>
      <c r="J3" s="8"/>
      <c r="K3" s="8"/>
      <c r="L3" s="8"/>
      <c r="M3" s="8"/>
      <c r="N3" s="8"/>
      <c r="O3" s="8"/>
      <c r="P3" s="8"/>
      <c r="Q3" s="8"/>
      <c r="R3" s="8"/>
      <c r="S3" s="8"/>
      <c r="T3" s="8"/>
    </row>
    <row r="4" spans="1:20" x14ac:dyDescent="0.25">
      <c r="A4" s="8"/>
      <c r="B4" s="8"/>
      <c r="C4" s="8"/>
      <c r="D4" s="8"/>
      <c r="E4" s="8"/>
      <c r="F4" s="8"/>
      <c r="G4" s="8"/>
      <c r="H4" s="8"/>
      <c r="I4" s="8"/>
      <c r="J4" s="8"/>
      <c r="K4" s="8"/>
      <c r="L4" s="8"/>
      <c r="M4" s="8"/>
      <c r="N4" s="8"/>
      <c r="O4" s="8"/>
      <c r="P4" s="8"/>
      <c r="Q4" s="8"/>
      <c r="R4" s="8"/>
      <c r="S4" s="8"/>
      <c r="T4" s="8"/>
    </row>
    <row r="5" spans="1:20" x14ac:dyDescent="0.25">
      <c r="A5" s="8"/>
      <c r="B5" s="8"/>
      <c r="C5" s="8"/>
      <c r="D5" s="8"/>
      <c r="E5" s="8"/>
      <c r="F5" s="8"/>
      <c r="G5" s="8"/>
      <c r="H5" s="8"/>
      <c r="I5" s="8"/>
      <c r="J5" s="8"/>
      <c r="K5" s="8"/>
      <c r="L5" s="8"/>
      <c r="M5" s="8"/>
      <c r="N5" s="8"/>
      <c r="O5" s="8"/>
      <c r="P5" s="8"/>
      <c r="Q5" s="8"/>
      <c r="R5" s="8"/>
      <c r="S5" s="8"/>
      <c r="T5" s="8"/>
    </row>
    <row r="6" spans="1:20" x14ac:dyDescent="0.25">
      <c r="A6" s="8"/>
      <c r="B6" s="8"/>
      <c r="C6" s="8"/>
      <c r="D6" s="8"/>
      <c r="E6" s="8"/>
      <c r="F6" s="8"/>
      <c r="G6" s="8"/>
      <c r="H6" s="8"/>
      <c r="I6" s="8"/>
      <c r="J6" s="8"/>
      <c r="K6" s="8"/>
      <c r="L6" s="8"/>
      <c r="M6" s="8"/>
      <c r="N6" s="8"/>
      <c r="O6" s="8"/>
      <c r="P6" s="8"/>
      <c r="Q6" s="8"/>
      <c r="R6" s="8"/>
      <c r="S6" s="8"/>
      <c r="T6" s="8"/>
    </row>
    <row r="7" spans="1:20" x14ac:dyDescent="0.25">
      <c r="A7" s="36"/>
      <c r="B7" s="94"/>
      <c r="C7" s="94"/>
      <c r="D7" s="38"/>
      <c r="E7" s="94"/>
      <c r="F7" s="94"/>
      <c r="G7" s="94"/>
    </row>
    <row r="8" spans="1:20" x14ac:dyDescent="0.25">
      <c r="A8" s="95"/>
      <c r="C8" s="795" t="s">
        <v>251</v>
      </c>
      <c r="D8" s="795"/>
      <c r="E8" s="795" t="s">
        <v>252</v>
      </c>
      <c r="F8" s="795"/>
      <c r="G8" s="795" t="s">
        <v>253</v>
      </c>
      <c r="H8" s="795"/>
      <c r="I8" s="796" t="s">
        <v>254</v>
      </c>
      <c r="J8" s="796"/>
      <c r="K8" s="796" t="s">
        <v>255</v>
      </c>
      <c r="L8" s="796"/>
      <c r="M8" s="796" t="s">
        <v>256</v>
      </c>
      <c r="N8" s="796"/>
      <c r="O8" s="795" t="s">
        <v>257</v>
      </c>
      <c r="P8" s="795"/>
      <c r="Q8" s="795" t="s">
        <v>258</v>
      </c>
      <c r="R8" s="795"/>
      <c r="S8" s="795" t="s">
        <v>259</v>
      </c>
      <c r="T8" s="795"/>
    </row>
    <row r="9" spans="1:20" ht="60.75" thickBot="1" x14ac:dyDescent="0.3">
      <c r="A9" s="96" t="s">
        <v>260</v>
      </c>
      <c r="B9" s="96" t="s">
        <v>261</v>
      </c>
      <c r="C9" s="97" t="s">
        <v>262</v>
      </c>
      <c r="D9" s="98" t="s">
        <v>263</v>
      </c>
      <c r="E9" s="97" t="str">
        <f>C9</f>
        <v>Proposed</v>
      </c>
      <c r="F9" s="98" t="str">
        <f>D9</f>
        <v>Adopted</v>
      </c>
      <c r="G9" s="97" t="str">
        <f>C9</f>
        <v>Proposed</v>
      </c>
      <c r="H9" s="98" t="str">
        <f>D9</f>
        <v>Adopted</v>
      </c>
      <c r="I9" s="97" t="str">
        <f>C9</f>
        <v>Proposed</v>
      </c>
      <c r="J9" s="98" t="str">
        <f>D9</f>
        <v>Adopted</v>
      </c>
      <c r="K9" s="97" t="str">
        <f>C9</f>
        <v>Proposed</v>
      </c>
      <c r="L9" s="98" t="str">
        <f>D9</f>
        <v>Adopted</v>
      </c>
      <c r="M9" s="97" t="str">
        <f>C9</f>
        <v>Proposed</v>
      </c>
      <c r="N9" s="98" t="str">
        <f>D9</f>
        <v>Adopted</v>
      </c>
      <c r="O9" s="99" t="str">
        <f>C9</f>
        <v>Proposed</v>
      </c>
      <c r="P9" s="100" t="str">
        <f>D9</f>
        <v>Adopted</v>
      </c>
      <c r="Q9" s="99" t="str">
        <f>C9</f>
        <v>Proposed</v>
      </c>
      <c r="R9" s="100" t="str">
        <f>D9</f>
        <v>Adopted</v>
      </c>
      <c r="S9" s="99" t="str">
        <f>C9</f>
        <v>Proposed</v>
      </c>
      <c r="T9" s="100" t="str">
        <f>D9</f>
        <v>Adopted</v>
      </c>
    </row>
    <row r="10" spans="1:20" x14ac:dyDescent="0.25">
      <c r="A10" s="45" t="s">
        <v>1020</v>
      </c>
      <c r="B10" s="46"/>
      <c r="C10" s="378"/>
      <c r="D10" s="379"/>
      <c r="E10" s="380"/>
      <c r="F10" s="381"/>
      <c r="G10" s="382"/>
      <c r="H10" s="383"/>
      <c r="I10" s="382"/>
      <c r="J10" s="383"/>
      <c r="K10" s="384"/>
      <c r="L10" s="385"/>
      <c r="M10" s="386">
        <f>C10+E10+G10+I10+K10</f>
        <v>0</v>
      </c>
      <c r="N10" s="387">
        <f>D10+F10+H10+J10+L10</f>
        <v>0</v>
      </c>
      <c r="O10" s="380"/>
      <c r="P10" s="385"/>
      <c r="Q10" s="380"/>
      <c r="R10" s="388"/>
      <c r="S10" s="386">
        <f>M10+O10+Q10</f>
        <v>0</v>
      </c>
      <c r="T10" s="389">
        <f>N10+P10+R10</f>
        <v>0</v>
      </c>
    </row>
    <row r="11" spans="1:20" x14ac:dyDescent="0.25">
      <c r="A11" s="47"/>
      <c r="B11" s="48"/>
      <c r="C11" s="390"/>
      <c r="D11" s="391"/>
      <c r="E11" s="392"/>
      <c r="F11" s="393"/>
      <c r="G11" s="394"/>
      <c r="H11" s="395"/>
      <c r="I11" s="394"/>
      <c r="J11" s="395"/>
      <c r="K11" s="396"/>
      <c r="L11" s="395"/>
      <c r="M11" s="397">
        <f t="shared" ref="M11:N22" si="0">C11+E11+G11+I11+K11</f>
        <v>0</v>
      </c>
      <c r="N11" s="398">
        <f t="shared" si="0"/>
        <v>0</v>
      </c>
      <c r="O11" s="396"/>
      <c r="P11" s="395"/>
      <c r="Q11" s="396"/>
      <c r="R11" s="399"/>
      <c r="S11" s="397">
        <f t="shared" ref="S11:T22" si="1">M11+O11+Q11</f>
        <v>0</v>
      </c>
      <c r="T11" s="400">
        <f t="shared" si="1"/>
        <v>0</v>
      </c>
    </row>
    <row r="12" spans="1:20" x14ac:dyDescent="0.25">
      <c r="A12" s="47"/>
      <c r="B12" s="48"/>
      <c r="C12" s="390"/>
      <c r="D12" s="391"/>
      <c r="E12" s="392"/>
      <c r="F12" s="393"/>
      <c r="G12" s="394"/>
      <c r="H12" s="395"/>
      <c r="I12" s="394"/>
      <c r="J12" s="395"/>
      <c r="K12" s="396"/>
      <c r="L12" s="395"/>
      <c r="M12" s="397">
        <f t="shared" si="0"/>
        <v>0</v>
      </c>
      <c r="N12" s="398">
        <f t="shared" si="0"/>
        <v>0</v>
      </c>
      <c r="O12" s="396"/>
      <c r="P12" s="395"/>
      <c r="Q12" s="396"/>
      <c r="R12" s="399"/>
      <c r="S12" s="397">
        <f t="shared" si="1"/>
        <v>0</v>
      </c>
      <c r="T12" s="400">
        <f t="shared" si="1"/>
        <v>0</v>
      </c>
    </row>
    <row r="13" spans="1:20" x14ac:dyDescent="0.25">
      <c r="A13" s="47"/>
      <c r="B13" s="48"/>
      <c r="C13" s="390"/>
      <c r="D13" s="391"/>
      <c r="E13" s="392"/>
      <c r="F13" s="393"/>
      <c r="G13" s="394"/>
      <c r="H13" s="395"/>
      <c r="I13" s="394"/>
      <c r="J13" s="395"/>
      <c r="K13" s="396"/>
      <c r="L13" s="395"/>
      <c r="M13" s="397">
        <f t="shared" si="0"/>
        <v>0</v>
      </c>
      <c r="N13" s="398">
        <f t="shared" si="0"/>
        <v>0</v>
      </c>
      <c r="O13" s="396"/>
      <c r="P13" s="395"/>
      <c r="Q13" s="396"/>
      <c r="R13" s="399"/>
      <c r="S13" s="397">
        <f t="shared" si="1"/>
        <v>0</v>
      </c>
      <c r="T13" s="400">
        <f t="shared" si="1"/>
        <v>0</v>
      </c>
    </row>
    <row r="14" spans="1:20" x14ac:dyDescent="0.25">
      <c r="A14" s="47"/>
      <c r="B14" s="48"/>
      <c r="C14" s="390"/>
      <c r="D14" s="391"/>
      <c r="E14" s="392"/>
      <c r="F14" s="393"/>
      <c r="G14" s="394"/>
      <c r="H14" s="395"/>
      <c r="I14" s="394"/>
      <c r="J14" s="395"/>
      <c r="K14" s="396"/>
      <c r="L14" s="395"/>
      <c r="M14" s="397">
        <f t="shared" si="0"/>
        <v>0</v>
      </c>
      <c r="N14" s="398">
        <f t="shared" si="0"/>
        <v>0</v>
      </c>
      <c r="O14" s="396"/>
      <c r="P14" s="395"/>
      <c r="Q14" s="396"/>
      <c r="R14" s="399"/>
      <c r="S14" s="397">
        <f t="shared" si="1"/>
        <v>0</v>
      </c>
      <c r="T14" s="400">
        <f t="shared" si="1"/>
        <v>0</v>
      </c>
    </row>
    <row r="15" spans="1:20" x14ac:dyDescent="0.25">
      <c r="A15" s="47"/>
      <c r="B15" s="48"/>
      <c r="C15" s="390"/>
      <c r="D15" s="391"/>
      <c r="E15" s="392"/>
      <c r="F15" s="393"/>
      <c r="G15" s="394"/>
      <c r="H15" s="395"/>
      <c r="I15" s="394"/>
      <c r="J15" s="395"/>
      <c r="K15" s="396"/>
      <c r="L15" s="395"/>
      <c r="M15" s="397">
        <f t="shared" si="0"/>
        <v>0</v>
      </c>
      <c r="N15" s="398">
        <f t="shared" si="0"/>
        <v>0</v>
      </c>
      <c r="O15" s="396"/>
      <c r="P15" s="395"/>
      <c r="Q15" s="396"/>
      <c r="R15" s="399"/>
      <c r="S15" s="397">
        <f t="shared" si="1"/>
        <v>0</v>
      </c>
      <c r="T15" s="400">
        <f t="shared" si="1"/>
        <v>0</v>
      </c>
    </row>
    <row r="16" spans="1:20" x14ac:dyDescent="0.25">
      <c r="A16" s="47"/>
      <c r="B16" s="48"/>
      <c r="C16" s="390"/>
      <c r="D16" s="391"/>
      <c r="E16" s="392"/>
      <c r="F16" s="393"/>
      <c r="G16" s="394"/>
      <c r="H16" s="395"/>
      <c r="I16" s="394"/>
      <c r="J16" s="395"/>
      <c r="K16" s="396"/>
      <c r="L16" s="395"/>
      <c r="M16" s="397">
        <f t="shared" si="0"/>
        <v>0</v>
      </c>
      <c r="N16" s="398">
        <f t="shared" si="0"/>
        <v>0</v>
      </c>
      <c r="O16" s="396"/>
      <c r="P16" s="395"/>
      <c r="Q16" s="396"/>
      <c r="R16" s="399"/>
      <c r="S16" s="397">
        <f t="shared" si="1"/>
        <v>0</v>
      </c>
      <c r="T16" s="400">
        <f t="shared" si="1"/>
        <v>0</v>
      </c>
    </row>
    <row r="17" spans="1:20" x14ac:dyDescent="0.25">
      <c r="A17" s="47"/>
      <c r="B17" s="48"/>
      <c r="C17" s="390"/>
      <c r="D17" s="391"/>
      <c r="E17" s="392"/>
      <c r="F17" s="393"/>
      <c r="G17" s="394"/>
      <c r="H17" s="395"/>
      <c r="I17" s="394"/>
      <c r="J17" s="395"/>
      <c r="K17" s="396"/>
      <c r="L17" s="395"/>
      <c r="M17" s="397">
        <f t="shared" si="0"/>
        <v>0</v>
      </c>
      <c r="N17" s="398">
        <f t="shared" si="0"/>
        <v>0</v>
      </c>
      <c r="O17" s="396"/>
      <c r="P17" s="395"/>
      <c r="Q17" s="396"/>
      <c r="R17" s="399"/>
      <c r="S17" s="397">
        <f t="shared" si="1"/>
        <v>0</v>
      </c>
      <c r="T17" s="400">
        <f t="shared" si="1"/>
        <v>0</v>
      </c>
    </row>
    <row r="18" spans="1:20" x14ac:dyDescent="0.25">
      <c r="A18" s="47"/>
      <c r="B18" s="48"/>
      <c r="C18" s="390"/>
      <c r="D18" s="391"/>
      <c r="E18" s="392"/>
      <c r="F18" s="393"/>
      <c r="G18" s="394"/>
      <c r="H18" s="395"/>
      <c r="I18" s="394"/>
      <c r="J18" s="395"/>
      <c r="K18" s="396"/>
      <c r="L18" s="395"/>
      <c r="M18" s="397">
        <f t="shared" si="0"/>
        <v>0</v>
      </c>
      <c r="N18" s="398">
        <f t="shared" si="0"/>
        <v>0</v>
      </c>
      <c r="O18" s="396"/>
      <c r="P18" s="395"/>
      <c r="Q18" s="396"/>
      <c r="R18" s="399"/>
      <c r="S18" s="397">
        <f t="shared" si="1"/>
        <v>0</v>
      </c>
      <c r="T18" s="400">
        <f t="shared" si="1"/>
        <v>0</v>
      </c>
    </row>
    <row r="19" spans="1:20" x14ac:dyDescent="0.25">
      <c r="A19" s="47"/>
      <c r="B19" s="48"/>
      <c r="C19" s="390"/>
      <c r="D19" s="391"/>
      <c r="E19" s="392"/>
      <c r="F19" s="393"/>
      <c r="G19" s="394"/>
      <c r="H19" s="395"/>
      <c r="I19" s="394"/>
      <c r="J19" s="395"/>
      <c r="K19" s="396"/>
      <c r="L19" s="395"/>
      <c r="M19" s="397">
        <f t="shared" si="0"/>
        <v>0</v>
      </c>
      <c r="N19" s="398">
        <f t="shared" si="0"/>
        <v>0</v>
      </c>
      <c r="O19" s="396"/>
      <c r="P19" s="395"/>
      <c r="Q19" s="396"/>
      <c r="R19" s="399"/>
      <c r="S19" s="397">
        <f t="shared" si="1"/>
        <v>0</v>
      </c>
      <c r="T19" s="400">
        <f t="shared" si="1"/>
        <v>0</v>
      </c>
    </row>
    <row r="20" spans="1:20" x14ac:dyDescent="0.25">
      <c r="A20" s="47"/>
      <c r="B20" s="48"/>
      <c r="C20" s="390"/>
      <c r="D20" s="391"/>
      <c r="E20" s="396"/>
      <c r="F20" s="393"/>
      <c r="G20" s="394"/>
      <c r="H20" s="395"/>
      <c r="I20" s="394"/>
      <c r="J20" s="395"/>
      <c r="K20" s="396"/>
      <c r="L20" s="395"/>
      <c r="M20" s="397">
        <f t="shared" si="0"/>
        <v>0</v>
      </c>
      <c r="N20" s="398">
        <f t="shared" si="0"/>
        <v>0</v>
      </c>
      <c r="O20" s="396"/>
      <c r="P20" s="395"/>
      <c r="Q20" s="396"/>
      <c r="R20" s="399"/>
      <c r="S20" s="397">
        <f t="shared" si="1"/>
        <v>0</v>
      </c>
      <c r="T20" s="400">
        <f t="shared" si="1"/>
        <v>0</v>
      </c>
    </row>
    <row r="21" spans="1:20" x14ac:dyDescent="0.25">
      <c r="A21" s="47"/>
      <c r="B21" s="48"/>
      <c r="C21" s="390"/>
      <c r="D21" s="391"/>
      <c r="E21" s="396"/>
      <c r="F21" s="393"/>
      <c r="G21" s="394"/>
      <c r="H21" s="395"/>
      <c r="I21" s="394"/>
      <c r="J21" s="395"/>
      <c r="K21" s="396"/>
      <c r="L21" s="395"/>
      <c r="M21" s="397">
        <f t="shared" si="0"/>
        <v>0</v>
      </c>
      <c r="N21" s="398">
        <f t="shared" si="0"/>
        <v>0</v>
      </c>
      <c r="O21" s="396"/>
      <c r="P21" s="395"/>
      <c r="Q21" s="396"/>
      <c r="R21" s="399"/>
      <c r="S21" s="397">
        <f t="shared" si="1"/>
        <v>0</v>
      </c>
      <c r="T21" s="400">
        <f t="shared" si="1"/>
        <v>0</v>
      </c>
    </row>
    <row r="22" spans="1:20" x14ac:dyDescent="0.25">
      <c r="A22" s="47"/>
      <c r="B22" s="48"/>
      <c r="C22" s="390"/>
      <c r="D22" s="391"/>
      <c r="E22" s="396"/>
      <c r="F22" s="393"/>
      <c r="G22" s="394"/>
      <c r="H22" s="395"/>
      <c r="I22" s="394"/>
      <c r="J22" s="395"/>
      <c r="K22" s="396"/>
      <c r="L22" s="395"/>
      <c r="M22" s="397">
        <f t="shared" si="0"/>
        <v>0</v>
      </c>
      <c r="N22" s="398">
        <f t="shared" si="0"/>
        <v>0</v>
      </c>
      <c r="O22" s="396"/>
      <c r="P22" s="395"/>
      <c r="Q22" s="396"/>
      <c r="R22" s="399"/>
      <c r="S22" s="397">
        <f t="shared" si="1"/>
        <v>0</v>
      </c>
      <c r="T22" s="400">
        <f t="shared" si="1"/>
        <v>0</v>
      </c>
    </row>
    <row r="23" spans="1:20" ht="15.75" thickBot="1" x14ac:dyDescent="0.3">
      <c r="A23" s="3" t="s">
        <v>264</v>
      </c>
      <c r="C23" s="401">
        <f>SUM(C10:C22)</f>
        <v>0</v>
      </c>
      <c r="D23" s="402">
        <f t="shared" ref="D23:T23" si="2">SUM(D10:D22)</f>
        <v>0</v>
      </c>
      <c r="E23" s="401">
        <f t="shared" si="2"/>
        <v>0</v>
      </c>
      <c r="F23" s="402">
        <f t="shared" si="2"/>
        <v>0</v>
      </c>
      <c r="G23" s="401">
        <f t="shared" si="2"/>
        <v>0</v>
      </c>
      <c r="H23" s="403">
        <f t="shared" si="2"/>
        <v>0</v>
      </c>
      <c r="I23" s="401">
        <f t="shared" si="2"/>
        <v>0</v>
      </c>
      <c r="J23" s="403">
        <f t="shared" si="2"/>
        <v>0</v>
      </c>
      <c r="K23" s="401">
        <f t="shared" si="2"/>
        <v>0</v>
      </c>
      <c r="L23" s="403">
        <f t="shared" si="2"/>
        <v>0</v>
      </c>
      <c r="M23" s="401">
        <f t="shared" si="2"/>
        <v>0</v>
      </c>
      <c r="N23" s="402">
        <f t="shared" si="2"/>
        <v>0</v>
      </c>
      <c r="O23" s="401">
        <f t="shared" si="2"/>
        <v>0</v>
      </c>
      <c r="P23" s="403">
        <f t="shared" si="2"/>
        <v>0</v>
      </c>
      <c r="Q23" s="401">
        <f t="shared" si="2"/>
        <v>0</v>
      </c>
      <c r="R23" s="402">
        <f t="shared" si="2"/>
        <v>0</v>
      </c>
      <c r="S23" s="401">
        <f t="shared" si="2"/>
        <v>0</v>
      </c>
      <c r="T23" s="403">
        <f t="shared" si="2"/>
        <v>0</v>
      </c>
    </row>
    <row r="24" spans="1:20" ht="15.75" thickTop="1" x14ac:dyDescent="0.25"/>
    <row r="53" spans="1:21" x14ac:dyDescent="0.25">
      <c r="A53" s="763" t="s">
        <v>879</v>
      </c>
      <c r="B53" s="763"/>
      <c r="C53" s="763"/>
      <c r="D53" s="763"/>
      <c r="E53" s="763"/>
      <c r="F53" s="763"/>
      <c r="G53" s="763"/>
      <c r="H53" s="763"/>
      <c r="I53" s="763"/>
      <c r="J53" s="763"/>
      <c r="K53" s="763"/>
      <c r="L53" s="763"/>
      <c r="M53" s="763"/>
      <c r="N53" s="763"/>
      <c r="O53" s="763"/>
      <c r="P53" s="763"/>
      <c r="Q53" s="763"/>
      <c r="R53" s="763"/>
      <c r="S53" s="763"/>
      <c r="T53" s="763"/>
      <c r="U53" s="763"/>
    </row>
  </sheetData>
  <sheetProtection algorithmName="SHA-512" hashValue="90gRMRBzbPXW4nauzu0vCVTwjhOqScosvMf6H8Ve26yd51q4CvDQp6EOBrmco/2VhQWXwsKU2bEDDU79C//waw==" saltValue="d6MGDCaKO8yAtPejsVCbIA==" spinCount="100000" sheet="1" objects="1" scenarios="1"/>
  <mergeCells count="12">
    <mergeCell ref="A53:U53"/>
    <mergeCell ref="S8:T8"/>
    <mergeCell ref="A1:T1"/>
    <mergeCell ref="A2:T2"/>
    <mergeCell ref="C8:D8"/>
    <mergeCell ref="E8:F8"/>
    <mergeCell ref="G8:H8"/>
    <mergeCell ref="I8:J8"/>
    <mergeCell ref="K8:L8"/>
    <mergeCell ref="M8:N8"/>
    <mergeCell ref="O8:P8"/>
    <mergeCell ref="Q8:R8"/>
  </mergeCells>
  <printOptions horizontalCentered="1"/>
  <pageMargins left="0.25" right="0.25" top="0.75" bottom="0.75" header="0.3" footer="0.3"/>
  <pageSetup scale="5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5FED-2B60-4816-9EA4-826DDC453CD4}">
  <sheetPr codeName="Sheet50">
    <tabColor rgb="FF92D050"/>
  </sheetPr>
  <dimension ref="A1:Q62"/>
  <sheetViews>
    <sheetView topLeftCell="A23" zoomScaleNormal="100" workbookViewId="0">
      <selection activeCell="O46" sqref="O46"/>
    </sheetView>
  </sheetViews>
  <sheetFormatPr defaultColWidth="9.140625" defaultRowHeight="15" x14ac:dyDescent="0.25"/>
  <cols>
    <col min="1" max="1" width="5.42578125" customWidth="1"/>
    <col min="2" max="2" width="5.140625" customWidth="1"/>
    <col min="3" max="3" width="71.7109375" customWidth="1"/>
    <col min="4" max="4" width="18" customWidth="1"/>
    <col min="5" max="5" width="8.140625" customWidth="1"/>
  </cols>
  <sheetData>
    <row r="1" spans="1:17" x14ac:dyDescent="0.25">
      <c r="A1" s="768" t="str">
        <f>'Information Sheet'!B9</f>
        <v>Weymouth Township FD No. 1</v>
      </c>
      <c r="B1" s="768"/>
      <c r="C1" s="768"/>
      <c r="D1" s="768"/>
      <c r="E1" s="768"/>
    </row>
    <row r="2" spans="1:17" x14ac:dyDescent="0.25">
      <c r="A2" s="768" t="str">
        <f>'Information Sheet'!B10</f>
        <v>Atlantic</v>
      </c>
      <c r="B2" s="768"/>
      <c r="C2" s="768"/>
      <c r="D2" s="768"/>
      <c r="E2" s="768"/>
    </row>
    <row r="3" spans="1:17" x14ac:dyDescent="0.25">
      <c r="A3" s="797" t="s">
        <v>265</v>
      </c>
      <c r="B3" s="797"/>
      <c r="C3" s="797"/>
      <c r="D3" s="797"/>
      <c r="E3" s="3"/>
    </row>
    <row r="4" spans="1:17" x14ac:dyDescent="0.25">
      <c r="A4" t="str">
        <f>""&amp;Q6&amp;" Proposed Budget PERS Contribution Appropriated"</f>
        <v>2025 Proposed Budget PERS Contribution Appropriated</v>
      </c>
      <c r="D4" s="142">
        <f>'F-4 Salary &amp; Benefit Schedule'!E42</f>
        <v>0</v>
      </c>
    </row>
    <row r="5" spans="1:17" x14ac:dyDescent="0.25">
      <c r="A5" t="str">
        <f>""&amp;Q6&amp;" Proposed Budget PFRS Contribution Appropriated"</f>
        <v>2025 Proposed Budget PFRS Contribution Appropriated</v>
      </c>
      <c r="D5" s="142">
        <f>'F-4 Salary &amp; Benefit Schedule'!F42</f>
        <v>0</v>
      </c>
    </row>
    <row r="6" spans="1:17" x14ac:dyDescent="0.25">
      <c r="A6" t="s">
        <v>266</v>
      </c>
      <c r="D6" s="162">
        <f>'F-4 Salary &amp; Benefit Schedule'!E40+'F-4 Salary &amp; Benefit Schedule'!F40</f>
        <v>0</v>
      </c>
      <c r="Q6" s="91">
        <f>'Information Sheet'!B11</f>
        <v>2025</v>
      </c>
    </row>
    <row r="7" spans="1:17" x14ac:dyDescent="0.25">
      <c r="B7" t="str">
        <f>"Net "&amp;Q6&amp;" Base Amount"</f>
        <v>Net 2025 Base Amount</v>
      </c>
      <c r="D7" s="150">
        <f>D4+D5-D6</f>
        <v>0</v>
      </c>
    </row>
    <row r="8" spans="1:17" x14ac:dyDescent="0.25">
      <c r="A8" t="str">
        <f>""&amp;Q6-1&amp;" Adopted Budget PERS Contribution"</f>
        <v>2024 Adopted Budget PERS Contribution</v>
      </c>
      <c r="D8" s="141"/>
    </row>
    <row r="9" spans="1:17" x14ac:dyDescent="0.25">
      <c r="A9" t="str">
        <f>""&amp;Q6-1&amp;" Adopted Budget PFRS Contribution"</f>
        <v>2024 Adopted Budget PFRS Contribution</v>
      </c>
      <c r="D9" s="141"/>
    </row>
    <row r="10" spans="1:17" x14ac:dyDescent="0.25">
      <c r="A10" t="s">
        <v>267</v>
      </c>
      <c r="D10" s="144"/>
    </row>
    <row r="11" spans="1:17" x14ac:dyDescent="0.25">
      <c r="B11" t="str">
        <f>"Net "&amp;Q6-1&amp;" Base Amount"</f>
        <v>Net 2024 Base Amount</v>
      </c>
      <c r="D11" s="150">
        <f>D8+D9-D10</f>
        <v>0</v>
      </c>
    </row>
    <row r="12" spans="1:17" ht="15.75" thickBot="1" x14ac:dyDescent="0.3">
      <c r="C12" s="3" t="s">
        <v>268</v>
      </c>
      <c r="D12" s="143">
        <f>IF((D7-D11)&lt;0,0,(D7-D11))</f>
        <v>0</v>
      </c>
    </row>
    <row r="13" spans="1:17" ht="7.35" customHeight="1" thickTop="1" x14ac:dyDescent="0.25"/>
    <row r="14" spans="1:17" x14ac:dyDescent="0.25">
      <c r="A14" s="797" t="s">
        <v>269</v>
      </c>
      <c r="B14" s="797"/>
      <c r="C14" s="797"/>
      <c r="D14" s="797"/>
      <c r="E14" s="3"/>
    </row>
    <row r="15" spans="1:17" x14ac:dyDescent="0.25">
      <c r="A15" t="str">
        <f>""&amp;Q6&amp;" Proposed Budget LOSAP Appropriation"</f>
        <v>2025 Proposed Budget LOSAP Appropriation</v>
      </c>
      <c r="D15" s="142">
        <f>'F-3 Appropriations (Proposed)'!D65</f>
        <v>0</v>
      </c>
    </row>
    <row r="16" spans="1:17" x14ac:dyDescent="0.25">
      <c r="A16" t="str">
        <f>""&amp;Q6-1&amp;" Adopted Budget LOSAP Appropriation"</f>
        <v>2024 Adopted Budget LOSAP Appropriation</v>
      </c>
      <c r="D16" s="162">
        <f>'F-3 Appropriations (Proposed)'!F65</f>
        <v>0</v>
      </c>
    </row>
    <row r="17" spans="1:5" ht="15.75" thickBot="1" x14ac:dyDescent="0.3">
      <c r="B17" s="3" t="s">
        <v>270</v>
      </c>
      <c r="D17" s="143">
        <f>IF(D15&lt;D16,0,(D15-D16))</f>
        <v>0</v>
      </c>
    </row>
    <row r="18" spans="1:5" ht="7.35" customHeight="1" thickTop="1" x14ac:dyDescent="0.25"/>
    <row r="19" spans="1:5" x14ac:dyDescent="0.25">
      <c r="A19" s="797" t="s">
        <v>271</v>
      </c>
      <c r="B19" s="797"/>
      <c r="C19" s="797"/>
      <c r="D19" s="797"/>
      <c r="E19" s="3"/>
    </row>
    <row r="20" spans="1:5" x14ac:dyDescent="0.25">
      <c r="A20" t="str">
        <f>""&amp;Q6&amp;" Proposed Budget Total Debt Service Appropriation"</f>
        <v>2025 Proposed Budget Total Debt Service Appropriation</v>
      </c>
      <c r="D20" s="142">
        <f>'F-6 Debt Service - Principal'!I35+'F-7 Debt Service - Interest'!F35</f>
        <v>34185.479999999996</v>
      </c>
    </row>
    <row r="21" spans="1:5" x14ac:dyDescent="0.25">
      <c r="A21" t="str">
        <f>""&amp;Q6&amp;" Proposed Budget Debt Service Appropriation Offset from Restricted Fund"</f>
        <v>2025 Proposed Budget Debt Service Appropriation Offset from Restricted Fund</v>
      </c>
      <c r="D21" s="142">
        <f>'F-6 Debt Service - Principal'!I39+'F-7 Debt Service - Interest'!F39</f>
        <v>0</v>
      </c>
    </row>
    <row r="22" spans="1:5" x14ac:dyDescent="0.25">
      <c r="A22" t="str">
        <f>""&amp;Q6&amp;" Proposed Budget Debt Service Appropriation Offset from Grant Revenue"</f>
        <v>2025 Proposed Budget Debt Service Appropriation Offset from Grant Revenue</v>
      </c>
      <c r="D22" s="142">
        <f>'F-6 Debt Service - Principal'!I40+'F-7 Debt Service - Interest'!F40</f>
        <v>0</v>
      </c>
    </row>
    <row r="23" spans="1:5" x14ac:dyDescent="0.25">
      <c r="A23" t="str">
        <f>""&amp;Q6&amp;" Proposed Budget Debt Service Appropriation Offset from Unrestricted Fund"</f>
        <v>2025 Proposed Budget Debt Service Appropriation Offset from Unrestricted Fund</v>
      </c>
      <c r="D23" s="142">
        <f>'F-6 Debt Service - Principal'!I41+'F-7 Debt Service - Interest'!F41</f>
        <v>0</v>
      </c>
    </row>
    <row r="24" spans="1:5" x14ac:dyDescent="0.25">
      <c r="B24" t="str">
        <f>""&amp;Q6&amp;" Base Amount"</f>
        <v>2025 Base Amount</v>
      </c>
      <c r="D24" s="150">
        <f>D20-D21-D22-D23</f>
        <v>34185.479999999996</v>
      </c>
    </row>
    <row r="25" spans="1:5" x14ac:dyDescent="0.25">
      <c r="A25" t="str">
        <f>""&amp;Q6-1&amp;" Adopted Budget Total Debt Service Appropriation"</f>
        <v>2024 Adopted Budget Total Debt Service Appropriation</v>
      </c>
      <c r="D25" s="142">
        <f>'F-6 Debt Service - Principal'!G35+'F-7 Debt Service - Interest'!D35</f>
        <v>0</v>
      </c>
    </row>
    <row r="26" spans="1:5" x14ac:dyDescent="0.25">
      <c r="A26" t="str">
        <f>""&amp;Q6-1&amp;" Adopted Budget Debt Service Appropriation Offset from Restricted Fund"</f>
        <v>2024 Adopted Budget Debt Service Appropriation Offset from Restricted Fund</v>
      </c>
      <c r="D26" s="142">
        <f>'F-6 Debt Service - Principal'!G39+'F-7 Debt Service - Interest'!D39</f>
        <v>0</v>
      </c>
    </row>
    <row r="27" spans="1:5" x14ac:dyDescent="0.25">
      <c r="A27" t="str">
        <f>""&amp;Q6-1&amp;" Adopted Budget Debt Service Appropriation Offset from Grant Fund"</f>
        <v>2024 Adopted Budget Debt Service Appropriation Offset from Grant Fund</v>
      </c>
      <c r="D27" s="142">
        <f>'F-6 Debt Service - Principal'!G40+'F-7 Debt Service - Interest'!D40</f>
        <v>0</v>
      </c>
    </row>
    <row r="28" spans="1:5" x14ac:dyDescent="0.25">
      <c r="A28" t="str">
        <f>""&amp;Q6-1&amp;" Adopted Budget Debt Service Appropriation Offset from Unrestricted Fund "</f>
        <v xml:space="preserve">2024 Adopted Budget Debt Service Appropriation Offset from Unrestricted Fund </v>
      </c>
      <c r="D28" s="142">
        <f>'F-6 Debt Service - Principal'!G41+'F-7 Debt Service - Interest'!D41</f>
        <v>0</v>
      </c>
    </row>
    <row r="29" spans="1:5" x14ac:dyDescent="0.25">
      <c r="B29" t="str">
        <f>""&amp;Q6-1&amp;" Base Amount"</f>
        <v>2024 Base Amount</v>
      </c>
      <c r="D29" s="150">
        <f>D25-D26-D27-D28</f>
        <v>0</v>
      </c>
    </row>
    <row r="30" spans="1:5" x14ac:dyDescent="0.25">
      <c r="D30" s="6"/>
    </row>
    <row r="31" spans="1:5" ht="15.75" thickBot="1" x14ac:dyDescent="0.3">
      <c r="B31" s="3" t="s">
        <v>272</v>
      </c>
      <c r="D31" s="143">
        <f>IF(D24&lt;D29,0,(D24-D29))</f>
        <v>34185.479999999996</v>
      </c>
    </row>
    <row r="32" spans="1:5" ht="7.35" customHeight="1" thickTop="1" x14ac:dyDescent="0.25"/>
    <row r="33" spans="1:5" x14ac:dyDescent="0.25">
      <c r="A33" s="797" t="s">
        <v>273</v>
      </c>
      <c r="B33" s="797"/>
      <c r="C33" s="797"/>
      <c r="D33" s="797"/>
      <c r="E33" s="3"/>
    </row>
    <row r="34" spans="1:5" x14ac:dyDescent="0.25">
      <c r="A34" t="str">
        <f>""&amp;Q6&amp;" Proposed Budget Total Capital Appropriation"</f>
        <v>2025 Proposed Budget Total Capital Appropriation</v>
      </c>
      <c r="D34" s="142">
        <f>'F-5 Capital Budget Proposed'!G27</f>
        <v>979.52</v>
      </c>
    </row>
    <row r="35" spans="1:5" x14ac:dyDescent="0.25">
      <c r="A35" t="str">
        <f>""&amp;Q6&amp;" Proposed Budget Capital Appropriation Offset from Restricted Fund"</f>
        <v>2025 Proposed Budget Capital Appropriation Offset from Restricted Fund</v>
      </c>
      <c r="D35" s="142">
        <f>'F-5 Capital Budget Proposed'!G29</f>
        <v>0</v>
      </c>
    </row>
    <row r="36" spans="1:5" x14ac:dyDescent="0.25">
      <c r="A36" t="str">
        <f>""&amp;Q6&amp;" Proposed Budget Capital Appropriation Offset from Grant Revenue"</f>
        <v>2025 Proposed Budget Capital Appropriation Offset from Grant Revenue</v>
      </c>
      <c r="D36" s="142">
        <f>'F-5 Capital Budget Proposed'!G30</f>
        <v>0</v>
      </c>
    </row>
    <row r="37" spans="1:5" x14ac:dyDescent="0.25">
      <c r="A37" t="str">
        <f>""&amp;Q6&amp;" Proposed Budget Capital Appropriation Offset from Unrestricted Fund"</f>
        <v>2025 Proposed Budget Capital Appropriation Offset from Unrestricted Fund</v>
      </c>
      <c r="D37" s="162">
        <f>'F-5 Capital Budget Proposed'!G31</f>
        <v>0</v>
      </c>
    </row>
    <row r="38" spans="1:5" x14ac:dyDescent="0.25">
      <c r="B38" t="str">
        <f>""&amp;Q6&amp;" Base Amount"</f>
        <v>2025 Base Amount</v>
      </c>
      <c r="D38" s="150">
        <f>D34-D35-D36-D37</f>
        <v>979.52</v>
      </c>
    </row>
    <row r="39" spans="1:5" x14ac:dyDescent="0.25">
      <c r="A39" t="str">
        <f>""&amp;Q6-1&amp;" Adopted Budget Total Capital Appropriation"</f>
        <v>2024 Adopted Budget Total Capital Appropriation</v>
      </c>
      <c r="D39" s="142">
        <f>'F-5 Capital Budget Proposed'!H27</f>
        <v>120000</v>
      </c>
    </row>
    <row r="40" spans="1:5" x14ac:dyDescent="0.25">
      <c r="A40" t="str">
        <f>""&amp;Q6-1&amp;" Adopted Budget Capital Appropriation Offset from Restricted Fund"</f>
        <v>2024 Adopted Budget Capital Appropriation Offset from Restricted Fund</v>
      </c>
      <c r="D40" s="142">
        <f>'F-5 Capital Budget Proposed'!H29</f>
        <v>85000</v>
      </c>
    </row>
    <row r="41" spans="1:5" x14ac:dyDescent="0.25">
      <c r="A41" t="str">
        <f>""&amp;Q6-1&amp;" Adopted Budget Capital Appropriation Offset from Grant Revenue"</f>
        <v>2024 Adopted Budget Capital Appropriation Offset from Grant Revenue</v>
      </c>
      <c r="D41" s="142">
        <f>'F-5 Capital Budget Proposed'!H30</f>
        <v>0</v>
      </c>
    </row>
    <row r="42" spans="1:5" x14ac:dyDescent="0.25">
      <c r="A42" t="str">
        <f>""&amp;Q6-1&amp;" Adopted Budget Capital Appropriation Offset from Unrestricted Fund"</f>
        <v>2024 Adopted Budget Capital Appropriation Offset from Unrestricted Fund</v>
      </c>
      <c r="D42" s="162">
        <f>'F-5 Capital Budget Proposed'!H31</f>
        <v>0</v>
      </c>
    </row>
    <row r="43" spans="1:5" x14ac:dyDescent="0.25">
      <c r="B43" t="str">
        <f>""&amp;Q6-1&amp;" Base Amount"</f>
        <v>2024 Base Amount</v>
      </c>
      <c r="D43" s="150">
        <f>D39-D40-D41-D42</f>
        <v>35000</v>
      </c>
    </row>
    <row r="44" spans="1:5" ht="15.75" thickBot="1" x14ac:dyDescent="0.3">
      <c r="C44" s="3" t="s">
        <v>274</v>
      </c>
      <c r="D44" s="143">
        <f>IF(D38&lt;D43,0,(D38-D43))</f>
        <v>0</v>
      </c>
    </row>
    <row r="45" spans="1:5" ht="7.35" customHeight="1" thickTop="1" x14ac:dyDescent="0.25"/>
    <row r="46" spans="1:5" x14ac:dyDescent="0.25">
      <c r="A46" s="764" t="s">
        <v>275</v>
      </c>
      <c r="B46" s="764"/>
      <c r="C46" s="764"/>
      <c r="D46" s="764"/>
    </row>
    <row r="47" spans="1:5" x14ac:dyDescent="0.25">
      <c r="A47" s="92" t="str">
        <f>"SFY "&amp;Q6&amp;""</f>
        <v>SFY 2025</v>
      </c>
      <c r="B47" s="8"/>
      <c r="C47" s="8"/>
      <c r="D47" s="495">
        <v>0.17199999999999999</v>
      </c>
    </row>
    <row r="48" spans="1:5" x14ac:dyDescent="0.25">
      <c r="A48" t="str">
        <f>""&amp;Q6&amp;" Proposed Budget Administration Health Insurance Appropriation"</f>
        <v>2025 Proposed Budget Administration Health Insurance Appropriation</v>
      </c>
      <c r="D48" s="142">
        <f>'F-4 Salary &amp; Benefit Schedule'!G12</f>
        <v>0</v>
      </c>
    </row>
    <row r="49" spans="1:6" x14ac:dyDescent="0.25">
      <c r="A49" t="str">
        <f>""&amp;Q6&amp;" Proposed Budget Operations &amp; Maintenance Health Insurance Appropriation"</f>
        <v>2025 Proposed Budget Operations &amp; Maintenance Health Insurance Appropriation</v>
      </c>
      <c r="D49" s="162">
        <f>'F-4 Salary &amp; Benefit Schedule'!G29</f>
        <v>0</v>
      </c>
    </row>
    <row r="50" spans="1:6" x14ac:dyDescent="0.25">
      <c r="B50" t="str">
        <f>""&amp;Q6&amp;" Proposed Budget Group Health Insurance "</f>
        <v xml:space="preserve">2025 Proposed Budget Group Health Insurance </v>
      </c>
      <c r="D50" s="150">
        <f>D48+D49</f>
        <v>0</v>
      </c>
    </row>
    <row r="51" spans="1:6" x14ac:dyDescent="0.25">
      <c r="A51" s="767" t="str">
        <f>""&amp;Q6-1&amp;" Adopted Budget Administration Health Insurance Appropriation"</f>
        <v>2024 Adopted Budget Administration Health Insurance Appropriation</v>
      </c>
      <c r="B51" s="767"/>
      <c r="C51" s="767"/>
      <c r="D51" s="11"/>
    </row>
    <row r="52" spans="1:6" x14ac:dyDescent="0.25">
      <c r="A52" s="767" t="str">
        <f>""&amp;Q6-1&amp;" Adopted Budget Operations &amp; Maintenance Health Insurance Appropriation"</f>
        <v>2024 Adopted Budget Operations &amp; Maintenance Health Insurance Appropriation</v>
      </c>
      <c r="B52" s="767"/>
      <c r="C52" s="767"/>
      <c r="D52" s="10"/>
    </row>
    <row r="53" spans="1:6" x14ac:dyDescent="0.25">
      <c r="B53" t="str">
        <f>""&amp;Q6-1&amp;" Adopted Budget Group Health Insurance"</f>
        <v>2024 Adopted Budget Group Health Insurance</v>
      </c>
      <c r="D53" s="150">
        <f>D51+D52</f>
        <v>0</v>
      </c>
    </row>
    <row r="54" spans="1:6" x14ac:dyDescent="0.25">
      <c r="C54" t="s">
        <v>276</v>
      </c>
      <c r="D54" s="150">
        <f>D50-D53</f>
        <v>0</v>
      </c>
    </row>
    <row r="55" spans="1:6" x14ac:dyDescent="0.25">
      <c r="A55" t="str">
        <f>"Net Increase Divided by "&amp;Q6-1&amp;" Amount Budgeted = % Increase"</f>
        <v>Net Increase Divided by 2024 Amount Budgeted = % Increase</v>
      </c>
      <c r="D55" s="93">
        <f>IF(D54&lt;0,0,(IF(D53=0,0,(D54/D53))))</f>
        <v>0</v>
      </c>
    </row>
    <row r="56" spans="1:6" x14ac:dyDescent="0.25">
      <c r="A56" t="str">
        <f>"SFY "&amp;Q6&amp;" State Health Average "&amp;D47*100&amp;"% Less 2% = % Increase Added to Current Levy"</f>
        <v>SFY 2025 State Health Average 17.2% Less 2% = % Increase Added to Current Levy</v>
      </c>
      <c r="D56" s="93">
        <f>IF(D55&lt;0.02,0,(IF(D55&lt;D47,(D55-0.02),IF(D47&lt;0.02,0,(D47-0.02)))))</f>
        <v>0</v>
      </c>
    </row>
    <row r="57" spans="1:6" x14ac:dyDescent="0.25">
      <c r="A57" t="s">
        <v>277</v>
      </c>
      <c r="D57" s="93">
        <f>D55-D56</f>
        <v>0</v>
      </c>
    </row>
    <row r="58" spans="1:6" x14ac:dyDescent="0.25">
      <c r="A58" t="str">
        <f>"% Increase Inside Cap * "&amp;Q6-1&amp;" Expended = Added Amount Inside Cap"</f>
        <v>% Increase Inside Cap * 2024 Expended = Added Amount Inside Cap</v>
      </c>
      <c r="D58" s="162">
        <f>IF(D54&lt;0,0,D57*D53)</f>
        <v>0</v>
      </c>
    </row>
    <row r="59" spans="1:6" x14ac:dyDescent="0.25">
      <c r="A59" t="str">
        <f>"% Increase Exclusion * "&amp;Q6-1&amp;" Expended = "&amp;Q6&amp;" Appropriation Added to Levy"</f>
        <v>% Increase Exclusion * 2024 Expended = 2025 Appropriation Added to Levy</v>
      </c>
      <c r="D59" s="150">
        <f>D56*D53</f>
        <v>0</v>
      </c>
    </row>
    <row r="60" spans="1:6" x14ac:dyDescent="0.25">
      <c r="A60" t="s">
        <v>278</v>
      </c>
      <c r="D60" s="150">
        <f>IF((D55-D47)&gt;0,(D53*(D55-D47)),0)</f>
        <v>0</v>
      </c>
    </row>
    <row r="61" spans="1:6" x14ac:dyDescent="0.25">
      <c r="B61" t="str">
        <f>""&amp;Q6&amp;" Increase in Appropriation"</f>
        <v>2025 Increase in Appropriation</v>
      </c>
      <c r="D61" s="150">
        <f>D58+D59</f>
        <v>0</v>
      </c>
    </row>
    <row r="62" spans="1:6" x14ac:dyDescent="0.25">
      <c r="A62" s="763" t="s">
        <v>878</v>
      </c>
      <c r="B62" s="763"/>
      <c r="C62" s="763"/>
      <c r="D62" s="763"/>
      <c r="E62" s="763"/>
      <c r="F62" s="763"/>
    </row>
  </sheetData>
  <sheetProtection algorithmName="SHA-512" hashValue="pOgDRRuuLYFLPkSEm7HkdvVfw4vBzHID8+LudGAjepPgPsovMvjbK7jpA1NaMCzrcJXzwzMSPBSYIZdLSXg23w==" saltValue="G3S1ZS5XEiINxfcICDm/Mw==" spinCount="100000" sheet="1" objects="1" scenarios="1"/>
  <mergeCells count="10">
    <mergeCell ref="A1:E1"/>
    <mergeCell ref="A3:D3"/>
    <mergeCell ref="A14:D14"/>
    <mergeCell ref="A33:D33"/>
    <mergeCell ref="A19:D19"/>
    <mergeCell ref="A62:F62"/>
    <mergeCell ref="A46:D46"/>
    <mergeCell ref="A51:C51"/>
    <mergeCell ref="A52:C52"/>
    <mergeCell ref="A2:E2"/>
  </mergeCells>
  <printOptions horizontalCentered="1"/>
  <pageMargins left="0.25" right="0.25" top="0.25" bottom="0.25" header="0.3" footer="0.3"/>
  <pageSetup scale="85" orientation="portrait"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739A-81D2-44D5-B1FD-CE0E9E0FE6A5}">
  <sheetPr codeName="Sheet165">
    <tabColor rgb="FF7030A0"/>
  </sheetPr>
  <dimension ref="A3:R40"/>
  <sheetViews>
    <sheetView view="pageLayout" topLeftCell="A16" zoomScaleNormal="100" workbookViewId="0">
      <selection activeCell="I38" sqref="I38"/>
    </sheetView>
  </sheetViews>
  <sheetFormatPr defaultRowHeight="12.75" x14ac:dyDescent="0.2"/>
  <cols>
    <col min="1" max="1" width="7.7109375" style="496" customWidth="1"/>
    <col min="2" max="2" width="6.140625" style="498" customWidth="1"/>
    <col min="3" max="3" width="12.140625" style="498" customWidth="1"/>
    <col min="4" max="4" width="9.140625" style="498"/>
    <col min="5" max="5" width="10.140625" style="498" bestFit="1" customWidth="1"/>
    <col min="6" max="7" width="9.140625" style="498"/>
    <col min="8" max="8" width="10.42578125" style="498" customWidth="1"/>
    <col min="9" max="10" width="15.140625" style="498" customWidth="1"/>
    <col min="11" max="11" width="1" style="498" customWidth="1"/>
    <col min="12" max="12" width="8" style="498" customWidth="1"/>
    <col min="13" max="13" width="4.140625" style="498" customWidth="1"/>
    <col min="14" max="14" width="7.7109375" style="498" customWidth="1"/>
    <col min="15" max="15" width="11.140625" style="498" bestFit="1" customWidth="1"/>
    <col min="16" max="16384" width="9.140625" style="498"/>
  </cols>
  <sheetData>
    <row r="3" spans="1:18" ht="15" x14ac:dyDescent="0.25">
      <c r="B3" s="798" t="s">
        <v>983</v>
      </c>
      <c r="C3" s="798"/>
      <c r="D3" s="798"/>
      <c r="E3" s="798"/>
      <c r="F3" s="798"/>
      <c r="G3" s="798"/>
      <c r="H3" s="798"/>
      <c r="I3" s="798"/>
      <c r="J3" s="798"/>
      <c r="K3" s="798"/>
      <c r="L3" s="798"/>
      <c r="M3" s="798"/>
      <c r="N3" s="798"/>
      <c r="O3" s="798"/>
      <c r="P3" s="798"/>
      <c r="Q3" s="798"/>
      <c r="R3" s="497"/>
    </row>
    <row r="4" spans="1:18" ht="15" x14ac:dyDescent="0.25">
      <c r="B4" s="798" t="s">
        <v>984</v>
      </c>
      <c r="C4" s="798"/>
      <c r="D4" s="798"/>
      <c r="E4" s="798"/>
      <c r="F4" s="798"/>
      <c r="G4" s="798"/>
      <c r="H4" s="798"/>
      <c r="I4" s="798"/>
      <c r="J4" s="798"/>
      <c r="K4" s="798"/>
      <c r="L4" s="798"/>
      <c r="M4" s="798"/>
      <c r="N4" s="798"/>
      <c r="O4" s="798"/>
      <c r="P4" s="798"/>
      <c r="Q4" s="798"/>
      <c r="R4" s="497"/>
    </row>
    <row r="6" spans="1:18" x14ac:dyDescent="0.2">
      <c r="B6" s="499"/>
      <c r="C6" s="499"/>
      <c r="D6" s="499"/>
      <c r="E6" s="499"/>
      <c r="F6" s="499"/>
      <c r="G6" s="499"/>
      <c r="H6" s="499"/>
      <c r="I6" s="499"/>
      <c r="J6" s="499"/>
      <c r="K6" s="499"/>
      <c r="L6" s="499"/>
      <c r="M6" s="499"/>
      <c r="N6" s="499"/>
      <c r="O6" s="499"/>
      <c r="P6" s="499"/>
      <c r="Q6" s="499"/>
      <c r="R6" s="499"/>
    </row>
    <row r="7" spans="1:18" ht="15" customHeight="1" x14ac:dyDescent="0.2">
      <c r="B7" s="500" t="s">
        <v>985</v>
      </c>
      <c r="D7" s="799" t="str">
        <f>'KEY INPUTS'!B2</f>
        <v>Weymouth Township FD No. 1</v>
      </c>
      <c r="E7" s="799"/>
      <c r="F7" s="799"/>
      <c r="G7" s="799"/>
      <c r="H7" s="799"/>
      <c r="I7" s="799"/>
      <c r="J7" s="799"/>
      <c r="K7" s="501"/>
      <c r="L7" s="500" t="s">
        <v>986</v>
      </c>
      <c r="N7" s="800" t="str">
        <f>"December 31, "&amp;'KEY INPUTS'!B1-2&amp;""</f>
        <v>December 31, 2023</v>
      </c>
      <c r="O7" s="800"/>
      <c r="P7" s="800"/>
      <c r="Q7" s="800"/>
    </row>
    <row r="9" spans="1:18" x14ac:dyDescent="0.2">
      <c r="B9" s="502"/>
      <c r="C9" s="498" t="s">
        <v>987</v>
      </c>
      <c r="F9" s="501"/>
      <c r="G9" s="501"/>
      <c r="H9" s="499"/>
      <c r="I9" s="501"/>
      <c r="J9" s="501"/>
      <c r="K9" s="501"/>
      <c r="L9" s="501"/>
      <c r="N9" s="501"/>
    </row>
    <row r="10" spans="1:18" x14ac:dyDescent="0.2">
      <c r="B10" s="498" t="s">
        <v>988</v>
      </c>
      <c r="C10" s="502"/>
    </row>
    <row r="12" spans="1:18" x14ac:dyDescent="0.2">
      <c r="A12" s="503"/>
      <c r="B12" s="504"/>
      <c r="C12" s="505"/>
      <c r="D12" s="505"/>
      <c r="E12" s="505"/>
      <c r="F12" s="505"/>
      <c r="G12" s="505"/>
      <c r="H12" s="505"/>
      <c r="I12" s="505"/>
      <c r="J12" s="505"/>
      <c r="K12" s="505"/>
      <c r="L12" s="505"/>
      <c r="M12" s="505"/>
      <c r="N12" s="505"/>
      <c r="O12" s="505"/>
      <c r="P12" s="505"/>
      <c r="Q12" s="506"/>
    </row>
    <row r="13" spans="1:18" x14ac:dyDescent="0.2">
      <c r="B13" s="507"/>
      <c r="C13" s="508"/>
      <c r="D13" s="508"/>
      <c r="E13" s="508"/>
      <c r="F13" s="508"/>
      <c r="G13" s="508"/>
      <c r="H13" s="508"/>
      <c r="I13" s="508"/>
      <c r="J13" s="508"/>
      <c r="K13" s="508"/>
      <c r="L13" s="508"/>
      <c r="M13" s="508"/>
      <c r="N13" s="508"/>
      <c r="O13" s="508"/>
      <c r="P13" s="508"/>
      <c r="Q13" s="509"/>
    </row>
    <row r="14" spans="1:18" x14ac:dyDescent="0.2">
      <c r="B14" s="507"/>
      <c r="C14" s="508"/>
      <c r="D14" s="508"/>
      <c r="E14" s="508"/>
      <c r="F14" s="508"/>
      <c r="G14" s="508"/>
      <c r="H14" s="508"/>
      <c r="I14" s="508"/>
      <c r="J14" s="508"/>
      <c r="K14" s="508"/>
      <c r="L14" s="508"/>
      <c r="M14" s="508"/>
      <c r="N14" s="508"/>
      <c r="O14" s="508"/>
      <c r="P14" s="508"/>
      <c r="Q14" s="509"/>
    </row>
    <row r="15" spans="1:18" x14ac:dyDescent="0.2">
      <c r="B15" s="507"/>
      <c r="C15" s="508"/>
      <c r="D15" s="508"/>
      <c r="E15" s="508"/>
      <c r="F15" s="508"/>
      <c r="G15" s="508"/>
      <c r="H15" s="508"/>
      <c r="I15" s="508"/>
      <c r="J15" s="508"/>
      <c r="K15" s="508"/>
      <c r="L15" s="508"/>
      <c r="M15" s="508"/>
      <c r="N15" s="508"/>
      <c r="O15" s="508"/>
      <c r="P15" s="508"/>
      <c r="Q15" s="509"/>
    </row>
    <row r="16" spans="1:18" x14ac:dyDescent="0.2">
      <c r="B16" s="507"/>
      <c r="C16" s="508"/>
      <c r="D16" s="508"/>
      <c r="E16" s="508"/>
      <c r="F16" s="508"/>
      <c r="G16" s="508"/>
      <c r="H16" s="508"/>
      <c r="I16" s="508"/>
      <c r="J16" s="508"/>
      <c r="K16" s="508"/>
      <c r="L16" s="508"/>
      <c r="M16" s="508"/>
      <c r="N16" s="508"/>
      <c r="O16" s="508"/>
      <c r="P16" s="508"/>
      <c r="Q16" s="509"/>
    </row>
    <row r="17" spans="1:17" x14ac:dyDescent="0.2">
      <c r="B17" s="507"/>
      <c r="C17" s="508"/>
      <c r="D17" s="508"/>
      <c r="E17" s="508"/>
      <c r="F17" s="508"/>
      <c r="G17" s="508"/>
      <c r="H17" s="508"/>
      <c r="I17" s="508"/>
      <c r="J17" s="508"/>
      <c r="K17" s="508"/>
      <c r="L17" s="508"/>
      <c r="M17" s="508"/>
      <c r="N17" s="508"/>
      <c r="O17" s="508"/>
      <c r="P17" s="508"/>
      <c r="Q17" s="509"/>
    </row>
    <row r="18" spans="1:17" x14ac:dyDescent="0.2">
      <c r="A18" s="503"/>
      <c r="B18" s="507"/>
      <c r="C18" s="508"/>
      <c r="D18" s="508"/>
      <c r="E18" s="508"/>
      <c r="F18" s="508"/>
      <c r="G18" s="508"/>
      <c r="H18" s="508"/>
      <c r="I18" s="508"/>
      <c r="J18" s="508"/>
      <c r="K18" s="508"/>
      <c r="L18" s="508"/>
      <c r="M18" s="508"/>
      <c r="N18" s="508"/>
      <c r="O18" s="508"/>
      <c r="P18" s="508"/>
      <c r="Q18" s="509"/>
    </row>
    <row r="19" spans="1:17" x14ac:dyDescent="0.2">
      <c r="B19" s="507"/>
      <c r="C19" s="508"/>
      <c r="D19" s="508"/>
      <c r="E19" s="508"/>
      <c r="F19" s="508"/>
      <c r="G19" s="508"/>
      <c r="H19" s="508"/>
      <c r="I19" s="508"/>
      <c r="J19" s="508"/>
      <c r="K19" s="508"/>
      <c r="L19" s="508"/>
      <c r="M19" s="508"/>
      <c r="N19" s="508"/>
      <c r="O19" s="508"/>
      <c r="P19" s="508"/>
      <c r="Q19" s="509"/>
    </row>
    <row r="20" spans="1:17" x14ac:dyDescent="0.2">
      <c r="B20" s="507"/>
      <c r="C20" s="508"/>
      <c r="D20" s="508"/>
      <c r="E20" s="508"/>
      <c r="F20" s="508"/>
      <c r="G20" s="508"/>
      <c r="H20" s="508"/>
      <c r="I20" s="508"/>
      <c r="J20" s="508"/>
      <c r="K20" s="508"/>
      <c r="L20" s="508"/>
      <c r="M20" s="508"/>
      <c r="N20" s="508"/>
      <c r="O20" s="508"/>
      <c r="P20" s="508"/>
      <c r="Q20" s="509"/>
    </row>
    <row r="21" spans="1:17" x14ac:dyDescent="0.2">
      <c r="B21" s="507"/>
      <c r="C21" s="508"/>
      <c r="D21" s="508"/>
      <c r="E21" s="508"/>
      <c r="F21" s="508"/>
      <c r="G21" s="508"/>
      <c r="H21" s="508"/>
      <c r="I21" s="508"/>
      <c r="J21" s="508"/>
      <c r="K21" s="508"/>
      <c r="L21" s="508"/>
      <c r="M21" s="508"/>
      <c r="N21" s="508"/>
      <c r="O21" s="508"/>
      <c r="P21" s="508"/>
      <c r="Q21" s="509"/>
    </row>
    <row r="22" spans="1:17" x14ac:dyDescent="0.2">
      <c r="B22" s="507"/>
      <c r="C22" s="508"/>
      <c r="D22" s="508"/>
      <c r="E22" s="508"/>
      <c r="F22" s="508"/>
      <c r="G22" s="508"/>
      <c r="H22" s="508"/>
      <c r="I22" s="508"/>
      <c r="J22" s="508"/>
      <c r="K22" s="508"/>
      <c r="L22" s="508"/>
      <c r="M22" s="508"/>
      <c r="N22" s="508"/>
      <c r="O22" s="508"/>
      <c r="P22" s="508"/>
      <c r="Q22" s="509"/>
    </row>
    <row r="23" spans="1:17" x14ac:dyDescent="0.2">
      <c r="B23" s="507"/>
      <c r="C23" s="508"/>
      <c r="D23" s="508"/>
      <c r="E23" s="508"/>
      <c r="F23" s="508"/>
      <c r="G23" s="508"/>
      <c r="H23" s="508"/>
      <c r="I23" s="508"/>
      <c r="J23" s="508"/>
      <c r="K23" s="508"/>
      <c r="L23" s="508"/>
      <c r="M23" s="508"/>
      <c r="N23" s="508"/>
      <c r="O23" s="508"/>
      <c r="P23" s="508"/>
      <c r="Q23" s="509"/>
    </row>
    <row r="24" spans="1:17" x14ac:dyDescent="0.2">
      <c r="A24" s="503"/>
      <c r="B24" s="507"/>
      <c r="C24" s="508"/>
      <c r="D24" s="508"/>
      <c r="E24" s="508"/>
      <c r="F24" s="508"/>
      <c r="G24" s="508"/>
      <c r="H24" s="508"/>
      <c r="I24" s="508"/>
      <c r="J24" s="508"/>
      <c r="K24" s="508"/>
      <c r="L24" s="508"/>
      <c r="M24" s="508"/>
      <c r="N24" s="508"/>
      <c r="O24" s="508"/>
      <c r="P24" s="508"/>
      <c r="Q24" s="509"/>
    </row>
    <row r="25" spans="1:17" x14ac:dyDescent="0.2">
      <c r="B25" s="507"/>
      <c r="C25" s="508"/>
      <c r="D25" s="508"/>
      <c r="E25" s="508"/>
      <c r="F25" s="508"/>
      <c r="G25" s="508"/>
      <c r="H25" s="508"/>
      <c r="I25" s="508"/>
      <c r="J25" s="508"/>
      <c r="K25" s="508"/>
      <c r="L25" s="508"/>
      <c r="M25" s="508"/>
      <c r="N25" s="508"/>
      <c r="O25" s="508"/>
      <c r="P25" s="508"/>
      <c r="Q25" s="509"/>
    </row>
    <row r="26" spans="1:17" x14ac:dyDescent="0.2">
      <c r="B26" s="507"/>
      <c r="C26" s="508"/>
      <c r="D26" s="508"/>
      <c r="E26" s="508"/>
      <c r="F26" s="508"/>
      <c r="G26" s="508"/>
      <c r="H26" s="508"/>
      <c r="I26" s="508"/>
      <c r="J26" s="508"/>
      <c r="K26" s="508"/>
      <c r="L26" s="508"/>
      <c r="M26" s="508"/>
      <c r="N26" s="508"/>
      <c r="O26" s="508"/>
      <c r="P26" s="508"/>
      <c r="Q26" s="509"/>
    </row>
    <row r="27" spans="1:17" x14ac:dyDescent="0.2">
      <c r="B27" s="507"/>
      <c r="C27" s="508"/>
      <c r="D27" s="508"/>
      <c r="E27" s="508"/>
      <c r="F27" s="508"/>
      <c r="G27" s="508"/>
      <c r="H27" s="508"/>
      <c r="I27" s="508"/>
      <c r="J27" s="508"/>
      <c r="K27" s="508"/>
      <c r="L27" s="508"/>
      <c r="M27" s="508"/>
      <c r="N27" s="508"/>
      <c r="O27" s="508"/>
      <c r="P27" s="508"/>
      <c r="Q27" s="509"/>
    </row>
    <row r="28" spans="1:17" x14ac:dyDescent="0.2">
      <c r="B28" s="507"/>
      <c r="C28" s="508"/>
      <c r="D28" s="508"/>
      <c r="E28" s="508"/>
      <c r="F28" s="508"/>
      <c r="G28" s="508"/>
      <c r="H28" s="508"/>
      <c r="I28" s="508"/>
      <c r="J28" s="508"/>
      <c r="K28" s="508"/>
      <c r="L28" s="508"/>
      <c r="M28" s="508"/>
      <c r="N28" s="508"/>
      <c r="O28" s="508"/>
      <c r="P28" s="508"/>
      <c r="Q28" s="509"/>
    </row>
    <row r="29" spans="1:17" x14ac:dyDescent="0.2">
      <c r="B29" s="507"/>
      <c r="C29" s="508"/>
      <c r="D29" s="508"/>
      <c r="E29" s="508"/>
      <c r="F29" s="508"/>
      <c r="G29" s="508"/>
      <c r="H29" s="508"/>
      <c r="I29" s="508"/>
      <c r="J29" s="508"/>
      <c r="K29" s="508"/>
      <c r="L29" s="508"/>
      <c r="M29" s="508"/>
      <c r="N29" s="508"/>
      <c r="O29" s="508"/>
      <c r="P29" s="508"/>
      <c r="Q29" s="509"/>
    </row>
    <row r="30" spans="1:17" x14ac:dyDescent="0.2">
      <c r="A30" s="503"/>
      <c r="B30" s="507"/>
      <c r="C30" s="508"/>
      <c r="D30" s="508"/>
      <c r="E30" s="508"/>
      <c r="F30" s="508"/>
      <c r="G30" s="508"/>
      <c r="H30" s="508"/>
      <c r="I30" s="508"/>
      <c r="J30" s="508"/>
      <c r="K30" s="508"/>
      <c r="L30" s="508"/>
      <c r="M30" s="508"/>
      <c r="N30" s="508"/>
      <c r="O30" s="508" t="s">
        <v>213</v>
      </c>
      <c r="P30" s="508"/>
      <c r="Q30" s="509"/>
    </row>
    <row r="31" spans="1:17" x14ac:dyDescent="0.2">
      <c r="B31" s="507"/>
      <c r="C31" s="508"/>
      <c r="D31" s="508"/>
      <c r="E31" s="508"/>
      <c r="F31" s="508"/>
      <c r="G31" s="508"/>
      <c r="H31" s="508"/>
      <c r="I31" s="508"/>
      <c r="J31" s="508"/>
      <c r="K31" s="508"/>
      <c r="L31" s="508"/>
      <c r="M31" s="508"/>
      <c r="N31" s="508"/>
      <c r="O31" s="508"/>
      <c r="P31" s="508"/>
      <c r="Q31" s="509"/>
    </row>
    <row r="32" spans="1:17" x14ac:dyDescent="0.2">
      <c r="B32" s="510"/>
      <c r="C32" s="511"/>
      <c r="D32" s="511"/>
      <c r="E32" s="511"/>
      <c r="F32" s="511"/>
      <c r="G32" s="511"/>
      <c r="H32" s="511"/>
      <c r="I32" s="511"/>
      <c r="J32" s="511"/>
      <c r="K32" s="511"/>
      <c r="L32" s="511"/>
      <c r="M32" s="511"/>
      <c r="N32" s="511"/>
      <c r="O32" s="511"/>
      <c r="P32" s="511"/>
      <c r="Q32" s="512"/>
    </row>
    <row r="33" spans="2:18" x14ac:dyDescent="0.2">
      <c r="C33" s="498" t="s">
        <v>989</v>
      </c>
    </row>
    <row r="34" spans="2:18" x14ac:dyDescent="0.2">
      <c r="B34" s="498" t="s">
        <v>990</v>
      </c>
    </row>
    <row r="35" spans="2:18" x14ac:dyDescent="0.2">
      <c r="C35" s="498" t="s">
        <v>991</v>
      </c>
      <c r="M35" s="513"/>
      <c r="N35" s="498" t="s">
        <v>992</v>
      </c>
    </row>
    <row r="37" spans="2:18" x14ac:dyDescent="0.2">
      <c r="D37" s="511"/>
      <c r="E37" s="530">
        <v>45615</v>
      </c>
      <c r="F37" s="511"/>
      <c r="K37" s="801" t="s">
        <v>1029</v>
      </c>
      <c r="L37" s="801"/>
      <c r="M37" s="801"/>
      <c r="N37" s="801"/>
      <c r="O37" s="801"/>
    </row>
    <row r="38" spans="2:18" ht="15" customHeight="1" x14ac:dyDescent="0.2">
      <c r="D38" s="802" t="s">
        <v>993</v>
      </c>
      <c r="E38" s="802"/>
      <c r="F38" s="802"/>
      <c r="K38" s="803" t="s">
        <v>994</v>
      </c>
      <c r="L38" s="803"/>
      <c r="M38" s="803"/>
      <c r="N38" s="803"/>
      <c r="O38" s="803"/>
    </row>
    <row r="40" spans="2:18" ht="15.75" x14ac:dyDescent="0.25">
      <c r="B40" s="798" t="s">
        <v>995</v>
      </c>
      <c r="C40" s="798"/>
      <c r="D40" s="798"/>
      <c r="E40" s="798"/>
      <c r="F40" s="798"/>
      <c r="G40" s="798"/>
      <c r="H40" s="798"/>
      <c r="I40" s="798"/>
      <c r="J40" s="798"/>
      <c r="K40" s="798"/>
      <c r="L40" s="798"/>
      <c r="M40" s="798"/>
      <c r="N40" s="798"/>
      <c r="O40" s="798"/>
      <c r="P40" s="798"/>
      <c r="Q40" s="798"/>
      <c r="R40" s="514"/>
    </row>
  </sheetData>
  <sheetProtection algorithmName="SHA-512" hashValue="L/Kb2KsLKdphUR/YsTbE91vCEgSqlWDRNLr1r+Wit7Ap94L/JXqkM0t9tkjUfho1cJTT8Fp+ZHN82FeOsM2yGA==" saltValue="MGfORU3rjl33C4uEGUSTKg==" spinCount="100000" sheet="1" objects="1" scenarios="1"/>
  <mergeCells count="8">
    <mergeCell ref="B40:Q40"/>
    <mergeCell ref="B3:Q3"/>
    <mergeCell ref="B4:Q4"/>
    <mergeCell ref="D7:J7"/>
    <mergeCell ref="N7:Q7"/>
    <mergeCell ref="K37:O37"/>
    <mergeCell ref="D38:F38"/>
    <mergeCell ref="K38:O38"/>
  </mergeCells>
  <pageMargins left="0.25" right="0.3" top="0.25" bottom="0.75" header="0.25" footer="0.25"/>
  <pageSetup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12</xdr:col>
                    <xdr:colOff>28575</xdr:colOff>
                    <xdr:row>33</xdr:row>
                    <xdr:rowOff>123825</xdr:rowOff>
                  </from>
                  <to>
                    <xdr:col>13</xdr:col>
                    <xdr:colOff>228600</xdr:colOff>
                    <xdr:row>35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5E02-2B34-47A1-AE74-017E54B56035}">
  <sheetPr codeName="Sheet4">
    <tabColor rgb="FF00B0F0"/>
  </sheetPr>
  <dimension ref="A1:I19"/>
  <sheetViews>
    <sheetView showGridLines="0" showZeros="0" view="pageLayout" topLeftCell="A4" zoomScaleNormal="100" workbookViewId="0">
      <selection activeCell="F5" sqref="F5"/>
    </sheetView>
  </sheetViews>
  <sheetFormatPr defaultColWidth="9.140625" defaultRowHeight="12.75" x14ac:dyDescent="0.25"/>
  <cols>
    <col min="1" max="1" width="65.7109375" style="71" customWidth="1"/>
    <col min="2" max="2" width="23" style="71" customWidth="1"/>
    <col min="3" max="3" width="2.140625" style="71" customWidth="1"/>
    <col min="4" max="4" width="3.28515625" style="71" customWidth="1"/>
    <col min="5" max="16384" width="9.140625" style="71"/>
  </cols>
  <sheetData>
    <row r="1" spans="1:9" ht="68.099999999999994" customHeight="1" x14ac:dyDescent="0.25">
      <c r="A1" s="587">
        <f>'KEY INPUTS'!B1</f>
        <v>2025</v>
      </c>
      <c r="B1" s="587"/>
      <c r="C1" s="191"/>
      <c r="D1" s="191"/>
      <c r="E1" s="191"/>
      <c r="F1" s="191"/>
      <c r="G1" s="191"/>
      <c r="H1" s="191"/>
      <c r="I1" s="191"/>
    </row>
    <row r="2" spans="1:9" ht="23.25" x14ac:dyDescent="0.25">
      <c r="A2" s="588" t="str">
        <f>'KEY INPUTS'!B2</f>
        <v>Weymouth Township FD No. 1</v>
      </c>
      <c r="B2" s="588"/>
      <c r="C2" s="191"/>
      <c r="D2" s="191"/>
      <c r="E2" s="191"/>
      <c r="F2" s="191"/>
      <c r="G2" s="191"/>
      <c r="H2" s="191"/>
      <c r="I2" s="191"/>
    </row>
    <row r="3" spans="1:9" ht="68.099999999999994" customHeight="1" x14ac:dyDescent="0.25">
      <c r="A3" s="589" t="s">
        <v>322</v>
      </c>
      <c r="B3" s="589"/>
      <c r="C3" s="191"/>
      <c r="D3" s="191"/>
      <c r="E3" s="191"/>
      <c r="F3" s="191"/>
      <c r="G3" s="191"/>
      <c r="H3" s="191"/>
      <c r="I3" s="191"/>
    </row>
    <row r="4" spans="1:9" ht="23.25" x14ac:dyDescent="0.25">
      <c r="A4" s="588" t="str">
        <f>'KEY INPUTS'!B4</f>
        <v>www.weymouthfirecommission.org</v>
      </c>
      <c r="B4" s="588"/>
      <c r="C4" s="191"/>
      <c r="D4" s="191"/>
      <c r="E4" s="191"/>
      <c r="F4" s="191"/>
      <c r="G4" s="191"/>
      <c r="H4" s="191"/>
      <c r="I4" s="191"/>
    </row>
    <row r="5" spans="1:9" ht="284.10000000000002" customHeight="1" x14ac:dyDescent="0.25">
      <c r="A5" s="590"/>
      <c r="B5" s="590"/>
      <c r="C5" s="191"/>
      <c r="D5" s="191"/>
      <c r="E5" s="191"/>
      <c r="F5" s="191"/>
      <c r="G5" s="191"/>
      <c r="H5" s="191"/>
      <c r="I5" s="191"/>
    </row>
    <row r="6" spans="1:9" ht="33" customHeight="1" x14ac:dyDescent="0.25">
      <c r="A6" s="586" t="s">
        <v>321</v>
      </c>
      <c r="B6" s="586"/>
      <c r="C6" s="191"/>
      <c r="D6" s="191"/>
      <c r="E6" s="191"/>
      <c r="F6" s="191"/>
      <c r="G6" s="191"/>
      <c r="H6" s="191"/>
      <c r="I6" s="191"/>
    </row>
    <row r="7" spans="1:9" x14ac:dyDescent="0.25">
      <c r="C7" s="191"/>
      <c r="D7" s="191"/>
      <c r="E7" s="191"/>
      <c r="F7" s="191"/>
      <c r="G7" s="191"/>
      <c r="H7" s="191"/>
      <c r="I7" s="191"/>
    </row>
    <row r="8" spans="1:9" x14ac:dyDescent="0.25">
      <c r="C8" s="191"/>
      <c r="D8" s="191"/>
      <c r="E8" s="191"/>
      <c r="F8" s="191"/>
      <c r="G8" s="191"/>
      <c r="H8" s="191"/>
      <c r="I8" s="191"/>
    </row>
    <row r="9" spans="1:9" x14ac:dyDescent="0.25">
      <c r="C9" s="191"/>
      <c r="D9" s="191"/>
      <c r="E9" s="191"/>
      <c r="F9" s="191"/>
      <c r="G9" s="191"/>
      <c r="H9" s="191"/>
      <c r="I9" s="191"/>
    </row>
    <row r="10" spans="1:9" x14ac:dyDescent="0.25">
      <c r="C10" s="191"/>
      <c r="D10" s="191"/>
      <c r="E10" s="191"/>
      <c r="F10" s="191"/>
      <c r="G10" s="191"/>
      <c r="H10" s="191"/>
      <c r="I10" s="191"/>
    </row>
    <row r="11" spans="1:9" x14ac:dyDescent="0.25">
      <c r="C11" s="191"/>
      <c r="D11" s="191"/>
      <c r="E11" s="191"/>
      <c r="F11" s="191"/>
      <c r="G11" s="191"/>
      <c r="H11" s="191"/>
      <c r="I11" s="191"/>
    </row>
    <row r="12" spans="1:9" x14ac:dyDescent="0.25">
      <c r="C12" s="191"/>
      <c r="D12" s="191"/>
      <c r="E12" s="191"/>
      <c r="F12" s="191"/>
      <c r="G12" s="191"/>
      <c r="H12" s="191"/>
      <c r="I12" s="191"/>
    </row>
    <row r="13" spans="1:9" x14ac:dyDescent="0.25">
      <c r="C13" s="191"/>
      <c r="D13" s="191"/>
      <c r="E13" s="191"/>
      <c r="F13" s="191"/>
      <c r="G13" s="191"/>
      <c r="H13" s="191"/>
      <c r="I13" s="191"/>
    </row>
    <row r="14" spans="1:9" x14ac:dyDescent="0.25">
      <c r="C14" s="191"/>
      <c r="D14" s="191"/>
      <c r="E14" s="191"/>
      <c r="F14" s="191"/>
      <c r="G14" s="191"/>
      <c r="H14" s="191"/>
      <c r="I14" s="191"/>
    </row>
    <row r="15" spans="1:9" x14ac:dyDescent="0.25">
      <c r="C15" s="191"/>
      <c r="D15" s="191"/>
      <c r="E15" s="191"/>
      <c r="F15" s="191"/>
      <c r="G15" s="191"/>
      <c r="H15" s="191"/>
      <c r="I15" s="191"/>
    </row>
    <row r="16" spans="1:9" x14ac:dyDescent="0.25">
      <c r="C16" s="191"/>
      <c r="D16" s="191"/>
      <c r="E16" s="191"/>
      <c r="F16" s="191"/>
      <c r="G16" s="191"/>
      <c r="H16" s="191"/>
      <c r="I16" s="191"/>
    </row>
    <row r="17" spans="3:9" x14ac:dyDescent="0.25">
      <c r="C17" s="191"/>
      <c r="D17" s="191"/>
      <c r="E17" s="191"/>
      <c r="F17" s="191"/>
      <c r="G17" s="191"/>
      <c r="H17" s="191"/>
      <c r="I17" s="191"/>
    </row>
    <row r="18" spans="3:9" x14ac:dyDescent="0.25">
      <c r="C18" s="191"/>
      <c r="D18" s="191"/>
      <c r="E18" s="191"/>
      <c r="F18" s="191"/>
      <c r="G18" s="191"/>
      <c r="H18" s="191"/>
      <c r="I18" s="191"/>
    </row>
    <row r="19" spans="3:9" x14ac:dyDescent="0.25">
      <c r="C19" s="191"/>
      <c r="D19" s="191"/>
      <c r="E19" s="191"/>
      <c r="F19" s="191"/>
      <c r="G19" s="191"/>
      <c r="H19" s="191"/>
      <c r="I19" s="191"/>
    </row>
  </sheetData>
  <sheetProtection algorithmName="SHA-512" hashValue="kvvvJcTvZDmCpgIuusBRoQDggMXGoD5oebv40ElGBZate4qPDQ1zosYSxJP1z/vACJgqPuyygFWN3me9oMkkVA==" saltValue="ZcHgpLeN8ZLV6X4qGpbgnA==" spinCount="100000" sheet="1" objects="1" scenarios="1"/>
  <mergeCells count="6">
    <mergeCell ref="A6:B6"/>
    <mergeCell ref="A1:B1"/>
    <mergeCell ref="A2:B2"/>
    <mergeCell ref="A3:B3"/>
    <mergeCell ref="A4:B4"/>
    <mergeCell ref="A5:B5"/>
  </mergeCells>
  <printOptions horizontalCentered="1"/>
  <pageMargins left="0.69791666666666663"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9466-A2F0-4F8F-BC87-3C7A29D2D070}">
  <sheetPr codeName="Sheet5">
    <tabColor rgb="FF00B0F0"/>
  </sheetPr>
  <dimension ref="A1:F14"/>
  <sheetViews>
    <sheetView view="pageLayout" topLeftCell="A14" zoomScaleNormal="100" workbookViewId="0">
      <selection activeCell="B31" sqref="B31"/>
    </sheetView>
  </sheetViews>
  <sheetFormatPr defaultColWidth="9.140625" defaultRowHeight="12.75" x14ac:dyDescent="0.25"/>
  <cols>
    <col min="1" max="1" width="31.42578125" style="71" customWidth="1"/>
    <col min="2" max="2" width="19.28515625" style="71" customWidth="1"/>
    <col min="3" max="16384" width="9.140625" style="71"/>
  </cols>
  <sheetData>
    <row r="1" spans="1:6" ht="24.95" customHeight="1" x14ac:dyDescent="0.25"/>
    <row r="2" spans="1:6" ht="24.95" customHeight="1" x14ac:dyDescent="0.25"/>
    <row r="13" spans="1:6" ht="22.5" x14ac:dyDescent="0.25">
      <c r="A13" s="591" t="str">
        <f>""&amp;'KEY INPUTS'!B1&amp;" FIRE DISTRICT BUDGET"</f>
        <v>2025 FIRE DISTRICT BUDGET</v>
      </c>
      <c r="B13" s="591"/>
      <c r="C13" s="591"/>
      <c r="D13" s="591"/>
      <c r="E13" s="591"/>
      <c r="F13" s="591"/>
    </row>
    <row r="14" spans="1:6" ht="22.5" x14ac:dyDescent="0.25">
      <c r="A14" s="591" t="s">
        <v>323</v>
      </c>
      <c r="B14" s="591"/>
      <c r="C14" s="591"/>
      <c r="D14" s="591"/>
      <c r="E14" s="591"/>
      <c r="F14" s="591"/>
    </row>
  </sheetData>
  <sheetProtection password="CAF9" sheet="1" objects="1" scenarios="1"/>
  <mergeCells count="2">
    <mergeCell ref="A13:F13"/>
    <mergeCell ref="A14:F14"/>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80149-D04C-4219-A1E7-B9589FDF8D74}">
  <sheetPr codeName="Sheet6">
    <tabColor rgb="FF00B0F0"/>
  </sheetPr>
  <dimension ref="A1:I39"/>
  <sheetViews>
    <sheetView view="pageLayout" zoomScaleNormal="100" workbookViewId="0">
      <selection activeCell="A30" sqref="A30:I30"/>
    </sheetView>
  </sheetViews>
  <sheetFormatPr defaultColWidth="9.140625" defaultRowHeight="12.75" x14ac:dyDescent="0.25"/>
  <cols>
    <col min="1" max="1" width="7" style="71" customWidth="1"/>
    <col min="2" max="2" width="0" style="71" hidden="1" customWidth="1"/>
    <col min="3" max="3" width="35.5703125" style="71" customWidth="1"/>
    <col min="4" max="4" width="9.28515625" style="71" customWidth="1"/>
    <col min="5" max="5" width="1.7109375" style="71" customWidth="1"/>
    <col min="6" max="6" width="2.140625" style="71" customWidth="1"/>
    <col min="7" max="7" width="21.140625" style="71" customWidth="1"/>
    <col min="8" max="8" width="6.5703125" style="71" customWidth="1"/>
    <col min="9" max="9" width="14.140625" style="71" customWidth="1"/>
    <col min="10" max="16384" width="9.140625" style="71"/>
  </cols>
  <sheetData>
    <row r="1" spans="1:9" ht="24.95" customHeight="1" x14ac:dyDescent="0.25">
      <c r="A1" s="600">
        <f>'KEY INPUTS'!B1</f>
        <v>2025</v>
      </c>
      <c r="B1" s="600"/>
      <c r="C1" s="600"/>
      <c r="D1" s="600"/>
      <c r="E1" s="600"/>
      <c r="F1" s="600"/>
      <c r="G1" s="600"/>
      <c r="H1" s="600"/>
      <c r="I1" s="600"/>
    </row>
    <row r="2" spans="1:9" ht="12.75" customHeight="1" x14ac:dyDescent="0.25">
      <c r="A2" s="600"/>
      <c r="B2" s="600"/>
      <c r="C2" s="600"/>
      <c r="D2" s="600"/>
      <c r="E2" s="600"/>
      <c r="F2" s="600"/>
      <c r="G2" s="600"/>
      <c r="H2" s="600"/>
      <c r="I2" s="600"/>
    </row>
    <row r="3" spans="1:9" ht="20.100000000000001" customHeight="1" x14ac:dyDescent="0.25">
      <c r="A3" s="601" t="str">
        <f>'KEY INPUTS'!B2</f>
        <v>Weymouth Township FD No. 1</v>
      </c>
      <c r="B3" s="601"/>
      <c r="C3" s="601"/>
      <c r="D3" s="601"/>
      <c r="E3" s="601"/>
      <c r="F3" s="601"/>
      <c r="G3" s="601"/>
      <c r="H3" s="601"/>
      <c r="I3" s="601"/>
    </row>
    <row r="4" spans="1:9" ht="18.75" x14ac:dyDescent="0.25">
      <c r="A4" s="83"/>
      <c r="B4" s="83"/>
      <c r="C4" s="83"/>
      <c r="D4" s="83"/>
      <c r="E4" s="83"/>
      <c r="F4" s="83"/>
      <c r="G4" s="83"/>
      <c r="H4" s="83"/>
      <c r="I4" s="83"/>
    </row>
    <row r="5" spans="1:9" ht="24.95" customHeight="1" x14ac:dyDescent="0.25">
      <c r="A5" s="591" t="s">
        <v>338</v>
      </c>
      <c r="B5" s="591"/>
      <c r="C5" s="591"/>
      <c r="D5" s="591"/>
      <c r="E5" s="591"/>
      <c r="F5" s="591"/>
      <c r="G5" s="591"/>
      <c r="H5" s="591"/>
      <c r="I5" s="591"/>
    </row>
    <row r="6" spans="1:9" ht="10.7" customHeight="1" x14ac:dyDescent="0.25">
      <c r="A6" s="84"/>
      <c r="B6" s="84"/>
      <c r="C6" s="84"/>
      <c r="D6" s="84"/>
      <c r="E6" s="84"/>
      <c r="F6" s="84"/>
      <c r="G6" s="84"/>
      <c r="H6" s="84"/>
      <c r="I6" s="84"/>
    </row>
    <row r="7" spans="1:9" ht="17.100000000000001" customHeight="1" x14ac:dyDescent="0.25">
      <c r="A7" s="602" t="str">
        <f>"FISCAL YEAR: January 1, "&amp;A1&amp;" to December 31, "&amp;A1&amp;""</f>
        <v>FISCAL YEAR: January 1, 2025 to December 31, 2025</v>
      </c>
      <c r="B7" s="602"/>
      <c r="C7" s="602"/>
      <c r="D7" s="602"/>
      <c r="E7" s="602"/>
      <c r="F7" s="602"/>
      <c r="G7" s="602"/>
      <c r="H7" s="602"/>
      <c r="I7" s="602"/>
    </row>
    <row r="8" spans="1:9" ht="10.7" customHeight="1" x14ac:dyDescent="0.25">
      <c r="A8" s="85"/>
      <c r="B8" s="85"/>
      <c r="C8" s="85"/>
      <c r="D8" s="85"/>
      <c r="E8" s="85"/>
      <c r="F8" s="85"/>
      <c r="G8" s="85"/>
      <c r="H8" s="85"/>
      <c r="I8" s="85"/>
    </row>
    <row r="9" spans="1:9" ht="20.100000000000001" customHeight="1" x14ac:dyDescent="0.25">
      <c r="A9" s="603" t="s">
        <v>337</v>
      </c>
      <c r="B9" s="603"/>
      <c r="C9" s="603"/>
      <c r="D9" s="603"/>
      <c r="E9" s="603"/>
      <c r="F9" s="603"/>
      <c r="G9" s="603"/>
      <c r="H9" s="603"/>
      <c r="I9" s="603"/>
    </row>
    <row r="10" spans="1:9" ht="10.7" customHeight="1" x14ac:dyDescent="0.25">
      <c r="A10" s="86"/>
      <c r="B10" s="86"/>
      <c r="C10" s="86"/>
      <c r="D10" s="86"/>
      <c r="E10" s="86"/>
      <c r="F10" s="86"/>
      <c r="G10" s="86"/>
      <c r="H10" s="86"/>
      <c r="I10" s="86"/>
    </row>
    <row r="11" spans="1:9" ht="20.100000000000001" customHeight="1" x14ac:dyDescent="0.25">
      <c r="A11" s="597" t="s">
        <v>336</v>
      </c>
      <c r="B11" s="597"/>
      <c r="C11" s="597"/>
      <c r="D11" s="597"/>
      <c r="E11" s="597"/>
      <c r="F11" s="597"/>
      <c r="G11" s="597"/>
      <c r="H11" s="597"/>
      <c r="I11" s="597"/>
    </row>
    <row r="12" spans="1:9" ht="10.7" customHeight="1" x14ac:dyDescent="0.25">
      <c r="A12" s="597"/>
      <c r="B12" s="597"/>
      <c r="C12" s="597"/>
      <c r="D12" s="597"/>
      <c r="E12" s="597"/>
      <c r="F12" s="597"/>
      <c r="G12" s="597"/>
      <c r="H12" s="597"/>
      <c r="I12" s="597"/>
    </row>
    <row r="13" spans="1:9" ht="20.100000000000001" customHeight="1" x14ac:dyDescent="0.25">
      <c r="A13" s="594" t="s">
        <v>335</v>
      </c>
      <c r="B13" s="595"/>
      <c r="C13" s="595"/>
      <c r="D13" s="595"/>
      <c r="E13" s="595"/>
      <c r="F13" s="595"/>
      <c r="G13" s="595"/>
      <c r="H13" s="595"/>
      <c r="I13" s="595"/>
    </row>
    <row r="14" spans="1:9" ht="20.100000000000001" customHeight="1" x14ac:dyDescent="0.25">
      <c r="A14" s="594" t="s">
        <v>334</v>
      </c>
      <c r="B14" s="595"/>
      <c r="C14" s="595"/>
      <c r="D14" s="595"/>
      <c r="E14" s="595"/>
      <c r="F14" s="595"/>
      <c r="G14" s="595"/>
      <c r="H14" s="595"/>
      <c r="I14" s="595"/>
    </row>
    <row r="15" spans="1:9" ht="20.100000000000001" customHeight="1" x14ac:dyDescent="0.25">
      <c r="A15" s="596" t="s">
        <v>333</v>
      </c>
      <c r="B15" s="595"/>
      <c r="C15" s="595"/>
      <c r="D15" s="595"/>
      <c r="E15" s="595"/>
      <c r="F15" s="595"/>
      <c r="G15" s="595"/>
      <c r="H15" s="595"/>
      <c r="I15" s="595"/>
    </row>
    <row r="16" spans="1:9" ht="15.75" x14ac:dyDescent="0.25">
      <c r="A16" s="599" t="s">
        <v>328</v>
      </c>
      <c r="B16" s="593"/>
      <c r="C16" s="593"/>
      <c r="D16" s="593"/>
      <c r="E16" s="593"/>
      <c r="F16" s="593"/>
      <c r="G16" s="593"/>
      <c r="H16" s="593"/>
      <c r="I16" s="593"/>
    </row>
    <row r="17" spans="1:9" ht="15.75" x14ac:dyDescent="0.25">
      <c r="A17" s="599" t="s">
        <v>327</v>
      </c>
      <c r="B17" s="599"/>
      <c r="C17" s="599"/>
      <c r="D17" s="599"/>
      <c r="E17" s="599"/>
      <c r="F17" s="599"/>
      <c r="G17" s="599"/>
      <c r="H17" s="599"/>
      <c r="I17" s="599"/>
    </row>
    <row r="18" spans="1:9" ht="15.75" x14ac:dyDescent="0.25">
      <c r="A18" s="599" t="s">
        <v>326</v>
      </c>
      <c r="B18" s="599"/>
      <c r="C18" s="599"/>
      <c r="D18" s="599"/>
      <c r="E18" s="599"/>
      <c r="F18" s="599"/>
      <c r="G18" s="599"/>
      <c r="H18" s="599"/>
      <c r="I18" s="599"/>
    </row>
    <row r="19" spans="1:9" ht="17.100000000000001" customHeight="1" x14ac:dyDescent="0.25">
      <c r="A19" s="598"/>
      <c r="B19" s="598"/>
      <c r="C19" s="598"/>
      <c r="D19" s="598"/>
      <c r="E19" s="598"/>
      <c r="F19" s="598"/>
      <c r="G19" s="598"/>
      <c r="H19" s="598"/>
      <c r="I19" s="598"/>
    </row>
    <row r="20" spans="1:9" ht="17.100000000000001" customHeight="1" x14ac:dyDescent="0.25">
      <c r="A20" s="593" t="s">
        <v>325</v>
      </c>
      <c r="B20" s="593"/>
      <c r="C20" s="593"/>
      <c r="D20" s="593"/>
      <c r="E20" s="593"/>
      <c r="F20" s="593"/>
      <c r="G20" s="593"/>
      <c r="H20" s="593"/>
      <c r="I20" s="593"/>
    </row>
    <row r="21" spans="1:9" ht="17.100000000000001" customHeight="1" x14ac:dyDescent="0.25">
      <c r="A21" s="87"/>
      <c r="B21" s="87"/>
      <c r="C21" s="87"/>
      <c r="D21" s="87"/>
      <c r="E21" s="87"/>
      <c r="F21" s="87"/>
      <c r="G21" s="87"/>
      <c r="H21" s="87"/>
      <c r="I21" s="87"/>
    </row>
    <row r="22" spans="1:9" ht="20.100000000000001" customHeight="1" x14ac:dyDescent="0.25">
      <c r="A22" s="597" t="s">
        <v>332</v>
      </c>
      <c r="B22" s="597"/>
      <c r="C22" s="597"/>
      <c r="D22" s="597"/>
      <c r="E22" s="597"/>
      <c r="F22" s="597"/>
      <c r="G22" s="597"/>
      <c r="H22" s="597"/>
      <c r="I22" s="597"/>
    </row>
    <row r="23" spans="1:9" ht="10.7" customHeight="1" x14ac:dyDescent="0.25">
      <c r="A23" s="597"/>
      <c r="B23" s="597"/>
      <c r="C23" s="597"/>
      <c r="D23" s="597"/>
      <c r="E23" s="597"/>
      <c r="F23" s="597"/>
      <c r="G23" s="597"/>
      <c r="H23" s="597"/>
      <c r="I23" s="597"/>
    </row>
    <row r="24" spans="1:9" ht="20.100000000000001" customHeight="1" x14ac:dyDescent="0.25">
      <c r="A24" s="594" t="s">
        <v>331</v>
      </c>
      <c r="B24" s="594"/>
      <c r="C24" s="594"/>
      <c r="D24" s="594"/>
      <c r="E24" s="594"/>
      <c r="F24" s="594"/>
      <c r="G24" s="594"/>
      <c r="H24" s="594"/>
      <c r="I24" s="594"/>
    </row>
    <row r="25" spans="1:9" ht="20.100000000000001" customHeight="1" x14ac:dyDescent="0.25">
      <c r="A25" s="594" t="s">
        <v>330</v>
      </c>
      <c r="B25" s="594"/>
      <c r="C25" s="594"/>
      <c r="D25" s="594"/>
      <c r="E25" s="594"/>
      <c r="F25" s="594"/>
      <c r="G25" s="594"/>
      <c r="H25" s="594"/>
      <c r="I25" s="594"/>
    </row>
    <row r="26" spans="1:9" ht="20.100000000000001" customHeight="1" x14ac:dyDescent="0.25">
      <c r="A26" s="594" t="s">
        <v>329</v>
      </c>
      <c r="B26" s="594"/>
      <c r="C26" s="594"/>
      <c r="D26" s="594"/>
      <c r="E26" s="594"/>
      <c r="F26" s="594"/>
      <c r="G26" s="594"/>
      <c r="H26" s="594"/>
      <c r="I26" s="594"/>
    </row>
    <row r="27" spans="1:9" ht="20.100000000000001" customHeight="1" x14ac:dyDescent="0.25">
      <c r="A27" s="598"/>
      <c r="B27" s="598"/>
      <c r="C27" s="598"/>
      <c r="D27" s="598"/>
      <c r="E27" s="598"/>
      <c r="F27" s="598"/>
      <c r="G27" s="598"/>
      <c r="H27" s="598"/>
      <c r="I27" s="598"/>
    </row>
    <row r="28" spans="1:9" ht="15.75" x14ac:dyDescent="0.25">
      <c r="A28" s="598" t="s">
        <v>328</v>
      </c>
      <c r="B28" s="598"/>
      <c r="C28" s="598"/>
      <c r="D28" s="598"/>
      <c r="E28" s="598"/>
      <c r="F28" s="598"/>
      <c r="G28" s="598"/>
      <c r="H28" s="598"/>
      <c r="I28" s="598"/>
    </row>
    <row r="29" spans="1:9" ht="15.75" x14ac:dyDescent="0.25">
      <c r="A29" s="599" t="s">
        <v>327</v>
      </c>
      <c r="B29" s="599"/>
      <c r="C29" s="599"/>
      <c r="D29" s="599"/>
      <c r="E29" s="599"/>
      <c r="F29" s="599"/>
      <c r="G29" s="599"/>
      <c r="H29" s="599"/>
      <c r="I29" s="599"/>
    </row>
    <row r="30" spans="1:9" ht="15.75" x14ac:dyDescent="0.25">
      <c r="A30" s="599" t="s">
        <v>326</v>
      </c>
      <c r="B30" s="599"/>
      <c r="C30" s="599"/>
      <c r="D30" s="599"/>
      <c r="E30" s="599"/>
      <c r="F30" s="599"/>
      <c r="G30" s="599"/>
      <c r="H30" s="599"/>
      <c r="I30" s="599"/>
    </row>
    <row r="31" spans="1:9" ht="17.100000000000001" customHeight="1" x14ac:dyDescent="0.25">
      <c r="A31" s="598"/>
      <c r="B31" s="598"/>
      <c r="C31" s="598"/>
      <c r="D31" s="598"/>
      <c r="E31" s="598"/>
      <c r="F31" s="598"/>
      <c r="G31" s="598"/>
      <c r="H31" s="598"/>
      <c r="I31" s="598"/>
    </row>
    <row r="32" spans="1:9" ht="17.100000000000001" customHeight="1" x14ac:dyDescent="0.25">
      <c r="A32" s="593" t="s">
        <v>325</v>
      </c>
      <c r="B32" s="593"/>
      <c r="C32" s="593"/>
      <c r="D32" s="593"/>
      <c r="E32" s="593"/>
      <c r="F32" s="593"/>
      <c r="G32" s="593"/>
      <c r="H32" s="593"/>
      <c r="I32" s="593"/>
    </row>
    <row r="33" spans="1:9" ht="14.1" customHeight="1" x14ac:dyDescent="0.25">
      <c r="A33" s="88"/>
    </row>
    <row r="39" spans="1:9" x14ac:dyDescent="0.25">
      <c r="A39" s="592" t="s">
        <v>324</v>
      </c>
      <c r="B39" s="593"/>
      <c r="C39" s="593"/>
      <c r="D39" s="593"/>
      <c r="E39" s="593"/>
      <c r="F39" s="593"/>
      <c r="G39" s="593"/>
      <c r="H39" s="593"/>
      <c r="I39" s="593"/>
    </row>
  </sheetData>
  <sheetProtection algorithmName="SHA-512" hashValue="nAXZ2HM5a8YDhdIzq3J1kCjrRfqGPNS4ToZPm3M4TqajbPZLLUYgQfI0oDaAVoSOlD/7CwZeC70EEoAd4V9TKg==" saltValue="tQKoOWx/zA6TyelNg9tedw==" spinCount="100000" sheet="1" objects="1" scenarios="1"/>
  <mergeCells count="28">
    <mergeCell ref="A26:I26"/>
    <mergeCell ref="A25:I25"/>
    <mergeCell ref="A1:I1"/>
    <mergeCell ref="A2:I2"/>
    <mergeCell ref="A18:I18"/>
    <mergeCell ref="A12:I12"/>
    <mergeCell ref="A13:I13"/>
    <mergeCell ref="A3:I3"/>
    <mergeCell ref="A5:I5"/>
    <mergeCell ref="A7:I7"/>
    <mergeCell ref="A9:I9"/>
    <mergeCell ref="A11:I11"/>
    <mergeCell ref="A39:I39"/>
    <mergeCell ref="A14:I14"/>
    <mergeCell ref="A15:I15"/>
    <mergeCell ref="A20:I20"/>
    <mergeCell ref="A22:I22"/>
    <mergeCell ref="A32:I32"/>
    <mergeCell ref="A24:I24"/>
    <mergeCell ref="A23:I23"/>
    <mergeCell ref="A31:I31"/>
    <mergeCell ref="A30:I30"/>
    <mergeCell ref="A16:I16"/>
    <mergeCell ref="A17:I17"/>
    <mergeCell ref="A19:I19"/>
    <mergeCell ref="A29:I29"/>
    <mergeCell ref="A28:I28"/>
    <mergeCell ref="A27:I27"/>
  </mergeCells>
  <printOptions horizontalCentered="1"/>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73DC-6A5B-4A18-8FB5-20153DFE59AE}">
  <sheetPr codeName="Sheet7">
    <tabColor rgb="FF00B0F0"/>
  </sheetPr>
  <dimension ref="A1:J41"/>
  <sheetViews>
    <sheetView showZeros="0" view="pageLayout" zoomScaleNormal="100" workbookViewId="0">
      <selection activeCell="D19" sqref="D19:F19"/>
    </sheetView>
  </sheetViews>
  <sheetFormatPr defaultColWidth="9.140625" defaultRowHeight="12.75" x14ac:dyDescent="0.25"/>
  <cols>
    <col min="1" max="1" width="20.5703125" style="71" customWidth="1"/>
    <col min="2" max="2" width="2.85546875" style="71" customWidth="1"/>
    <col min="3" max="3" width="24.140625" style="71" customWidth="1"/>
    <col min="4" max="4" width="15.42578125" style="71" customWidth="1"/>
    <col min="5" max="5" width="1.5703125" style="71" customWidth="1"/>
    <col min="6" max="6" width="16" style="71" customWidth="1"/>
    <col min="7" max="7" width="3" style="71" hidden="1" customWidth="1"/>
    <col min="8" max="8" width="1.140625" style="71" customWidth="1"/>
    <col min="9" max="9" width="10.5703125" style="71" customWidth="1"/>
    <col min="10" max="16384" width="9.140625" style="71"/>
  </cols>
  <sheetData>
    <row r="1" spans="1:10" ht="24.95" customHeight="1" x14ac:dyDescent="0.25">
      <c r="A1" s="591" t="str">
        <f>""&amp;'KEY INPUTS'!B1&amp;" PREPARER'S CERTIFICATION"</f>
        <v>2025 PREPARER'S CERTIFICATION</v>
      </c>
      <c r="B1" s="591"/>
      <c r="C1" s="591"/>
      <c r="D1" s="591"/>
      <c r="E1" s="591"/>
      <c r="F1" s="591"/>
      <c r="G1" s="591"/>
      <c r="H1" s="591"/>
      <c r="I1" s="591"/>
      <c r="J1" s="591"/>
    </row>
    <row r="3" spans="1:10" ht="20.100000000000001" customHeight="1" x14ac:dyDescent="0.25">
      <c r="A3" s="601" t="str">
        <f>'KEY INPUTS'!B2</f>
        <v>Weymouth Township FD No. 1</v>
      </c>
      <c r="B3" s="601"/>
      <c r="C3" s="601"/>
      <c r="D3" s="601"/>
      <c r="E3" s="601"/>
      <c r="F3" s="601"/>
      <c r="G3" s="601"/>
      <c r="H3" s="601"/>
      <c r="I3" s="601"/>
      <c r="J3" s="601"/>
    </row>
    <row r="4" spans="1:10" ht="10.7" customHeight="1" x14ac:dyDescent="0.25">
      <c r="A4" s="83"/>
      <c r="B4" s="83"/>
      <c r="C4" s="83"/>
      <c r="D4" s="83"/>
      <c r="E4" s="83"/>
      <c r="F4" s="83"/>
      <c r="G4" s="83"/>
      <c r="H4" s="83"/>
      <c r="I4" s="83"/>
    </row>
    <row r="5" spans="1:10" ht="24.95" customHeight="1" x14ac:dyDescent="0.25">
      <c r="A5" s="591" t="s">
        <v>338</v>
      </c>
      <c r="B5" s="591"/>
      <c r="C5" s="591"/>
      <c r="D5" s="591"/>
      <c r="E5" s="591"/>
      <c r="F5" s="591"/>
      <c r="G5" s="591"/>
      <c r="H5" s="591"/>
      <c r="I5" s="591"/>
      <c r="J5" s="591"/>
    </row>
    <row r="6" spans="1:10" ht="10.7" customHeight="1" x14ac:dyDescent="0.25">
      <c r="A6" s="84"/>
      <c r="B6" s="84"/>
      <c r="C6" s="84"/>
      <c r="D6" s="84"/>
      <c r="E6" s="84"/>
      <c r="F6" s="84"/>
      <c r="G6" s="84"/>
      <c r="H6" s="84"/>
      <c r="I6" s="84"/>
    </row>
    <row r="7" spans="1:10" ht="15.75" customHeight="1" x14ac:dyDescent="0.25">
      <c r="A7" s="616" t="str">
        <f>"FISCAL YEAR: January 1, "&amp;'KEY INPUTS'!B1&amp;" to December 31, "&amp;'KEY INPUTS'!B1&amp;""</f>
        <v>FISCAL YEAR: January 1, 2025 to December 31, 2025</v>
      </c>
      <c r="B7" s="616"/>
      <c r="C7" s="616"/>
      <c r="D7" s="616"/>
      <c r="E7" s="616"/>
      <c r="F7" s="616"/>
      <c r="G7" s="616"/>
      <c r="H7" s="616"/>
      <c r="I7" s="616"/>
      <c r="J7" s="616"/>
    </row>
    <row r="8" spans="1:10" ht="15.75" x14ac:dyDescent="0.25">
      <c r="A8" s="89"/>
      <c r="B8" s="89"/>
      <c r="C8" s="89"/>
      <c r="D8" s="89"/>
      <c r="E8" s="89"/>
      <c r="F8" s="89"/>
      <c r="G8" s="89"/>
      <c r="H8" s="89"/>
      <c r="I8" s="89"/>
    </row>
    <row r="9" spans="1:10" ht="15.75" customHeight="1" x14ac:dyDescent="0.25">
      <c r="A9" s="615" t="s">
        <v>705</v>
      </c>
      <c r="B9" s="615"/>
      <c r="C9" s="615"/>
      <c r="D9" s="615"/>
      <c r="E9" s="615"/>
      <c r="F9" s="615"/>
      <c r="G9" s="615"/>
      <c r="H9" s="615"/>
      <c r="I9" s="615"/>
      <c r="J9" s="615"/>
    </row>
    <row r="10" spans="1:10" ht="15.75" customHeight="1" x14ac:dyDescent="0.25">
      <c r="A10" s="615" t="s">
        <v>352</v>
      </c>
      <c r="B10" s="615"/>
      <c r="C10" s="615"/>
      <c r="D10" s="615"/>
      <c r="E10" s="615"/>
      <c r="F10" s="615"/>
      <c r="G10" s="615"/>
      <c r="H10" s="615"/>
      <c r="I10" s="615"/>
      <c r="J10" s="615"/>
    </row>
    <row r="11" spans="1:10" ht="15.75" customHeight="1" x14ac:dyDescent="0.25">
      <c r="A11" s="615" t="s">
        <v>351</v>
      </c>
      <c r="B11" s="615"/>
      <c r="C11" s="615"/>
      <c r="D11" s="615"/>
      <c r="E11" s="615"/>
      <c r="F11" s="615"/>
      <c r="G11" s="615"/>
      <c r="H11" s="615"/>
      <c r="I11" s="615"/>
      <c r="J11" s="615"/>
    </row>
    <row r="12" spans="1:10" ht="15.75" customHeight="1" x14ac:dyDescent="0.25">
      <c r="A12" s="615" t="s">
        <v>350</v>
      </c>
      <c r="B12" s="615"/>
      <c r="C12" s="615"/>
      <c r="D12" s="615"/>
      <c r="E12" s="615"/>
      <c r="F12" s="615"/>
      <c r="G12" s="615"/>
      <c r="H12" s="615"/>
      <c r="I12" s="615"/>
      <c r="J12" s="615"/>
    </row>
    <row r="13" spans="1:10" ht="15.75" customHeight="1" x14ac:dyDescent="0.25">
      <c r="A13" s="615" t="s">
        <v>349</v>
      </c>
      <c r="B13" s="615"/>
      <c r="C13" s="615"/>
      <c r="D13" s="615"/>
      <c r="E13" s="615"/>
      <c r="F13" s="615"/>
      <c r="G13" s="615"/>
      <c r="H13" s="615"/>
      <c r="I13" s="615"/>
      <c r="J13" s="615"/>
    </row>
    <row r="14" spans="1:10" ht="15.75" x14ac:dyDescent="0.25">
      <c r="A14" s="615"/>
      <c r="B14" s="615"/>
      <c r="C14" s="615"/>
      <c r="D14" s="615"/>
      <c r="E14" s="615"/>
      <c r="F14" s="615"/>
      <c r="G14" s="615"/>
      <c r="H14" s="615"/>
      <c r="I14" s="615"/>
    </row>
    <row r="15" spans="1:10" ht="15.75" customHeight="1" x14ac:dyDescent="0.25">
      <c r="A15" s="615" t="s">
        <v>706</v>
      </c>
      <c r="B15" s="615"/>
      <c r="C15" s="615"/>
      <c r="D15" s="615"/>
      <c r="E15" s="615"/>
      <c r="F15" s="615"/>
      <c r="G15" s="615"/>
      <c r="H15" s="615"/>
      <c r="I15" s="615"/>
      <c r="J15" s="615"/>
    </row>
    <row r="16" spans="1:10" ht="15.75" customHeight="1" x14ac:dyDescent="0.25">
      <c r="A16" s="615" t="s">
        <v>348</v>
      </c>
      <c r="B16" s="615"/>
      <c r="C16" s="615"/>
      <c r="D16" s="615"/>
      <c r="E16" s="615"/>
      <c r="F16" s="615"/>
      <c r="G16" s="615"/>
      <c r="H16" s="615"/>
      <c r="I16" s="615"/>
      <c r="J16" s="615"/>
    </row>
    <row r="17" spans="1:10" ht="17.100000000000001" customHeight="1" x14ac:dyDescent="0.25">
      <c r="A17" s="614" t="s">
        <v>347</v>
      </c>
      <c r="B17" s="614"/>
      <c r="C17" s="614"/>
      <c r="D17" s="614"/>
      <c r="E17" s="614"/>
      <c r="F17" s="614"/>
      <c r="G17" s="614"/>
      <c r="H17" s="614"/>
      <c r="I17" s="614"/>
      <c r="J17" s="614"/>
    </row>
    <row r="18" spans="1:10" ht="17.100000000000001" customHeight="1" x14ac:dyDescent="0.25">
      <c r="A18" s="614"/>
      <c r="B18" s="614"/>
      <c r="C18" s="614"/>
      <c r="D18" s="614"/>
      <c r="E18" s="614"/>
      <c r="F18" s="614"/>
      <c r="G18" s="614"/>
      <c r="H18" s="614"/>
      <c r="I18" s="614"/>
    </row>
    <row r="19" spans="1:10" ht="15.75" customHeight="1" x14ac:dyDescent="0.25">
      <c r="A19" s="90"/>
      <c r="B19" s="609" t="s">
        <v>346</v>
      </c>
      <c r="C19" s="610"/>
      <c r="D19" s="611" t="s">
        <v>1017</v>
      </c>
      <c r="E19" s="612"/>
      <c r="F19" s="613"/>
    </row>
    <row r="20" spans="1:10" ht="15.75" customHeight="1" x14ac:dyDescent="0.25">
      <c r="A20" s="90"/>
      <c r="B20" s="604" t="s">
        <v>345</v>
      </c>
      <c r="C20" s="604"/>
      <c r="D20" s="606" t="str">
        <f>'KEY INPUTS'!B10</f>
        <v>Cheryl Sayers</v>
      </c>
      <c r="E20" s="607"/>
      <c r="F20" s="608"/>
    </row>
    <row r="21" spans="1:10" ht="15.75" customHeight="1" x14ac:dyDescent="0.25">
      <c r="A21" s="90"/>
      <c r="B21" s="604" t="s">
        <v>344</v>
      </c>
      <c r="C21" s="604"/>
      <c r="D21" s="606" t="str">
        <f>'KEY INPUTS'!B11</f>
        <v>Accountant</v>
      </c>
      <c r="E21" s="607"/>
      <c r="F21" s="608"/>
    </row>
    <row r="22" spans="1:10" ht="15.75" customHeight="1" x14ac:dyDescent="0.25">
      <c r="A22" s="90"/>
      <c r="B22" s="604" t="s">
        <v>343</v>
      </c>
      <c r="C22" s="604"/>
      <c r="D22" s="606" t="str">
        <f>'KEY INPUTS'!B12</f>
        <v>PO Box 1193, Marmora, NJ 08223</v>
      </c>
      <c r="E22" s="607"/>
      <c r="F22" s="608"/>
    </row>
    <row r="23" spans="1:10" ht="15.75" customHeight="1" x14ac:dyDescent="0.25">
      <c r="A23" s="90"/>
      <c r="B23" s="604" t="s">
        <v>342</v>
      </c>
      <c r="C23" s="604"/>
      <c r="D23" s="606" t="str">
        <f>'KEY INPUTS'!B13</f>
        <v>609-390-0600</v>
      </c>
      <c r="E23" s="607"/>
      <c r="F23" s="608"/>
    </row>
    <row r="24" spans="1:10" ht="15.75" customHeight="1" x14ac:dyDescent="0.25">
      <c r="A24" s="90"/>
      <c r="B24" s="604" t="s">
        <v>341</v>
      </c>
      <c r="C24" s="604"/>
      <c r="D24" s="606" t="str">
        <f>'KEY INPUTS'!B14</f>
        <v>609-390-7931</v>
      </c>
      <c r="E24" s="607"/>
      <c r="F24" s="608"/>
    </row>
    <row r="25" spans="1:10" ht="15.75" customHeight="1" x14ac:dyDescent="0.25">
      <c r="A25" s="88"/>
      <c r="B25" s="605" t="s">
        <v>340</v>
      </c>
      <c r="C25" s="605"/>
      <c r="D25" s="606" t="str">
        <f>'KEY INPUTS'!B15</f>
        <v>cheryl@csayerscpa.com</v>
      </c>
      <c r="E25" s="607"/>
      <c r="F25" s="608"/>
    </row>
    <row r="41" spans="1:10" x14ac:dyDescent="0.25">
      <c r="A41" s="592" t="s">
        <v>339</v>
      </c>
      <c r="B41" s="592"/>
      <c r="C41" s="592"/>
      <c r="D41" s="592"/>
      <c r="E41" s="592"/>
      <c r="F41" s="592"/>
      <c r="G41" s="592"/>
      <c r="H41" s="592"/>
      <c r="I41" s="592"/>
      <c r="J41" s="592"/>
    </row>
  </sheetData>
  <sheetProtection algorithmName="SHA-512" hashValue="noYVY2v+8My9VSsgNbP7cKuX4InVvZGtM3XKaJ2mlGPiulj40GGcQ2Ht3wSu5EIcq6T9L03v06ARKKgFDgp4Aw==" saltValue="Kal8c4glIjbxZJ34cqKLtg==" spinCount="100000" sheet="1" objects="1" scenarios="1"/>
  <mergeCells count="29">
    <mergeCell ref="A1:J1"/>
    <mergeCell ref="A7:J7"/>
    <mergeCell ref="A5:J5"/>
    <mergeCell ref="A3:J3"/>
    <mergeCell ref="A17:J17"/>
    <mergeCell ref="A16:J16"/>
    <mergeCell ref="A15:J15"/>
    <mergeCell ref="A13:J13"/>
    <mergeCell ref="A12:J12"/>
    <mergeCell ref="A11:J11"/>
    <mergeCell ref="A10:J10"/>
    <mergeCell ref="A9:J9"/>
    <mergeCell ref="B19:C19"/>
    <mergeCell ref="D19:F19"/>
    <mergeCell ref="A18:I18"/>
    <mergeCell ref="A14:I14"/>
    <mergeCell ref="B22:C22"/>
    <mergeCell ref="A41:J41"/>
    <mergeCell ref="B23:C23"/>
    <mergeCell ref="B20:C20"/>
    <mergeCell ref="B25:C25"/>
    <mergeCell ref="D20:F20"/>
    <mergeCell ref="D21:F21"/>
    <mergeCell ref="D22:F22"/>
    <mergeCell ref="D23:F23"/>
    <mergeCell ref="D24:F24"/>
    <mergeCell ref="D25:F25"/>
    <mergeCell ref="B24:C24"/>
    <mergeCell ref="B21:C21"/>
  </mergeCells>
  <printOptions horizontalCentered="1"/>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30</vt:i4>
      </vt:variant>
    </vt:vector>
  </HeadingPairs>
  <TitlesOfParts>
    <vt:vector size="89" baseType="lpstr">
      <vt:lpstr>Info</vt:lpstr>
      <vt:lpstr>Examiner Dashboard</vt:lpstr>
      <vt:lpstr>KEY METRICS</vt:lpstr>
      <vt:lpstr>Instructions</vt:lpstr>
      <vt:lpstr>KEY INPUTS</vt:lpstr>
      <vt:lpstr>Cover Sheet</vt:lpstr>
      <vt:lpstr>Certification Section</vt:lpstr>
      <vt:lpstr>Division Cert.</vt:lpstr>
      <vt:lpstr>Preparer Cert.</vt:lpstr>
      <vt:lpstr>Preparer Other Assets Cert.</vt:lpstr>
      <vt:lpstr>Internet Cert.</vt:lpstr>
      <vt:lpstr>Approval Cert.</vt:lpstr>
      <vt:lpstr>Approval Resolution</vt:lpstr>
      <vt:lpstr>Adoption Cert.</vt:lpstr>
      <vt:lpstr>Adopted Resolution</vt:lpstr>
      <vt:lpstr>Narrative and Information</vt:lpstr>
      <vt:lpstr>Message &amp; Analysis</vt:lpstr>
      <vt:lpstr>Message &amp; Analysis (2)</vt:lpstr>
      <vt:lpstr>Message &amp; Analysis (3)</vt:lpstr>
      <vt:lpstr>Contact Information</vt:lpstr>
      <vt:lpstr>Questionnaire</vt:lpstr>
      <vt:lpstr>Questionnaire (2)</vt:lpstr>
      <vt:lpstr>Questionnaire (3)</vt:lpstr>
      <vt:lpstr>Vehicle List</vt:lpstr>
      <vt:lpstr>Vehicle List (2)</vt:lpstr>
      <vt:lpstr>Vehicle List (3)</vt:lpstr>
      <vt:lpstr>Commissioner Schedule (N-4)</vt:lpstr>
      <vt:lpstr>Page N-4 (2 of 2)</vt:lpstr>
      <vt:lpstr>Health Benefits (N-5)</vt:lpstr>
      <vt:lpstr>Accumulated Absences (N-6)</vt:lpstr>
      <vt:lpstr>Accumulated Absences (N-6) (2)</vt:lpstr>
      <vt:lpstr>Accumulated Absences (N-6) (3)</vt:lpstr>
      <vt:lpstr>Accumulated Absences (N-6) (4)</vt:lpstr>
      <vt:lpstr>Accumulated Absences (N-6) (5)</vt:lpstr>
      <vt:lpstr>Accumulated Absences (N-6) (6)</vt:lpstr>
      <vt:lpstr>Accumulated Absences (N-6) (7)</vt:lpstr>
      <vt:lpstr>TOTAL Accumulated Absences</vt:lpstr>
      <vt:lpstr>Financial Schedule</vt:lpstr>
      <vt:lpstr>Information Sheet</vt:lpstr>
      <vt:lpstr>F-1 Budget Summary</vt:lpstr>
      <vt:lpstr>F-2 Revenues (Proposed)</vt:lpstr>
      <vt:lpstr>Revenue Detail</vt:lpstr>
      <vt:lpstr>Revenue Detail (2)</vt:lpstr>
      <vt:lpstr>F-3 Appropriations (Proposed)</vt:lpstr>
      <vt:lpstr>Appropriation Detail</vt:lpstr>
      <vt:lpstr>Appropriation Detail (2)</vt:lpstr>
      <vt:lpstr>Appropriation Detail (3)</vt:lpstr>
      <vt:lpstr>F-4 Salary &amp; Benefit Schedule</vt:lpstr>
      <vt:lpstr>Salary &amp; Benefit Detail</vt:lpstr>
      <vt:lpstr>F-5 Capital Budget Proposed</vt:lpstr>
      <vt:lpstr>Capital Budget Detail</vt:lpstr>
      <vt:lpstr>F-6 Debt Service - Principal</vt:lpstr>
      <vt:lpstr>F-7 Debt Service - Interest</vt:lpstr>
      <vt:lpstr>F-8 Fund Balance</vt:lpstr>
      <vt:lpstr>F-9 Referendums</vt:lpstr>
      <vt:lpstr>F-10 Levy Cap Summary</vt:lpstr>
      <vt:lpstr>F-11 Shared Services</vt:lpstr>
      <vt:lpstr>F-12 Cap Exclusions</vt:lpstr>
      <vt:lpstr>Appendix-Change Orders</vt:lpstr>
      <vt:lpstr>Absences</vt:lpstr>
      <vt:lpstr>Accum._Absence</vt:lpstr>
      <vt:lpstr>App_Percentage</vt:lpstr>
      <vt:lpstr>Automatic</vt:lpstr>
      <vt:lpstr>Automatic_Increase</vt:lpstr>
      <vt:lpstr>Capital_Budget_Detail</vt:lpstr>
      <vt:lpstr>'Accumulated Absences (N-6)'!Print_Area</vt:lpstr>
      <vt:lpstr>'Accumulated Absences (N-6) (2)'!Print_Area</vt:lpstr>
      <vt:lpstr>'Accumulated Absences (N-6) (3)'!Print_Area</vt:lpstr>
      <vt:lpstr>'Accumulated Absences (N-6) (4)'!Print_Area</vt:lpstr>
      <vt:lpstr>'Accumulated Absences (N-6) (5)'!Print_Area</vt:lpstr>
      <vt:lpstr>'Accumulated Absences (N-6) (6)'!Print_Area</vt:lpstr>
      <vt:lpstr>'Accumulated Absences (N-6) (7)'!Print_Area</vt:lpstr>
      <vt:lpstr>'Adopted Resolution'!Print_Area</vt:lpstr>
      <vt:lpstr>'Adoption Cert.'!Print_Area</vt:lpstr>
      <vt:lpstr>'Appendix-Change Orders'!Print_Area</vt:lpstr>
      <vt:lpstr>'Approval Cert.'!Print_Area</vt:lpstr>
      <vt:lpstr>'Approval Resolution'!Print_Area</vt:lpstr>
      <vt:lpstr>'Commissioner Schedule (N-4)'!Print_Area</vt:lpstr>
      <vt:lpstr>'F-12 Cap Exclusions'!Print_Area</vt:lpstr>
      <vt:lpstr>'F-8 Fund Balance'!Print_Area</vt:lpstr>
      <vt:lpstr>'Health Benefits (N-5)'!Print_Area</vt:lpstr>
      <vt:lpstr>Instructions!Print_Area</vt:lpstr>
      <vt:lpstr>'KEY INPUTS'!Print_Area</vt:lpstr>
      <vt:lpstr>'Message &amp; Analysis'!Print_Area</vt:lpstr>
      <vt:lpstr>'Page N-4 (2 of 2)'!Print_Area</vt:lpstr>
      <vt:lpstr>'TOTAL Accumulated Absences'!Print_Area</vt:lpstr>
      <vt:lpstr>Revenue_Percent</vt:lpstr>
      <vt:lpstr>Salary_Benefit_Detail</vt:lpstr>
      <vt:lpstr>Vehicle_List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Gallello, Matthew</dc:creator>
  <cp:lastModifiedBy>Douglas Frick</cp:lastModifiedBy>
  <cp:lastPrinted>2024-11-27T15:08:58Z</cp:lastPrinted>
  <dcterms:created xsi:type="dcterms:W3CDTF">2020-04-09T16:25:58Z</dcterms:created>
  <dcterms:modified xsi:type="dcterms:W3CDTF">2025-03-18T15:32:50Z</dcterms:modified>
</cp:coreProperties>
</file>