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ball\Desktop\Palmer Ball Consulting, LLC\My Presentations\FCIS - July, 2021\Finance Institute\Cost Effectiveness by Division\Charts\"/>
    </mc:Choice>
  </mc:AlternateContent>
  <bookViews>
    <workbookView xWindow="0" yWindow="0" windowWidth="19200" windowHeight="8232" activeTab="1"/>
  </bookViews>
  <sheets>
    <sheet name="Data to be Gathered" sheetId="2" r:id="rId1"/>
    <sheet name="Cost Effectiveness" sheetId="1" r:id="rId2"/>
    <sheet name="Class Size Breakeven" sheetId="3" r:id="rId3"/>
    <sheet name="Sheet1" sheetId="4" r:id="rId4"/>
    <sheet name="Sheet2" sheetId="5" r:id="rId5"/>
  </sheets>
  <externalReferences>
    <externalReference r:id="rId6"/>
  </externalReferences>
  <definedNames>
    <definedName name="BalanceSheet">'[1]BS Comb'!#REF!</definedName>
    <definedName name="_xlnm.Print_Area" localSheetId="1">'Cost Effectiveness'!$A$1:$N$142</definedName>
    <definedName name="_xlnm.Print_Titles" localSheetId="1">'Cost Effectiveness'!$1:$7</definedName>
    <definedName name="_xlnm.Print_Titles" localSheetId="0">'Data to be Gathered'!$1:$3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9" i="2" l="1"/>
  <c r="T139" i="2"/>
  <c r="M141" i="2"/>
  <c r="G112" i="2"/>
  <c r="G102" i="2"/>
  <c r="G96" i="2"/>
  <c r="K70" i="2"/>
  <c r="M55" i="2"/>
  <c r="G12" i="2"/>
  <c r="G11" i="2"/>
  <c r="G9" i="2"/>
  <c r="G10" i="2"/>
  <c r="F2" i="1" l="1"/>
  <c r="B36" i="1" l="1"/>
  <c r="B35" i="1"/>
  <c r="L131" i="1" l="1"/>
  <c r="J131" i="1"/>
  <c r="H131" i="1"/>
  <c r="F131" i="1"/>
  <c r="L110" i="1"/>
  <c r="J110" i="1"/>
  <c r="H110" i="1"/>
  <c r="F110" i="1"/>
  <c r="F87" i="1"/>
  <c r="H87" i="1"/>
  <c r="J87" i="1"/>
  <c r="L87" i="1"/>
  <c r="K100" i="2" l="1"/>
  <c r="K38" i="2"/>
  <c r="I7" i="3" l="1"/>
  <c r="K32" i="2" l="1"/>
  <c r="M84" i="2" l="1"/>
  <c r="K84" i="2"/>
  <c r="I84" i="2"/>
  <c r="G84" i="2"/>
  <c r="Q80" i="2"/>
  <c r="M80" i="2" s="1"/>
  <c r="K80" i="2"/>
  <c r="I80" i="2"/>
  <c r="G80" i="2" l="1"/>
  <c r="K127" i="2" l="1"/>
  <c r="I127" i="2"/>
  <c r="G127" i="2"/>
  <c r="K129" i="2"/>
  <c r="I129" i="2"/>
  <c r="G129" i="2"/>
  <c r="I78" i="2"/>
  <c r="K78" i="2"/>
  <c r="G78" i="2"/>
  <c r="K34" i="2" l="1"/>
  <c r="G44" i="2"/>
  <c r="K61" i="2" l="1"/>
  <c r="K60" i="2"/>
  <c r="K59" i="2"/>
  <c r="K58" i="2"/>
  <c r="K49" i="2"/>
  <c r="K48" i="2"/>
  <c r="K47" i="2"/>
  <c r="K37" i="2"/>
  <c r="K36" i="2"/>
  <c r="K35" i="2"/>
  <c r="K33" i="2"/>
  <c r="Q98" i="2" l="1"/>
  <c r="Q32" i="2" l="1"/>
  <c r="W98" i="2" l="1"/>
  <c r="T98" i="2"/>
  <c r="M96" i="2"/>
  <c r="W94" i="2" l="1"/>
  <c r="T94" i="2"/>
  <c r="Q94" i="2"/>
  <c r="O58" i="2"/>
  <c r="O32" i="2"/>
  <c r="M58" i="2"/>
  <c r="M47" i="2"/>
  <c r="M32" i="2"/>
  <c r="M131" i="2" l="1"/>
  <c r="K131" i="2"/>
  <c r="I131" i="2"/>
  <c r="G131" i="2"/>
  <c r="B44" i="1"/>
  <c r="B45" i="1"/>
  <c r="M104" i="2"/>
  <c r="K104" i="2"/>
  <c r="I104" i="2"/>
  <c r="G104" i="2"/>
  <c r="K113" i="2" l="1"/>
  <c r="I113" i="2"/>
  <c r="G94" i="2" l="1"/>
  <c r="M86" i="2" l="1"/>
  <c r="G86" i="2"/>
  <c r="B52" i="1" l="1"/>
  <c r="B51" i="1"/>
  <c r="B37" i="1"/>
  <c r="B50" i="1"/>
  <c r="B49" i="1"/>
  <c r="B48" i="1"/>
  <c r="K106" i="2"/>
  <c r="I106" i="2"/>
  <c r="G106" i="2"/>
  <c r="K86" i="2" l="1"/>
  <c r="I86" i="2"/>
  <c r="K64" i="2" l="1"/>
  <c r="Q58" i="2" l="1"/>
  <c r="Q47" i="2"/>
  <c r="A2" i="1" l="1"/>
  <c r="A1" i="1"/>
  <c r="A1" i="3" s="1"/>
  <c r="B43" i="1" l="1"/>
  <c r="B34" i="1"/>
  <c r="K98" i="2"/>
  <c r="J33" i="1" s="1"/>
  <c r="I98" i="2"/>
  <c r="H33" i="1" s="1"/>
  <c r="G98" i="2"/>
  <c r="K94" i="2"/>
  <c r="J31" i="1" s="1"/>
  <c r="I94" i="2"/>
  <c r="F31" i="1"/>
  <c r="B21" i="1"/>
  <c r="F33" i="1" l="1"/>
  <c r="M98" i="2"/>
  <c r="H31" i="1"/>
  <c r="M94" i="2"/>
  <c r="M13" i="2"/>
  <c r="K13" i="2"/>
  <c r="I13" i="2"/>
  <c r="G13" i="2"/>
  <c r="K12" i="2"/>
  <c r="I12" i="2"/>
  <c r="Q68" i="2"/>
  <c r="O68" i="2"/>
  <c r="M68" i="2"/>
  <c r="K63" i="2"/>
  <c r="K62" i="2"/>
  <c r="K52" i="2"/>
  <c r="K51" i="2"/>
  <c r="K50" i="2"/>
  <c r="K41" i="2"/>
  <c r="K40" i="2"/>
  <c r="K39" i="2"/>
  <c r="K44" i="2" s="1"/>
  <c r="M44" i="2" s="1"/>
  <c r="J17" i="1"/>
  <c r="J14" i="1"/>
  <c r="J13" i="1"/>
  <c r="H17" i="1"/>
  <c r="H14" i="1"/>
  <c r="H13" i="1"/>
  <c r="F17" i="1"/>
  <c r="F14" i="1"/>
  <c r="F13" i="1"/>
  <c r="G66" i="2"/>
  <c r="G55" i="2"/>
  <c r="N100" i="1" l="1"/>
  <c r="I13" i="3"/>
  <c r="I112" i="2"/>
  <c r="I115" i="2" s="1"/>
  <c r="I135" i="2"/>
  <c r="H53" i="1" s="1"/>
  <c r="G135" i="2"/>
  <c r="F53" i="1" s="1"/>
  <c r="K135" i="2"/>
  <c r="J53" i="1" s="1"/>
  <c r="H9" i="1"/>
  <c r="J9" i="1"/>
  <c r="K10" i="2"/>
  <c r="I10" i="2"/>
  <c r="I11" i="2"/>
  <c r="K11" i="2"/>
  <c r="K66" i="2"/>
  <c r="M66" i="2" s="1"/>
  <c r="N142" i="1" s="1"/>
  <c r="G76" i="2"/>
  <c r="K55" i="2"/>
  <c r="N121" i="1" s="1"/>
  <c r="G68" i="2"/>
  <c r="F9" i="1"/>
  <c r="P31" i="1" l="1"/>
  <c r="F26" i="1"/>
  <c r="G115" i="2"/>
  <c r="R33" i="1"/>
  <c r="E27" i="3"/>
  <c r="E24" i="3"/>
  <c r="E25" i="3"/>
  <c r="E22" i="3"/>
  <c r="E23" i="3"/>
  <c r="E21" i="3"/>
  <c r="E26" i="3"/>
  <c r="E29" i="3"/>
  <c r="E28" i="3"/>
  <c r="P26" i="1"/>
  <c r="R53" i="1"/>
  <c r="T33" i="1"/>
  <c r="T31" i="1"/>
  <c r="T53" i="1"/>
  <c r="P33" i="1"/>
  <c r="P53" i="1"/>
  <c r="R31" i="1"/>
  <c r="K117" i="2"/>
  <c r="J44" i="1" s="1"/>
  <c r="T44" i="1" s="1"/>
  <c r="K68" i="2"/>
  <c r="I119" i="2"/>
  <c r="H45" i="1" s="1"/>
  <c r="R45" i="1" s="1"/>
  <c r="K76" i="2"/>
  <c r="J21" i="1" s="1"/>
  <c r="I76" i="2"/>
  <c r="H21" i="1" s="1"/>
  <c r="K119" i="2"/>
  <c r="J45" i="1" s="1"/>
  <c r="T45" i="1" s="1"/>
  <c r="F32" i="1"/>
  <c r="I96" i="2"/>
  <c r="G119" i="2"/>
  <c r="F45" i="1" s="1"/>
  <c r="P45" i="1" s="1"/>
  <c r="I117" i="2"/>
  <c r="H44" i="1" s="1"/>
  <c r="R44" i="1" s="1"/>
  <c r="G117" i="2"/>
  <c r="F44" i="1" s="1"/>
  <c r="P44" i="1" s="1"/>
  <c r="G125" i="2"/>
  <c r="F48" i="1" s="1"/>
  <c r="P48" i="1" s="1"/>
  <c r="F50" i="1"/>
  <c r="P50" i="1" s="1"/>
  <c r="H35" i="1"/>
  <c r="R35" i="1" s="1"/>
  <c r="J35" i="1"/>
  <c r="T35" i="1" s="1"/>
  <c r="H51" i="1"/>
  <c r="R51" i="1" s="1"/>
  <c r="K125" i="2"/>
  <c r="J48" i="1" s="1"/>
  <c r="T48" i="1" s="1"/>
  <c r="H49" i="1"/>
  <c r="R49" i="1" s="1"/>
  <c r="I108" i="2"/>
  <c r="H37" i="1" s="1"/>
  <c r="R37" i="1" s="1"/>
  <c r="G108" i="2"/>
  <c r="F37" i="1" s="1"/>
  <c r="P37" i="1" s="1"/>
  <c r="F35" i="1"/>
  <c r="P35" i="1" s="1"/>
  <c r="J49" i="1"/>
  <c r="T49" i="1" s="1"/>
  <c r="J51" i="1"/>
  <c r="T51" i="1" s="1"/>
  <c r="I133" i="2"/>
  <c r="H52" i="1" s="1"/>
  <c r="R52" i="1" s="1"/>
  <c r="F51" i="1"/>
  <c r="P51" i="1" s="1"/>
  <c r="F49" i="1"/>
  <c r="P49" i="1" s="1"/>
  <c r="K133" i="2"/>
  <c r="J52" i="1" s="1"/>
  <c r="T52" i="1" s="1"/>
  <c r="J50" i="1"/>
  <c r="T50" i="1" s="1"/>
  <c r="I125" i="2"/>
  <c r="H48" i="1" s="1"/>
  <c r="R48" i="1" s="1"/>
  <c r="H50" i="1"/>
  <c r="R50" i="1" s="1"/>
  <c r="G133" i="2"/>
  <c r="F52" i="1" s="1"/>
  <c r="P52" i="1" s="1"/>
  <c r="K108" i="2"/>
  <c r="J37" i="1" s="1"/>
  <c r="T37" i="1" s="1"/>
  <c r="F23" i="1"/>
  <c r="P23" i="1" s="1"/>
  <c r="K82" i="2"/>
  <c r="J24" i="1" s="1"/>
  <c r="T24" i="1" s="1"/>
  <c r="F22" i="1"/>
  <c r="P22" i="1" s="1"/>
  <c r="H22" i="1"/>
  <c r="R22" i="1" s="1"/>
  <c r="J22" i="1"/>
  <c r="T22" i="1" s="1"/>
  <c r="I82" i="2"/>
  <c r="H24" i="1" s="1"/>
  <c r="R24" i="1" s="1"/>
  <c r="G82" i="2"/>
  <c r="F24" i="1" s="1"/>
  <c r="P24" i="1" s="1"/>
  <c r="J23" i="1"/>
  <c r="T23" i="1" s="1"/>
  <c r="H23" i="1"/>
  <c r="R23" i="1" s="1"/>
  <c r="F36" i="1"/>
  <c r="P36" i="1" s="1"/>
  <c r="G123" i="2"/>
  <c r="F47" i="1" s="1"/>
  <c r="P47" i="1" s="1"/>
  <c r="I121" i="2"/>
  <c r="H46" i="1" s="1"/>
  <c r="R46" i="1" s="1"/>
  <c r="G121" i="2"/>
  <c r="F46" i="1" s="1"/>
  <c r="P46" i="1" s="1"/>
  <c r="H36" i="1"/>
  <c r="R36" i="1" s="1"/>
  <c r="J36" i="1"/>
  <c r="T36" i="1" s="1"/>
  <c r="K121" i="2"/>
  <c r="J46" i="1" s="1"/>
  <c r="T46" i="1" s="1"/>
  <c r="I123" i="2"/>
  <c r="H47" i="1" s="1"/>
  <c r="R47" i="1" s="1"/>
  <c r="F42" i="1"/>
  <c r="P42" i="1" s="1"/>
  <c r="K123" i="2"/>
  <c r="J47" i="1" s="1"/>
  <c r="T47" i="1" s="1"/>
  <c r="K112" i="2"/>
  <c r="K115" i="2" s="1"/>
  <c r="F21" i="1"/>
  <c r="K96" i="2"/>
  <c r="L9" i="1"/>
  <c r="F10" i="1" s="1"/>
  <c r="H25" i="1"/>
  <c r="R25" i="1" s="1"/>
  <c r="J26" i="1"/>
  <c r="T26" i="1" s="1"/>
  <c r="H26" i="1"/>
  <c r="R26" i="1" s="1"/>
  <c r="F25" i="1"/>
  <c r="P25" i="1" s="1"/>
  <c r="J25" i="1"/>
  <c r="T25" i="1" s="1"/>
  <c r="I9" i="2"/>
  <c r="K9" i="2"/>
  <c r="B53" i="1"/>
  <c r="B47" i="1"/>
  <c r="B46" i="1"/>
  <c r="B42" i="1"/>
  <c r="B33" i="1"/>
  <c r="B32" i="1"/>
  <c r="B31" i="1"/>
  <c r="B26" i="1"/>
  <c r="B25" i="1"/>
  <c r="B24" i="1"/>
  <c r="B23" i="1"/>
  <c r="B22" i="1"/>
  <c r="H10" i="1" l="1"/>
  <c r="J10" i="1"/>
  <c r="J32" i="1"/>
  <c r="K102" i="2"/>
  <c r="H32" i="1"/>
  <c r="I102" i="2"/>
  <c r="H34" i="1" s="1"/>
  <c r="R34" i="1" s="1"/>
  <c r="T21" i="1"/>
  <c r="N129" i="1"/>
  <c r="R21" i="1"/>
  <c r="N108" i="1"/>
  <c r="P21" i="1"/>
  <c r="N85" i="1"/>
  <c r="P32" i="1"/>
  <c r="T32" i="1"/>
  <c r="R32" i="1"/>
  <c r="L44" i="1"/>
  <c r="V44" i="1" s="1"/>
  <c r="L45" i="1"/>
  <c r="V45" i="1" s="1"/>
  <c r="M76" i="2"/>
  <c r="M89" i="2" s="1"/>
  <c r="L48" i="1"/>
  <c r="V48" i="1" s="1"/>
  <c r="L51" i="1"/>
  <c r="V51" i="1" s="1"/>
  <c r="L50" i="1"/>
  <c r="V50" i="1" s="1"/>
  <c r="L37" i="1"/>
  <c r="V37" i="1" s="1"/>
  <c r="L49" i="1"/>
  <c r="V49" i="1" s="1"/>
  <c r="L52" i="1"/>
  <c r="V52" i="1" s="1"/>
  <c r="J43" i="1"/>
  <c r="T43" i="1" s="1"/>
  <c r="J42" i="1"/>
  <c r="T42" i="1" s="1"/>
  <c r="F43" i="1"/>
  <c r="P43" i="1" s="1"/>
  <c r="H43" i="1"/>
  <c r="R43" i="1" s="1"/>
  <c r="H42" i="1"/>
  <c r="R42" i="1" s="1"/>
  <c r="F34" i="1"/>
  <c r="P34" i="1" s="1"/>
  <c r="J34" i="1"/>
  <c r="T34" i="1" s="1"/>
  <c r="F103" i="1"/>
  <c r="F124" i="1" s="1"/>
  <c r="H103" i="1"/>
  <c r="H124" i="1" s="1"/>
  <c r="J103" i="1"/>
  <c r="J124" i="1" s="1"/>
  <c r="L103" i="1"/>
  <c r="L124" i="1" s="1"/>
  <c r="N103" i="1"/>
  <c r="N124" i="1" s="1"/>
  <c r="J39" i="1" l="1"/>
  <c r="H39" i="1"/>
  <c r="F39" i="1"/>
  <c r="I5" i="3" s="1"/>
  <c r="I9" i="3" s="1"/>
  <c r="L42" i="1"/>
  <c r="V42" i="1" s="1"/>
  <c r="M115" i="2"/>
  <c r="M102" i="2"/>
  <c r="K101" i="2" l="1"/>
  <c r="G26" i="3"/>
  <c r="I26" i="3" s="1"/>
  <c r="G25" i="3"/>
  <c r="I25" i="3" s="1"/>
  <c r="G24" i="3"/>
  <c r="I24" i="3" s="1"/>
  <c r="G29" i="3"/>
  <c r="I29" i="3" s="1"/>
  <c r="G22" i="3"/>
  <c r="I22" i="3" s="1"/>
  <c r="G21" i="3"/>
  <c r="I21" i="3" s="1"/>
  <c r="G23" i="3"/>
  <c r="I23" i="3" s="1"/>
  <c r="G27" i="3"/>
  <c r="I27" i="3" s="1"/>
  <c r="G28" i="3"/>
  <c r="I28" i="3" s="1"/>
  <c r="M137" i="2"/>
  <c r="M139" i="2" l="1"/>
  <c r="N127" i="1"/>
  <c r="N131" i="1" s="1"/>
  <c r="N106" i="1"/>
  <c r="N110" i="1" s="1"/>
  <c r="N83" i="1"/>
  <c r="N87" i="1" s="1"/>
  <c r="L139" i="1"/>
  <c r="L135" i="1"/>
  <c r="J139" i="1"/>
  <c r="J135" i="1"/>
  <c r="H139" i="1"/>
  <c r="H135" i="1"/>
  <c r="L118" i="1"/>
  <c r="L114" i="1"/>
  <c r="J118" i="1"/>
  <c r="J114" i="1"/>
  <c r="H118" i="1"/>
  <c r="H114" i="1"/>
  <c r="L95" i="1"/>
  <c r="L91" i="1"/>
  <c r="J95" i="1"/>
  <c r="J91" i="1"/>
  <c r="H95" i="1"/>
  <c r="H91" i="1"/>
  <c r="M143" i="2" l="1"/>
  <c r="L17" i="1"/>
  <c r="J15" i="1"/>
  <c r="L14" i="1"/>
  <c r="L13" i="1"/>
  <c r="L15" i="1" l="1"/>
  <c r="F139" i="1"/>
  <c r="F135" i="1"/>
  <c r="F118" i="1"/>
  <c r="F114" i="1"/>
  <c r="F95" i="1"/>
  <c r="F91" i="1"/>
  <c r="L24" i="1"/>
  <c r="V24" i="1" s="1"/>
  <c r="H15" i="1"/>
  <c r="F15" i="1"/>
  <c r="L32" i="1" l="1"/>
  <c r="V32" i="1" l="1"/>
  <c r="J28" i="1"/>
  <c r="T28" i="1" s="1"/>
  <c r="F28" i="1"/>
  <c r="P28" i="1" s="1"/>
  <c r="H28" i="1"/>
  <c r="R28" i="1" s="1"/>
  <c r="L26" i="1" l="1"/>
  <c r="V26" i="1" s="1"/>
  <c r="L46" i="1" l="1"/>
  <c r="V46" i="1" s="1"/>
  <c r="L31" i="1"/>
  <c r="L47" i="1"/>
  <c r="V47" i="1" s="1"/>
  <c r="L23" i="1"/>
  <c r="V23" i="1" s="1"/>
  <c r="L35" i="1"/>
  <c r="V35" i="1" s="1"/>
  <c r="L22" i="1"/>
  <c r="V22" i="1" s="1"/>
  <c r="L25" i="1"/>
  <c r="V25" i="1" s="1"/>
  <c r="L36" i="1"/>
  <c r="V36" i="1" s="1"/>
  <c r="L53" i="1"/>
  <c r="V53" i="1" s="1"/>
  <c r="L21" i="1"/>
  <c r="V21" i="1" s="1"/>
  <c r="L33" i="1"/>
  <c r="V31" i="1" l="1"/>
  <c r="V33" i="1"/>
  <c r="L28" i="1"/>
  <c r="M90" i="2" l="1"/>
  <c r="L29" i="1"/>
  <c r="V28" i="1"/>
  <c r="L43" i="1"/>
  <c r="V43" i="1" s="1"/>
  <c r="L34" i="1"/>
  <c r="T39" i="1"/>
  <c r="H55" i="1"/>
  <c r="R55" i="1" s="1"/>
  <c r="R39" i="1"/>
  <c r="F55" i="1"/>
  <c r="P55" i="1" s="1"/>
  <c r="N97" i="1"/>
  <c r="J55" i="1"/>
  <c r="T55" i="1" s="1"/>
  <c r="V34" i="1" l="1"/>
  <c r="L39" i="1"/>
  <c r="P39" i="1"/>
  <c r="F61" i="1"/>
  <c r="H61" i="1"/>
  <c r="R61" i="1" s="1"/>
  <c r="J61" i="1"/>
  <c r="P61" i="1" l="1"/>
  <c r="F63" i="1"/>
  <c r="N133" i="1"/>
  <c r="N135" i="1" s="1"/>
  <c r="T61" i="1"/>
  <c r="H63" i="1"/>
  <c r="N112" i="1"/>
  <c r="N114" i="1" s="1"/>
  <c r="N89" i="1"/>
  <c r="N91" i="1" s="1"/>
  <c r="H66" i="1"/>
  <c r="L55" i="1"/>
  <c r="F66" i="1"/>
  <c r="J63" i="1"/>
  <c r="J66" i="1"/>
  <c r="L40" i="1" l="1"/>
  <c r="V39" i="1"/>
  <c r="V55" i="1"/>
  <c r="F68" i="1"/>
  <c r="N93" i="1"/>
  <c r="N95" i="1" s="1"/>
  <c r="J68" i="1"/>
  <c r="N137" i="1"/>
  <c r="N139" i="1" s="1"/>
  <c r="H68" i="1"/>
  <c r="N116" i="1"/>
  <c r="N118" i="1" s="1"/>
  <c r="L61" i="1"/>
  <c r="V61" i="1" l="1"/>
  <c r="M138" i="2"/>
  <c r="L63" i="1"/>
  <c r="L66" i="1"/>
  <c r="L67" i="1" s="1"/>
  <c r="M142" i="2" l="1"/>
  <c r="L68" i="1"/>
</calcChain>
</file>

<file path=xl/sharedStrings.xml><?xml version="1.0" encoding="utf-8"?>
<sst xmlns="http://schemas.openxmlformats.org/spreadsheetml/2006/main" count="317" uniqueCount="196">
  <si>
    <t>Lower</t>
  </si>
  <si>
    <t>Middle</t>
  </si>
  <si>
    <t>Upper</t>
  </si>
  <si>
    <t>School</t>
  </si>
  <si>
    <t>Total</t>
  </si>
  <si>
    <t>2015-16</t>
  </si>
  <si>
    <t>Beginning Enrollment</t>
  </si>
  <si>
    <t>Number of Faculty (PT and FT)</t>
  </si>
  <si>
    <t>Number of Instructional Support (PT &amp; FT)</t>
  </si>
  <si>
    <t>Total Faculty and Instructional Support</t>
  </si>
  <si>
    <t>Square Footage by Division</t>
  </si>
  <si>
    <t>Revenue Produced by Students</t>
  </si>
  <si>
    <t>Tuition Revenue</t>
  </si>
  <si>
    <t>Budgeted Revenue per Division</t>
  </si>
  <si>
    <t>Instructional Operating Expenses</t>
  </si>
  <si>
    <t>Faculty Salaries</t>
  </si>
  <si>
    <t>Faculty, Instruct Support Benefits</t>
  </si>
  <si>
    <t>Athletic Expenses</t>
  </si>
  <si>
    <t>Total Instructional Expenses</t>
  </si>
  <si>
    <t>Administrative / Overhead Expenses</t>
  </si>
  <si>
    <t>Administrative and Other Salaries</t>
  </si>
  <si>
    <t>Administrative and Other Benefits</t>
  </si>
  <si>
    <t>Total Admin/Overhead Expenses</t>
  </si>
  <si>
    <t>Total Expenses</t>
  </si>
  <si>
    <t>Total Expenses Per Student</t>
  </si>
  <si>
    <t>Net Deficit Per Division</t>
  </si>
  <si>
    <t>Net Deficit Per Student</t>
  </si>
  <si>
    <t>General Comments:</t>
  </si>
  <si>
    <t xml:space="preserve">No revenues from donations, endowment earnings, other investment income, etc. are included above.  The purpose of the </t>
  </si>
  <si>
    <t>above is to show the operating shortfalls that are covered by other sources, like donations, endowment earnings, etc.</t>
  </si>
  <si>
    <t>Comparative Information</t>
  </si>
  <si>
    <t>Lower School</t>
  </si>
  <si>
    <t>Middle School</t>
  </si>
  <si>
    <t>Upper School</t>
  </si>
  <si>
    <t>2 Years Ago</t>
  </si>
  <si>
    <t>1 Year Ago</t>
  </si>
  <si>
    <t>5 Years Ago</t>
  </si>
  <si>
    <t>7 Years Ago</t>
  </si>
  <si>
    <t>Enrollment</t>
  </si>
  <si>
    <t>Grade</t>
  </si>
  <si>
    <t>Tuition</t>
  </si>
  <si>
    <t>PT and FT</t>
  </si>
  <si>
    <t>Faculty</t>
  </si>
  <si>
    <t>Instructional</t>
  </si>
  <si>
    <t>Support</t>
  </si>
  <si>
    <t>Revenue Producted by Students (doesn't include Annual Giving, Investment Income, etc.)</t>
  </si>
  <si>
    <t>Square</t>
  </si>
  <si>
    <t>Footage</t>
  </si>
  <si>
    <t>Enrollment, Tuition, Staffing and Square Footage by Division</t>
  </si>
  <si>
    <t>Total Benefits</t>
  </si>
  <si>
    <t>General School Expenses</t>
  </si>
  <si>
    <t>Physical Plant Expenses</t>
  </si>
  <si>
    <t>Amount</t>
  </si>
  <si>
    <t>Total Dollar</t>
  </si>
  <si>
    <t>Division Head Salaries</t>
  </si>
  <si>
    <t>allocated by square footage -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</si>
  <si>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</si>
  <si>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</si>
  <si>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</si>
  <si>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</si>
  <si>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</si>
  <si>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</si>
  <si>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</si>
  <si>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</si>
  <si>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</si>
  <si>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</si>
  <si>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</si>
  <si>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</si>
  <si>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Kindergarten</t>
  </si>
  <si>
    <t>Plug to tie to budget (discounts, etc.)</t>
  </si>
  <si>
    <t>Total Lower School</t>
  </si>
  <si>
    <t>Total Middle School</t>
  </si>
  <si>
    <t>Total Upper School</t>
  </si>
  <si>
    <t>allocated by student headcount -</t>
  </si>
  <si>
    <t>allocated by percentage -</t>
  </si>
  <si>
    <t>allocated by dollar amount -</t>
  </si>
  <si>
    <t>LS %</t>
  </si>
  <si>
    <t>MS %</t>
  </si>
  <si>
    <t>US %</t>
  </si>
  <si>
    <t>LS $</t>
  </si>
  <si>
    <t>MS $</t>
  </si>
  <si>
    <t>US $</t>
  </si>
  <si>
    <t>(should equal 100%)</t>
  </si>
  <si>
    <t>(should equal dollar total)</t>
  </si>
  <si>
    <t>Total Tuition Related Income</t>
  </si>
  <si>
    <t>allocated by faculty headcount -</t>
  </si>
  <si>
    <t>allocated based on salary breakout between Instructional Support and Administration Expenses</t>
  </si>
  <si>
    <t>DO NOT MODIFY FORMULAS</t>
  </si>
  <si>
    <t>Include Division Head salaries in the total Admin and Other Salaries amount.  The formulas</t>
  </si>
  <si>
    <t>appropriately chage Division Head salaries 100% to their division.</t>
  </si>
  <si>
    <t>Total Expenses per Student</t>
  </si>
  <si>
    <t>Net Deficit per Student</t>
  </si>
  <si>
    <t>Net Deficit from Operations</t>
  </si>
  <si>
    <t>Instructions</t>
  </si>
  <si>
    <t>Only enter data in cells that are highlighted in gray</t>
  </si>
  <si>
    <t>existing allocation calculation to verify it is appropriate for each budget item - for example, Application Fees might be appropriate to allocate</t>
  </si>
  <si>
    <t>Sample revenue and expense categories are listed - add your own and delete or change those that aren't relevant to your school</t>
  </si>
  <si>
    <t>"Template for Allocation" above provides 5 types of allocations of income and expense - for each line item listed below, review</t>
  </si>
  <si>
    <t>to the divisions based on student enrollment but Afterschool Revenue might be appropriate to allocate 75% to LS and 25% to MS.</t>
  </si>
  <si>
    <t>Copy from above to change any allocations to be consistent with the correct budget treatment.</t>
  </si>
  <si>
    <t>Enter data in highlighted gray cells</t>
  </si>
  <si>
    <t>JK</t>
  </si>
  <si>
    <t>Bus Transportation Fees</t>
  </si>
  <si>
    <t>Other Fees</t>
  </si>
  <si>
    <t>Summer Program Revenue</t>
  </si>
  <si>
    <t>Other Revenue</t>
  </si>
  <si>
    <t>Publication Expense</t>
  </si>
  <si>
    <t>Vehicle Expense</t>
  </si>
  <si>
    <t>Summer Program Expense</t>
  </si>
  <si>
    <t>Other Expense</t>
  </si>
  <si>
    <t>Teaching / School Related Expenses</t>
  </si>
  <si>
    <t>Total Operating Expenses</t>
  </si>
  <si>
    <t>Admissions Expenses</t>
  </si>
  <si>
    <t>Development Expenses</t>
  </si>
  <si>
    <t>Communications Expenses</t>
  </si>
  <si>
    <t>SH</t>
  </si>
  <si>
    <t>FH</t>
  </si>
  <si>
    <t>SQ</t>
  </si>
  <si>
    <t>%</t>
  </si>
  <si>
    <t>$</t>
  </si>
  <si>
    <t>Interest Expense</t>
  </si>
  <si>
    <t>Breakeven Size of Classes</t>
  </si>
  <si>
    <t>Number of</t>
  </si>
  <si>
    <t>Sections</t>
  </si>
  <si>
    <t>Bus Transportation Exp</t>
  </si>
  <si>
    <t>LS</t>
  </si>
  <si>
    <t>MS</t>
  </si>
  <si>
    <t>US</t>
  </si>
  <si>
    <t>[--------------------- Costs per Student ----------------------]</t>
  </si>
  <si>
    <t>Template for Allocation - copy the allocation that is the most appropriate for the income or expense category being added.</t>
  </si>
  <si>
    <t>Copy it into the appropriate income or expense listing below.  Add or delete income or expense listings as needed.</t>
  </si>
  <si>
    <t>Financial Aid and Tuition Remission</t>
  </si>
  <si>
    <t>= weighted average tuition, net of finanical aid, per LS student</t>
  </si>
  <si>
    <t>= weighted average tuition, net of finanical aid, per MS student</t>
  </si>
  <si>
    <t>= weighted average tuition, net of finanical aid, per US student</t>
  </si>
  <si>
    <t xml:space="preserve">Weighted average tuition, net of </t>
  </si>
  <si>
    <t>finanical aid, per student</t>
  </si>
  <si>
    <t>= weighted average tuition, net of financial aid, per student</t>
  </si>
  <si>
    <t>Current Yr</t>
  </si>
  <si>
    <t>Sample School</t>
  </si>
  <si>
    <t>Lower School Class Size Breakeven</t>
  </si>
  <si>
    <t xml:space="preserve">Lower School Instructional Operating Expenses </t>
  </si>
  <si>
    <t>Number of Sections in Lower School</t>
  </si>
  <si>
    <t>Cost per Section</t>
  </si>
  <si>
    <t>Weighted Average Net Tuition Revenue per Lower School Student</t>
  </si>
  <si>
    <t xml:space="preserve"> </t>
  </si>
  <si>
    <t xml:space="preserve"> (not including Administrative Overhead)</t>
  </si>
  <si>
    <t>Class Size Breakeven Calculation</t>
  </si>
  <si>
    <t xml:space="preserve">Table of Class Size and Net Loss / Suplus </t>
  </si>
  <si>
    <t>Students</t>
  </si>
  <si>
    <t>Weighted</t>
  </si>
  <si>
    <t>Average</t>
  </si>
  <si>
    <t>NTR</t>
  </si>
  <si>
    <t>Cost</t>
  </si>
  <si>
    <t xml:space="preserve">Per </t>
  </si>
  <si>
    <t>Section</t>
  </si>
  <si>
    <t>Net Loss /</t>
  </si>
  <si>
    <t>Surplus</t>
  </si>
  <si>
    <t>Note the above chart does NOT take into consideration any administrative overhead -</t>
  </si>
  <si>
    <t>it is ONLY looking at direct operating costs of the Lower School.</t>
  </si>
  <si>
    <t>direct operating costs of the class, excluding administrative and school</t>
  </si>
  <si>
    <t>overhead.</t>
  </si>
  <si>
    <t>It is recommended the school create a waiting list once the class size maximum</t>
  </si>
  <si>
    <t>is reached and only open another section once ___ students are on the waiting</t>
  </si>
  <si>
    <t xml:space="preserve">list.  (The school will need to determine how much they are "willing" to lose on </t>
  </si>
  <si>
    <t>Link budget allocations on this page to the Cost Effectiveness chart; remove those on Cost Effectiveness chart that aren't on this page</t>
  </si>
  <si>
    <t>reflect actual budget numbers at mid year or mid year enrollment or aid numbers will complicate things - it is easier to use start of year figures.</t>
  </si>
  <si>
    <r>
      <rPr>
        <u/>
        <sz val="10"/>
        <rFont val="Arial"/>
        <family val="2"/>
      </rPr>
      <t xml:space="preserve">9 </t>
    </r>
    <r>
      <rPr>
        <sz val="10"/>
        <rFont val="Arial"/>
        <family val="2"/>
      </rPr>
      <t>students loses money and any class with</t>
    </r>
    <r>
      <rPr>
        <u/>
        <sz val="10"/>
        <rFont val="Arial"/>
        <family val="2"/>
      </rPr>
      <t xml:space="preserve"> 9 </t>
    </r>
    <r>
      <rPr>
        <sz val="10"/>
        <rFont val="Arial"/>
        <family val="2"/>
      </rPr>
      <t>or more students covers the</t>
    </r>
  </si>
  <si>
    <t xml:space="preserve">a class to open up a new section that is underenrolled. There can be value in </t>
  </si>
  <si>
    <t xml:space="preserve">opening a class at less than breakeven, so there is room to take mid year </t>
  </si>
  <si>
    <t xml:space="preserve">applicants, siblings, new families moving to town, etc.)  The school needs to </t>
  </si>
  <si>
    <t xml:space="preserve">determine what that number is, using the above information to assess the </t>
  </si>
  <si>
    <t>cost impact of their decision.</t>
  </si>
  <si>
    <t>Instruction / Student Support Sal - General</t>
  </si>
  <si>
    <t>Instruction / Student Support Sal - Specific</t>
  </si>
  <si>
    <t>Student</t>
  </si>
  <si>
    <t>(retirement, medical, FICA, etc. which will be allocated pro rata between Faculty and Admin salaries)</t>
  </si>
  <si>
    <t>See Class Size Model for chart showing Class Size Maximum, Waiting List</t>
  </si>
  <si>
    <t xml:space="preserve">Range, Mininum to open 2nd Section, etc. </t>
  </si>
  <si>
    <t xml:space="preserve">Notes - it is recommended this chart be prepared in the fall using Opening Enrollment numbers and approved budget numbers for the year.  Changes to </t>
  </si>
  <si>
    <t>Net Tuition Revenue</t>
  </si>
  <si>
    <t>Net Tuition Revenue per Student</t>
  </si>
  <si>
    <r>
      <t>Thus the breakeven per class is</t>
    </r>
    <r>
      <rPr>
        <u/>
        <sz val="10"/>
        <rFont val="Arial"/>
        <family val="2"/>
      </rPr>
      <t xml:space="preserve"> 9 </t>
    </r>
    <r>
      <rPr>
        <sz val="10"/>
        <rFont val="Arial"/>
        <family val="2"/>
      </rPr>
      <t xml:space="preserve">students.  Any class run with fewer than </t>
    </r>
  </si>
  <si>
    <t xml:space="preserve"> (using only tuition related revenue - excludes revenue from donations, endowment, etc.)  </t>
  </si>
  <si>
    <t>Percentage</t>
  </si>
  <si>
    <t xml:space="preserve">           percentage of exp covered by tuition =</t>
  </si>
  <si>
    <t>(unless able to calculate by division, revenue and expenses are allocated pro-rata based on opening enrollment - the only</t>
  </si>
  <si>
    <t>exceptions are physical plant expenses allocated based on square footage of buildings or faculty salary costs allocated by headcount)</t>
  </si>
  <si>
    <t>2020-21</t>
  </si>
  <si>
    <t>2019-20</t>
  </si>
  <si>
    <t>2018-19</t>
  </si>
  <si>
    <t>2013-14</t>
  </si>
  <si>
    <t>verify this ties to your budget, exclusive of donations and endowment / investment income</t>
  </si>
  <si>
    <t>weighted average tuition =</t>
  </si>
  <si>
    <t>Include nurses, counselors, etc. shared among divisions</t>
  </si>
  <si>
    <t>Cost Effectiveness of Each Division - 2021-22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</si>
</sst>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164" fontId="2" fillId="0" borderId="0" xfId="1" applyNumberFormat="1" applyFont="1" applyFill="1"/>
    <xf numFmtId="164" fontId="3" fillId="0" borderId="0" xfId="1" applyNumberFormat="1" applyFont="1" applyFill="1"/>
    <xf numFmtId="164" fontId="2" fillId="0" borderId="0" xfId="1" applyNumberFormat="1" applyFont="1"/>
    <xf numFmtId="165" fontId="2" fillId="0" borderId="0" xfId="2" applyNumberFormat="1" applyFont="1"/>
    <xf numFmtId="0" fontId="2" fillId="0" borderId="0" xfId="0" applyFont="1" applyFill="1"/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/>
    <xf numFmtId="0" fontId="0" fillId="0" borderId="0" xfId="0" applyFill="1"/>
    <xf numFmtId="1" fontId="2" fillId="0" borderId="0" xfId="0" applyNumberFormat="1" applyFont="1" applyFill="1"/>
    <xf numFmtId="164" fontId="2" fillId="0" borderId="0" xfId="0" applyNumberFormat="1" applyFont="1" applyFill="1"/>
    <xf numFmtId="164" fontId="2" fillId="0" borderId="2" xfId="1" applyNumberFormat="1" applyFont="1" applyFill="1" applyBorder="1"/>
    <xf numFmtId="0" fontId="4" fillId="0" borderId="0" xfId="0" applyFont="1"/>
    <xf numFmtId="164" fontId="2" fillId="0" borderId="0" xfId="1" applyNumberFormat="1" applyFont="1" applyAlignment="1">
      <alignment horizontal="left"/>
    </xf>
    <xf numFmtId="164" fontId="4" fillId="0" borderId="0" xfId="1" applyNumberFormat="1" applyFont="1"/>
    <xf numFmtId="164" fontId="2" fillId="0" borderId="2" xfId="1" applyNumberFormat="1" applyFont="1" applyBorder="1"/>
    <xf numFmtId="164" fontId="2" fillId="0" borderId="0" xfId="1" applyNumberFormat="1" applyFont="1" applyBorder="1"/>
    <xf numFmtId="38" fontId="2" fillId="0" borderId="0" xfId="0" applyNumberFormat="1" applyFont="1" applyFill="1"/>
    <xf numFmtId="164" fontId="2" fillId="0" borderId="0" xfId="1" applyNumberFormat="1" applyFont="1" applyFill="1" applyBorder="1"/>
    <xf numFmtId="164" fontId="0" fillId="0" borderId="0" xfId="0" applyNumberFormat="1"/>
    <xf numFmtId="38" fontId="2" fillId="0" borderId="0" xfId="0" applyNumberFormat="1" applyFont="1"/>
    <xf numFmtId="3" fontId="2" fillId="0" borderId="0" xfId="0" applyNumberFormat="1" applyFont="1"/>
    <xf numFmtId="164" fontId="4" fillId="0" borderId="3" xfId="1" applyNumberFormat="1" applyFont="1" applyBorder="1"/>
    <xf numFmtId="164" fontId="4" fillId="0" borderId="0" xfId="1" applyNumberFormat="1" applyFont="1" applyBorder="1"/>
    <xf numFmtId="164" fontId="2" fillId="0" borderId="0" xfId="1" quotePrefix="1" applyNumberFormat="1" applyFont="1" applyAlignment="1">
      <alignment horizontal="left"/>
    </xf>
    <xf numFmtId="164" fontId="0" fillId="0" borderId="0" xfId="1" applyNumberFormat="1" applyFont="1"/>
    <xf numFmtId="0" fontId="2" fillId="2" borderId="0" xfId="0" applyFont="1" applyFill="1"/>
    <xf numFmtId="0" fontId="0" fillId="2" borderId="0" xfId="0" applyFill="1"/>
    <xf numFmtId="164" fontId="2" fillId="2" borderId="0" xfId="1" applyNumberFormat="1" applyFont="1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164" fontId="0" fillId="0" borderId="0" xfId="1" applyNumberFormat="1" applyFont="1" applyBorder="1"/>
    <xf numFmtId="1" fontId="0" fillId="0" borderId="0" xfId="0" applyNumberForma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 applyFill="1"/>
    <xf numFmtId="0" fontId="3" fillId="0" borderId="0" xfId="0" quotePrefix="1" applyFont="1" applyAlignment="1">
      <alignment horizontal="center"/>
    </xf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2" borderId="1" xfId="1" applyNumberFormat="1" applyFont="1" applyFill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9" fontId="0" fillId="2" borderId="1" xfId="2" applyFont="1" applyFill="1" applyBorder="1"/>
    <xf numFmtId="164" fontId="0" fillId="0" borderId="1" xfId="1" applyNumberFormat="1" applyFont="1" applyFill="1" applyBorder="1"/>
    <xf numFmtId="164" fontId="2" fillId="0" borderId="0" xfId="1" applyNumberFormat="1" applyFont="1" applyAlignment="1">
      <alignment horizontal="right"/>
    </xf>
    <xf numFmtId="164" fontId="0" fillId="0" borderId="3" xfId="1" applyNumberFormat="1" applyFont="1" applyBorder="1"/>
    <xf numFmtId="0" fontId="2" fillId="0" borderId="0" xfId="0" applyFont="1" applyAlignment="1">
      <alignment horizontal="right"/>
    </xf>
    <xf numFmtId="0" fontId="0" fillId="2" borderId="1" xfId="0" applyFill="1" applyBorder="1"/>
    <xf numFmtId="164" fontId="0" fillId="2" borderId="4" xfId="1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/>
    <xf numFmtId="9" fontId="0" fillId="0" borderId="0" xfId="2" applyFont="1" applyFill="1" applyBorder="1"/>
    <xf numFmtId="0" fontId="0" fillId="0" borderId="0" xfId="0" applyFill="1" applyBorder="1"/>
    <xf numFmtId="0" fontId="3" fillId="0" borderId="0" xfId="0" applyFont="1" applyFill="1"/>
    <xf numFmtId="164" fontId="2" fillId="0" borderId="1" xfId="1" applyNumberFormat="1" applyFont="1" applyFill="1" applyBorder="1"/>
    <xf numFmtId="164" fontId="0" fillId="2" borderId="0" xfId="1" applyNumberFormat="1" applyFont="1" applyFill="1"/>
    <xf numFmtId="0" fontId="1" fillId="0" borderId="0" xfId="0" applyFont="1"/>
    <xf numFmtId="0" fontId="1" fillId="0" borderId="0" xfId="0" applyFont="1" applyFill="1"/>
    <xf numFmtId="0" fontId="0" fillId="0" borderId="0" xfId="0" quotePrefix="1"/>
    <xf numFmtId="0" fontId="4" fillId="0" borderId="0" xfId="0" applyFont="1" applyAlignment="1">
      <alignment horizontal="center"/>
    </xf>
    <xf numFmtId="0" fontId="2" fillId="0" borderId="0" xfId="0" quotePrefix="1" applyFont="1"/>
    <xf numFmtId="166" fontId="0" fillId="0" borderId="0" xfId="1" applyNumberFormat="1" applyFont="1" applyFill="1"/>
    <xf numFmtId="43" fontId="2" fillId="0" borderId="0" xfId="1" applyNumberFormat="1" applyFont="1" applyBorder="1"/>
    <xf numFmtId="164" fontId="1" fillId="0" borderId="0" xfId="1" applyNumberFormat="1" applyFont="1"/>
    <xf numFmtId="0" fontId="5" fillId="0" borderId="0" xfId="0" applyFont="1"/>
    <xf numFmtId="0" fontId="2" fillId="0" borderId="0" xfId="0" applyFont="1" applyBorder="1"/>
    <xf numFmtId="3" fontId="2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164" fontId="4" fillId="0" borderId="3" xfId="1" applyNumberFormat="1" applyFont="1" applyFill="1" applyBorder="1"/>
    <xf numFmtId="0" fontId="4" fillId="2" borderId="0" xfId="0" applyFont="1" applyFill="1"/>
    <xf numFmtId="0" fontId="2" fillId="2" borderId="0" xfId="1" applyNumberFormat="1" applyFont="1" applyFill="1"/>
    <xf numFmtId="0" fontId="0" fillId="0" borderId="0" xfId="0" applyNumberFormat="1"/>
    <xf numFmtId="0" fontId="2" fillId="2" borderId="0" xfId="0" applyNumberFormat="1" applyFont="1" applyFill="1"/>
    <xf numFmtId="0" fontId="2" fillId="0" borderId="0" xfId="0" applyNumberFormat="1" applyFont="1" applyFill="1"/>
    <xf numFmtId="164" fontId="1" fillId="0" borderId="0" xfId="1" applyNumberFormat="1" applyFont="1" applyFill="1" applyAlignment="1">
      <alignment horizontal="left"/>
    </xf>
    <xf numFmtId="164" fontId="1" fillId="0" borderId="0" xfId="0" applyNumberFormat="1" applyFont="1"/>
    <xf numFmtId="9" fontId="1" fillId="0" borderId="0" xfId="2" applyFont="1" applyFill="1"/>
    <xf numFmtId="164" fontId="0" fillId="3" borderId="3" xfId="1" applyNumberFormat="1" applyFont="1" applyFill="1" applyBorder="1"/>
    <xf numFmtId="0" fontId="2" fillId="3" borderId="0" xfId="0" quotePrefix="1" applyFont="1" applyFill="1"/>
    <xf numFmtId="0" fontId="0" fillId="3" borderId="0" xfId="0" applyFill="1"/>
    <xf numFmtId="164" fontId="0" fillId="3" borderId="0" xfId="1" applyNumberFormat="1" applyFont="1" applyFill="1"/>
    <xf numFmtId="0" fontId="0" fillId="3" borderId="0" xfId="0" quotePrefix="1" applyFill="1"/>
    <xf numFmtId="164" fontId="0" fillId="3" borderId="0" xfId="1" applyNumberFormat="1" applyFont="1" applyFill="1" applyBorder="1"/>
    <xf numFmtId="164" fontId="4" fillId="0" borderId="3" xfId="0" applyNumberFormat="1" applyFont="1" applyBorder="1"/>
    <xf numFmtId="9" fontId="4" fillId="0" borderId="3" xfId="2" applyFont="1" applyBorder="1"/>
    <xf numFmtId="0" fontId="3" fillId="0" borderId="0" xfId="1" applyNumberFormat="1" applyFont="1"/>
    <xf numFmtId="43" fontId="0" fillId="3" borderId="3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112</xdr:row>
      <xdr:rowOff>114300</xdr:rowOff>
    </xdr:from>
    <xdr:to>
      <xdr:col>14</xdr:col>
      <xdr:colOff>0</xdr:colOff>
      <xdr:row>114</xdr:row>
      <xdr:rowOff>38100</xdr:rowOff>
    </xdr:to>
    <xdr:sp macro="" textlink="">
      <xdr:nvSpPr>
        <xdr:cNvPr id="2" name="Oval 1"/>
        <xdr:cNvSpPr/>
      </xdr:nvSpPr>
      <xdr:spPr>
        <a:xfrm>
          <a:off x="6315075" y="19535775"/>
          <a:ext cx="657225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13</xdr:col>
      <xdr:colOff>180975</xdr:colOff>
      <xdr:row>133</xdr:row>
      <xdr:rowOff>104775</xdr:rowOff>
    </xdr:from>
    <xdr:to>
      <xdr:col>13</xdr:col>
      <xdr:colOff>800100</xdr:colOff>
      <xdr:row>135</xdr:row>
      <xdr:rowOff>38100</xdr:rowOff>
    </xdr:to>
    <xdr:sp macro="" textlink="">
      <xdr:nvSpPr>
        <xdr:cNvPr id="3" name="Oval 2"/>
        <xdr:cNvSpPr/>
      </xdr:nvSpPr>
      <xdr:spPr>
        <a:xfrm>
          <a:off x="6334125" y="21631275"/>
          <a:ext cx="619125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13</xdr:col>
      <xdr:colOff>190500</xdr:colOff>
      <xdr:row>89</xdr:row>
      <xdr:rowOff>133350</xdr:rowOff>
    </xdr:from>
    <xdr:to>
      <xdr:col>13</xdr:col>
      <xdr:colOff>693420</xdr:colOff>
      <xdr:row>91</xdr:row>
      <xdr:rowOff>22860</xdr:rowOff>
    </xdr:to>
    <xdr:sp macro="" textlink="">
      <xdr:nvSpPr>
        <xdr:cNvPr id="4" name="Oval 3"/>
        <xdr:cNvSpPr/>
      </xdr:nvSpPr>
      <xdr:spPr>
        <a:xfrm>
          <a:off x="6606540" y="15121890"/>
          <a:ext cx="502920" cy="2247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15</xdr:col>
      <xdr:colOff>15240</xdr:colOff>
      <xdr:row>29</xdr:row>
      <xdr:rowOff>137160</xdr:rowOff>
    </xdr:from>
    <xdr:to>
      <xdr:col>16</xdr:col>
      <xdr:colOff>99060</xdr:colOff>
      <xdr:row>31</xdr:row>
      <xdr:rowOff>30480</xdr:rowOff>
    </xdr:to>
    <xdr:sp macro="" textlink="">
      <xdr:nvSpPr>
        <xdr:cNvPr id="5" name="Oval 4"/>
        <xdr:cNvSpPr/>
      </xdr:nvSpPr>
      <xdr:spPr>
        <a:xfrm>
          <a:off x="7284720" y="4991100"/>
          <a:ext cx="70866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38100</xdr:colOff>
      <xdr:row>29</xdr:row>
      <xdr:rowOff>137160</xdr:rowOff>
    </xdr:from>
    <xdr:to>
      <xdr:col>18</xdr:col>
      <xdr:colOff>83820</xdr:colOff>
      <xdr:row>31</xdr:row>
      <xdr:rowOff>30480</xdr:rowOff>
    </xdr:to>
    <xdr:sp macro="" textlink="">
      <xdr:nvSpPr>
        <xdr:cNvPr id="6" name="Oval 5"/>
        <xdr:cNvSpPr/>
      </xdr:nvSpPr>
      <xdr:spPr>
        <a:xfrm>
          <a:off x="8069580" y="4991100"/>
          <a:ext cx="70866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45720</xdr:colOff>
      <xdr:row>29</xdr:row>
      <xdr:rowOff>121920</xdr:rowOff>
    </xdr:from>
    <xdr:to>
      <xdr:col>20</xdr:col>
      <xdr:colOff>114300</xdr:colOff>
      <xdr:row>31</xdr:row>
      <xdr:rowOff>15240</xdr:rowOff>
    </xdr:to>
    <xdr:sp macro="" textlink="">
      <xdr:nvSpPr>
        <xdr:cNvPr id="7" name="Oval 6"/>
        <xdr:cNvSpPr/>
      </xdr:nvSpPr>
      <xdr:spPr>
        <a:xfrm>
          <a:off x="8869680" y="4975860"/>
          <a:ext cx="70866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114300</xdr:colOff>
      <xdr:row>61</xdr:row>
      <xdr:rowOff>144780</xdr:rowOff>
    </xdr:from>
    <xdr:to>
      <xdr:col>6</xdr:col>
      <xdr:colOff>45720</xdr:colOff>
      <xdr:row>63</xdr:row>
      <xdr:rowOff>30480</xdr:rowOff>
    </xdr:to>
    <xdr:sp macro="" textlink="">
      <xdr:nvSpPr>
        <xdr:cNvPr id="8" name="Oval 7"/>
        <xdr:cNvSpPr/>
      </xdr:nvSpPr>
      <xdr:spPr>
        <a:xfrm>
          <a:off x="2766060" y="10393680"/>
          <a:ext cx="70866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144780</xdr:colOff>
      <xdr:row>66</xdr:row>
      <xdr:rowOff>167640</xdr:rowOff>
    </xdr:from>
    <xdr:to>
      <xdr:col>6</xdr:col>
      <xdr:colOff>76200</xdr:colOff>
      <xdr:row>68</xdr:row>
      <xdr:rowOff>45720</xdr:rowOff>
    </xdr:to>
    <xdr:sp macro="" textlink="">
      <xdr:nvSpPr>
        <xdr:cNvPr id="9" name="Oval 8"/>
        <xdr:cNvSpPr/>
      </xdr:nvSpPr>
      <xdr:spPr>
        <a:xfrm>
          <a:off x="2796540" y="11277600"/>
          <a:ext cx="70866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38</xdr:row>
      <xdr:rowOff>0</xdr:rowOff>
    </xdr:from>
    <xdr:to>
      <xdr:col>16</xdr:col>
      <xdr:colOff>83820</xdr:colOff>
      <xdr:row>39</xdr:row>
      <xdr:rowOff>53340</xdr:rowOff>
    </xdr:to>
    <xdr:sp macro="" textlink="">
      <xdr:nvSpPr>
        <xdr:cNvPr id="10" name="Oval 9"/>
        <xdr:cNvSpPr/>
      </xdr:nvSpPr>
      <xdr:spPr>
        <a:xfrm>
          <a:off x="7269480" y="6362700"/>
          <a:ext cx="70866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0</xdr:colOff>
      <xdr:row>60</xdr:row>
      <xdr:rowOff>0</xdr:rowOff>
    </xdr:from>
    <xdr:to>
      <xdr:col>16</xdr:col>
      <xdr:colOff>83820</xdr:colOff>
      <xdr:row>61</xdr:row>
      <xdr:rowOff>60960</xdr:rowOff>
    </xdr:to>
    <xdr:sp macro="" textlink="">
      <xdr:nvSpPr>
        <xdr:cNvPr id="11" name="Oval 10"/>
        <xdr:cNvSpPr/>
      </xdr:nvSpPr>
      <xdr:spPr>
        <a:xfrm>
          <a:off x="7269480" y="10081260"/>
          <a:ext cx="70866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23</xdr:row>
      <xdr:rowOff>152400</xdr:rowOff>
    </xdr:from>
    <xdr:to>
      <xdr:col>9</xdr:col>
      <xdr:colOff>19050</xdr:colOff>
      <xdr:row>25</xdr:row>
      <xdr:rowOff>0</xdr:rowOff>
    </xdr:to>
    <xdr:sp macro="" textlink="">
      <xdr:nvSpPr>
        <xdr:cNvPr id="2" name="Oval 1"/>
        <xdr:cNvSpPr/>
      </xdr:nvSpPr>
      <xdr:spPr>
        <a:xfrm>
          <a:off x="4381500" y="4038600"/>
          <a:ext cx="514350" cy="1714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merball/Documents/Palmer/BUDGET/CURRENT/Financial%20Statements/Current/Monthly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Endowment Earnings"/>
      <sheetName val="BS Comb"/>
      <sheetName val="BS Comp"/>
      <sheetName val="Proposed"/>
      <sheetName val="Net Tuition Revenue"/>
      <sheetName val="Cost Effectiveness"/>
      <sheetName val="Restricted Donations"/>
      <sheetName val="AG"/>
      <sheetName val="FIF-UPF-SPF"/>
      <sheetName val="Campaign"/>
      <sheetName val="Year End Summary"/>
      <sheetName val="Annual Report"/>
      <sheetName val="BOT Summary"/>
      <sheetName val="Salary Line Item Detail"/>
      <sheetName val="Potential Cu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4"/>
  <sheetViews>
    <sheetView zoomScaleNormal="100" workbookViewId="0">
      <pane ySplit="14" topLeftCell="A108" activePane="bottomLeft" state="frozen"/>
      <selection pane="bottomLeft" activeCell="A3" sqref="A3"/>
    </sheetView>
  </sheetViews>
  <sheetFormatPr defaultRowHeight="13.2" x14ac:dyDescent="0.25"/>
  <cols>
    <col min="1" max="1" width="3.5546875" customWidth="1"/>
    <col min="2" max="2" width="2.88671875" customWidth="1"/>
    <col min="3" max="3" width="10.88671875" customWidth="1"/>
    <col min="5" max="5" width="10.5546875" customWidth="1"/>
    <col min="6" max="6" width="2.6640625" customWidth="1"/>
    <col min="7" max="7" width="11.109375" style="31" customWidth="1"/>
    <col min="8" max="8" width="2.109375" style="31" customWidth="1"/>
    <col min="9" max="9" width="13.33203125" style="31" customWidth="1"/>
    <col min="10" max="10" width="2.6640625" style="31" customWidth="1"/>
    <col min="11" max="11" width="10.6640625" style="31" customWidth="1"/>
    <col min="12" max="12" width="2.88671875" style="31" customWidth="1"/>
    <col min="13" max="13" width="11.5546875" style="31" customWidth="1"/>
    <col min="14" max="14" width="3" customWidth="1"/>
    <col min="15" max="15" width="6.88671875" customWidth="1"/>
    <col min="16" max="16" width="2.6640625" customWidth="1"/>
    <col min="17" max="17" width="10.44140625" customWidth="1"/>
    <col min="18" max="18" width="2.6640625" customWidth="1"/>
    <col min="19" max="19" width="5.5546875" customWidth="1"/>
    <col min="20" max="20" width="10.33203125" bestFit="1" customWidth="1"/>
    <col min="21" max="21" width="2.6640625" customWidth="1"/>
    <col min="22" max="22" width="6.88671875" customWidth="1"/>
    <col min="23" max="23" width="9.6640625" bestFit="1" customWidth="1"/>
    <col min="24" max="24" width="4.5546875" customWidth="1"/>
    <col min="25" max="25" width="6.6640625" customWidth="1"/>
    <col min="26" max="26" width="12" customWidth="1"/>
    <col min="27" max="27" width="10.6640625" customWidth="1"/>
  </cols>
  <sheetData>
    <row r="1" spans="1:24" x14ac:dyDescent="0.25">
      <c r="A1" s="33" t="s">
        <v>139</v>
      </c>
      <c r="B1" s="33"/>
      <c r="C1" s="33"/>
      <c r="Q1" s="81" t="s">
        <v>100</v>
      </c>
      <c r="R1" s="33"/>
      <c r="S1" s="33"/>
      <c r="T1" s="33"/>
      <c r="U1" s="33"/>
    </row>
    <row r="2" spans="1:24" x14ac:dyDescent="0.25">
      <c r="A2" s="32" t="s">
        <v>195</v>
      </c>
      <c r="B2" s="32"/>
      <c r="C2" s="32"/>
      <c r="D2" s="33"/>
      <c r="E2" s="33"/>
      <c r="F2" s="33"/>
      <c r="G2" s="86" t="s">
        <v>183</v>
      </c>
      <c r="H2" s="61"/>
      <c r="I2" s="61"/>
      <c r="J2" s="61"/>
      <c r="K2" s="61"/>
      <c r="L2" s="61"/>
      <c r="M2" s="61"/>
      <c r="N2" s="14"/>
      <c r="O2" s="14"/>
    </row>
    <row r="3" spans="1:24" x14ac:dyDescent="0.25">
      <c r="A3" s="1"/>
      <c r="B3" s="1"/>
      <c r="C3" s="1"/>
      <c r="G3" s="61"/>
      <c r="H3" s="61"/>
      <c r="I3" s="61"/>
      <c r="J3" s="61"/>
      <c r="K3" s="61"/>
      <c r="L3" s="61"/>
      <c r="M3" s="61"/>
      <c r="N3" s="14"/>
      <c r="O3" s="14"/>
    </row>
    <row r="4" spans="1:24" x14ac:dyDescent="0.25">
      <c r="A4" s="20" t="s">
        <v>129</v>
      </c>
      <c r="B4" s="1"/>
      <c r="C4" s="1"/>
    </row>
    <row r="5" spans="1:24" x14ac:dyDescent="0.25">
      <c r="A5" s="20" t="s">
        <v>130</v>
      </c>
      <c r="B5" s="1"/>
      <c r="C5" s="1"/>
    </row>
    <row r="6" spans="1:24" x14ac:dyDescent="0.25">
      <c r="A6" s="20"/>
      <c r="B6" s="1"/>
      <c r="M6" s="7" t="s">
        <v>53</v>
      </c>
    </row>
    <row r="7" spans="1:24" x14ac:dyDescent="0.25">
      <c r="B7" s="1"/>
      <c r="G7" s="48" t="s">
        <v>0</v>
      </c>
      <c r="H7" s="51"/>
      <c r="I7" s="48" t="s">
        <v>1</v>
      </c>
      <c r="J7" s="51"/>
      <c r="K7" s="48" t="s">
        <v>2</v>
      </c>
      <c r="M7" s="9" t="s">
        <v>52</v>
      </c>
    </row>
    <row r="8" spans="1:24" x14ac:dyDescent="0.25">
      <c r="B8" s="1"/>
      <c r="G8" s="52"/>
      <c r="H8" s="51"/>
      <c r="I8" s="52"/>
      <c r="J8" s="51"/>
      <c r="K8" s="52"/>
      <c r="M8" s="10"/>
    </row>
    <row r="9" spans="1:24" x14ac:dyDescent="0.25">
      <c r="A9" s="67" t="s">
        <v>115</v>
      </c>
      <c r="B9" s="82" t="s">
        <v>73</v>
      </c>
      <c r="C9" s="34"/>
      <c r="D9" s="34"/>
      <c r="E9" s="34"/>
      <c r="G9" s="50">
        <f>ROUND(M9*($G$44/$G$68),0)</f>
        <v>0</v>
      </c>
      <c r="H9" s="4"/>
      <c r="I9" s="50">
        <f>ROUND(M9*($G$55/$G$68),0)</f>
        <v>0</v>
      </c>
      <c r="J9" s="4"/>
      <c r="K9" s="50">
        <f>ROUND(M9*($G$66/$G$68),0)</f>
        <v>0</v>
      </c>
      <c r="L9" s="4"/>
      <c r="M9" s="49">
        <v>0</v>
      </c>
    </row>
    <row r="10" spans="1:24" x14ac:dyDescent="0.25">
      <c r="A10" s="67" t="s">
        <v>116</v>
      </c>
      <c r="B10" s="82" t="s">
        <v>85</v>
      </c>
      <c r="C10" s="34"/>
      <c r="D10" s="34"/>
      <c r="E10" s="34"/>
      <c r="G10" s="50">
        <f>ROUND(M10*(($M$32+$O$32)/($M$68+$O$68)),0)</f>
        <v>0</v>
      </c>
      <c r="H10" s="4"/>
      <c r="I10" s="50">
        <f>ROUND(M10*(($M$47+$O$47)/($M$68+$O$68)),0)</f>
        <v>0</v>
      </c>
      <c r="J10" s="4"/>
      <c r="K10" s="50">
        <f>ROUND(M10*(($M$58+$O$58)/($M$68+$O$68)),0)</f>
        <v>0</v>
      </c>
      <c r="L10" s="4"/>
      <c r="M10" s="49">
        <v>0</v>
      </c>
    </row>
    <row r="11" spans="1:24" x14ac:dyDescent="0.25">
      <c r="A11" s="67" t="s">
        <v>117</v>
      </c>
      <c r="B11" s="82" t="s">
        <v>55</v>
      </c>
      <c r="C11" s="34"/>
      <c r="D11" s="34"/>
      <c r="E11" s="34"/>
      <c r="G11" s="50">
        <f>ROUND(M11*($Q$32/$Q$68),0)</f>
        <v>0</v>
      </c>
      <c r="H11" s="4"/>
      <c r="I11" s="50">
        <f>ROUND(M11*($Q$47/$Q$68),0)</f>
        <v>0</v>
      </c>
      <c r="J11" s="4"/>
      <c r="K11" s="50">
        <f>ROUND(M11*($Q$58/$Q$68),0)</f>
        <v>0</v>
      </c>
      <c r="L11" s="4"/>
      <c r="M11" s="49">
        <v>0</v>
      </c>
    </row>
    <row r="12" spans="1:24" x14ac:dyDescent="0.25">
      <c r="A12" s="67" t="s">
        <v>118</v>
      </c>
      <c r="B12" s="82" t="s">
        <v>74</v>
      </c>
      <c r="C12" s="33"/>
      <c r="D12" s="33"/>
      <c r="E12" s="33"/>
      <c r="G12" s="46">
        <f>M12*Q12</f>
        <v>0</v>
      </c>
      <c r="I12" s="46">
        <f>M12*T12</f>
        <v>0</v>
      </c>
      <c r="K12" s="46">
        <f>M12*W12</f>
        <v>0</v>
      </c>
      <c r="M12" s="49">
        <v>0</v>
      </c>
      <c r="O12" s="1" t="s">
        <v>76</v>
      </c>
      <c r="Q12" s="53"/>
      <c r="R12" s="38"/>
      <c r="S12" s="1" t="s">
        <v>77</v>
      </c>
      <c r="T12" s="53"/>
      <c r="U12" s="38"/>
      <c r="V12" s="1" t="s">
        <v>78</v>
      </c>
      <c r="W12" s="53"/>
      <c r="X12" s="43" t="s">
        <v>82</v>
      </c>
    </row>
    <row r="13" spans="1:24" x14ac:dyDescent="0.25">
      <c r="A13" s="67" t="s">
        <v>119</v>
      </c>
      <c r="B13" s="82" t="s">
        <v>75</v>
      </c>
      <c r="C13" s="33"/>
      <c r="D13" s="33"/>
      <c r="E13" s="33"/>
      <c r="G13" s="50">
        <f>Q13</f>
        <v>0</v>
      </c>
      <c r="H13" s="4"/>
      <c r="I13" s="50">
        <f>T13</f>
        <v>0</v>
      </c>
      <c r="J13" s="4"/>
      <c r="K13" s="50">
        <f>W13</f>
        <v>0</v>
      </c>
      <c r="M13" s="54">
        <f>Q13+T13+W13</f>
        <v>0</v>
      </c>
      <c r="O13" s="1" t="s">
        <v>79</v>
      </c>
      <c r="Q13" s="49"/>
      <c r="R13" s="38"/>
      <c r="S13" s="1" t="s">
        <v>80</v>
      </c>
      <c r="T13" s="49"/>
      <c r="U13" s="38"/>
      <c r="V13" s="1" t="s">
        <v>81</v>
      </c>
      <c r="W13" s="49"/>
      <c r="X13" s="43" t="s">
        <v>83</v>
      </c>
    </row>
    <row r="14" spans="1:24" x14ac:dyDescent="0.25">
      <c r="A14" s="1"/>
      <c r="B14" s="1"/>
      <c r="C14" s="1"/>
    </row>
    <row r="15" spans="1:24" x14ac:dyDescent="0.25">
      <c r="A15" s="18" t="s">
        <v>93</v>
      </c>
    </row>
    <row r="16" spans="1:24" x14ac:dyDescent="0.25">
      <c r="A16" s="18"/>
      <c r="B16" s="97" t="s">
        <v>94</v>
      </c>
    </row>
    <row r="17" spans="1:20" x14ac:dyDescent="0.25">
      <c r="B17" s="43" t="s">
        <v>96</v>
      </c>
    </row>
    <row r="18" spans="1:20" x14ac:dyDescent="0.25">
      <c r="B18" s="43" t="s">
        <v>97</v>
      </c>
    </row>
    <row r="19" spans="1:20" x14ac:dyDescent="0.25">
      <c r="C19" s="43" t="s">
        <v>95</v>
      </c>
    </row>
    <row r="20" spans="1:20" x14ac:dyDescent="0.25">
      <c r="C20" s="43" t="s">
        <v>98</v>
      </c>
    </row>
    <row r="21" spans="1:20" x14ac:dyDescent="0.25">
      <c r="C21" s="43" t="s">
        <v>99</v>
      </c>
    </row>
    <row r="22" spans="1:20" x14ac:dyDescent="0.25">
      <c r="B22" s="43" t="s">
        <v>165</v>
      </c>
      <c r="C22" s="43"/>
    </row>
    <row r="23" spans="1:20" x14ac:dyDescent="0.25">
      <c r="B23" s="43"/>
      <c r="C23" s="43"/>
    </row>
    <row r="24" spans="1:20" x14ac:dyDescent="0.25">
      <c r="A24" s="43" t="s">
        <v>179</v>
      </c>
      <c r="B24" s="43"/>
      <c r="C24" s="43"/>
    </row>
    <row r="25" spans="1:20" x14ac:dyDescent="0.25">
      <c r="B25" s="43" t="s">
        <v>166</v>
      </c>
      <c r="C25" s="43"/>
    </row>
    <row r="26" spans="1:20" x14ac:dyDescent="0.25">
      <c r="B26" s="43"/>
      <c r="C26" s="43"/>
    </row>
    <row r="27" spans="1:20" x14ac:dyDescent="0.25">
      <c r="A27" s="2"/>
      <c r="B27" s="3"/>
      <c r="C27" s="2"/>
      <c r="O27" s="8" t="s">
        <v>41</v>
      </c>
    </row>
    <row r="28" spans="1:20" x14ac:dyDescent="0.25">
      <c r="A28" s="44" t="s">
        <v>48</v>
      </c>
      <c r="B28" s="3"/>
      <c r="C28" s="2"/>
      <c r="O28" s="8" t="s">
        <v>43</v>
      </c>
    </row>
    <row r="29" spans="1:20" x14ac:dyDescent="0.25">
      <c r="K29" s="51" t="s">
        <v>4</v>
      </c>
      <c r="M29" s="7" t="s">
        <v>41</v>
      </c>
      <c r="O29" t="s">
        <v>175</v>
      </c>
      <c r="Q29" s="35" t="s">
        <v>46</v>
      </c>
      <c r="T29" s="35" t="s">
        <v>122</v>
      </c>
    </row>
    <row r="30" spans="1:20" x14ac:dyDescent="0.25">
      <c r="E30" s="11" t="s">
        <v>39</v>
      </c>
      <c r="F30" s="35"/>
      <c r="G30" s="9" t="s">
        <v>38</v>
      </c>
      <c r="H30" s="51"/>
      <c r="I30" s="9" t="s">
        <v>40</v>
      </c>
      <c r="K30" s="48" t="s">
        <v>40</v>
      </c>
      <c r="M30" s="9" t="s">
        <v>42</v>
      </c>
      <c r="O30" s="11" t="s">
        <v>44</v>
      </c>
      <c r="Q30" s="37" t="s">
        <v>47</v>
      </c>
      <c r="T30" s="37" t="s">
        <v>123</v>
      </c>
    </row>
    <row r="32" spans="1:20" x14ac:dyDescent="0.25">
      <c r="B32" s="18" t="s">
        <v>31</v>
      </c>
      <c r="E32" s="58" t="s">
        <v>101</v>
      </c>
      <c r="G32" s="49">
        <v>8</v>
      </c>
      <c r="I32" s="49">
        <v>12925</v>
      </c>
      <c r="K32" s="54">
        <f>G32*I32</f>
        <v>103400</v>
      </c>
      <c r="M32" s="49">
        <f>13+(3/3)</f>
        <v>14</v>
      </c>
      <c r="O32" s="49">
        <f>2+1</f>
        <v>3</v>
      </c>
      <c r="Q32" s="49">
        <f>22512+(8456/3)</f>
        <v>25330.666666666668</v>
      </c>
      <c r="T32" s="58">
        <v>7</v>
      </c>
    </row>
    <row r="33" spans="2:22" x14ac:dyDescent="0.25">
      <c r="E33" s="58" t="s">
        <v>68</v>
      </c>
      <c r="G33" s="49">
        <v>7</v>
      </c>
      <c r="I33" s="49">
        <v>16995</v>
      </c>
      <c r="K33" s="54">
        <f t="shared" ref="K33:K37" si="0">G33*I33</f>
        <v>118965</v>
      </c>
      <c r="Q33" s="31"/>
    </row>
    <row r="34" spans="2:22" x14ac:dyDescent="0.25">
      <c r="E34" s="58" t="s">
        <v>56</v>
      </c>
      <c r="G34" s="49">
        <v>12</v>
      </c>
      <c r="I34" s="49">
        <v>21185</v>
      </c>
      <c r="K34" s="54">
        <f>G34*I34</f>
        <v>254220</v>
      </c>
      <c r="Q34" s="31"/>
    </row>
    <row r="35" spans="2:22" x14ac:dyDescent="0.25">
      <c r="E35" s="58" t="s">
        <v>57</v>
      </c>
      <c r="G35" s="49">
        <v>12</v>
      </c>
      <c r="I35" s="49">
        <v>21185</v>
      </c>
      <c r="K35" s="54">
        <f t="shared" si="0"/>
        <v>254220</v>
      </c>
      <c r="Q35" s="31"/>
    </row>
    <row r="36" spans="2:22" x14ac:dyDescent="0.25">
      <c r="E36" s="58" t="s">
        <v>58</v>
      </c>
      <c r="G36" s="49">
        <v>12</v>
      </c>
      <c r="I36" s="49">
        <v>21185</v>
      </c>
      <c r="K36" s="54">
        <f t="shared" si="0"/>
        <v>254220</v>
      </c>
      <c r="Q36" s="31"/>
    </row>
    <row r="37" spans="2:22" x14ac:dyDescent="0.25">
      <c r="E37" s="58" t="s">
        <v>59</v>
      </c>
      <c r="G37" s="49">
        <v>13</v>
      </c>
      <c r="I37" s="49">
        <v>23370</v>
      </c>
      <c r="K37" s="54">
        <f t="shared" si="0"/>
        <v>303810</v>
      </c>
      <c r="Q37" s="31"/>
    </row>
    <row r="38" spans="2:22" x14ac:dyDescent="0.25">
      <c r="E38" s="58" t="s">
        <v>60</v>
      </c>
      <c r="G38" s="49">
        <v>18</v>
      </c>
      <c r="I38" s="49">
        <v>23370</v>
      </c>
      <c r="K38" s="54">
        <f>G38*I38</f>
        <v>420660</v>
      </c>
      <c r="Q38" s="31"/>
    </row>
    <row r="39" spans="2:22" x14ac:dyDescent="0.25">
      <c r="E39" s="58"/>
      <c r="G39" s="49"/>
      <c r="I39" s="49"/>
      <c r="K39" s="54">
        <f t="shared" ref="K39:K41" si="1">G39*I39</f>
        <v>0</v>
      </c>
      <c r="Q39" s="31"/>
    </row>
    <row r="40" spans="2:22" x14ac:dyDescent="0.25">
      <c r="E40" s="58"/>
      <c r="G40" s="49"/>
      <c r="I40" s="49"/>
      <c r="K40" s="54">
        <f t="shared" si="1"/>
        <v>0</v>
      </c>
      <c r="Q40" s="31"/>
    </row>
    <row r="41" spans="2:22" x14ac:dyDescent="0.25">
      <c r="B41" s="25"/>
      <c r="E41" s="58"/>
      <c r="G41" s="49"/>
      <c r="I41" s="49"/>
      <c r="K41" s="54">
        <f t="shared" si="1"/>
        <v>0</v>
      </c>
      <c r="Q41" s="31"/>
    </row>
    <row r="42" spans="2:22" x14ac:dyDescent="0.25">
      <c r="B42" s="25"/>
      <c r="C42" s="43" t="s">
        <v>69</v>
      </c>
      <c r="E42" s="38"/>
      <c r="G42" s="39"/>
      <c r="I42" s="39"/>
      <c r="K42" s="59">
        <v>0</v>
      </c>
      <c r="Q42" s="31"/>
    </row>
    <row r="43" spans="2:22" x14ac:dyDescent="0.25">
      <c r="B43" s="25"/>
      <c r="E43" s="38"/>
      <c r="G43" s="39"/>
      <c r="I43" s="39"/>
      <c r="Q43" s="31"/>
    </row>
    <row r="44" spans="2:22" ht="13.8" thickBot="1" x14ac:dyDescent="0.3">
      <c r="B44" s="25"/>
      <c r="C44" s="18" t="s">
        <v>70</v>
      </c>
      <c r="E44" s="38"/>
      <c r="G44" s="47">
        <f>SUM(G31:G43)</f>
        <v>82</v>
      </c>
      <c r="I44" s="39"/>
      <c r="K44" s="47">
        <f>SUM(K31:K43)</f>
        <v>1709495</v>
      </c>
      <c r="M44" s="89">
        <f>(K44+Q86)/G44</f>
        <v>16573.731707317074</v>
      </c>
      <c r="N44" s="90" t="s">
        <v>132</v>
      </c>
      <c r="O44" s="91"/>
      <c r="P44" s="91"/>
      <c r="Q44" s="92"/>
      <c r="R44" s="91"/>
      <c r="S44" s="91"/>
      <c r="T44" s="91"/>
      <c r="U44" s="91"/>
      <c r="V44" s="91"/>
    </row>
    <row r="45" spans="2:22" ht="13.8" thickTop="1" x14ac:dyDescent="0.25">
      <c r="B45" s="25"/>
      <c r="E45" s="38"/>
      <c r="G45" s="39"/>
      <c r="I45" s="39"/>
      <c r="Q45" s="31"/>
    </row>
    <row r="46" spans="2:22" x14ac:dyDescent="0.25">
      <c r="Q46" s="31"/>
    </row>
    <row r="47" spans="2:22" x14ac:dyDescent="0.25">
      <c r="B47" s="18" t="s">
        <v>32</v>
      </c>
      <c r="E47" s="58" t="s">
        <v>61</v>
      </c>
      <c r="G47" s="49">
        <v>28</v>
      </c>
      <c r="I47" s="49">
        <v>24750</v>
      </c>
      <c r="K47" s="54">
        <f>G47*I47</f>
        <v>693000</v>
      </c>
      <c r="M47" s="49">
        <f>5+(3/3)</f>
        <v>6</v>
      </c>
      <c r="O47" s="49">
        <v>1</v>
      </c>
      <c r="Q47" s="49">
        <f>23929+(15305/2)+(8456/3)</f>
        <v>34400.166666666664</v>
      </c>
    </row>
    <row r="48" spans="2:22" x14ac:dyDescent="0.25">
      <c r="E48" s="58" t="s">
        <v>62</v>
      </c>
      <c r="G48" s="49">
        <v>20</v>
      </c>
      <c r="I48" s="49">
        <v>24750</v>
      </c>
      <c r="K48" s="54">
        <f>G48*I48</f>
        <v>495000</v>
      </c>
      <c r="Q48" s="31"/>
    </row>
    <row r="49" spans="2:22" x14ac:dyDescent="0.25">
      <c r="E49" s="58" t="s">
        <v>63</v>
      </c>
      <c r="G49" s="49">
        <v>34</v>
      </c>
      <c r="I49" s="49">
        <v>24750</v>
      </c>
      <c r="K49" s="54">
        <f>G49*I49</f>
        <v>841500</v>
      </c>
      <c r="Q49" s="31"/>
    </row>
    <row r="50" spans="2:22" x14ac:dyDescent="0.25">
      <c r="E50" s="58"/>
      <c r="G50" s="49"/>
      <c r="I50" s="49"/>
      <c r="K50" s="54">
        <f t="shared" ref="K50:K52" si="2">G50*I50</f>
        <v>0</v>
      </c>
      <c r="Q50" s="31"/>
    </row>
    <row r="51" spans="2:22" x14ac:dyDescent="0.25">
      <c r="E51" s="58"/>
      <c r="G51" s="49"/>
      <c r="I51" s="49"/>
      <c r="K51" s="54">
        <f t="shared" si="2"/>
        <v>0</v>
      </c>
      <c r="Q51" s="31"/>
    </row>
    <row r="52" spans="2:22" x14ac:dyDescent="0.25">
      <c r="E52" s="58"/>
      <c r="G52" s="49"/>
      <c r="I52" s="49"/>
      <c r="K52" s="54">
        <f t="shared" si="2"/>
        <v>0</v>
      </c>
      <c r="Q52" s="31"/>
    </row>
    <row r="53" spans="2:22" x14ac:dyDescent="0.25">
      <c r="C53" s="43" t="s">
        <v>69</v>
      </c>
      <c r="E53" s="38"/>
      <c r="G53" s="39"/>
      <c r="I53" s="39"/>
      <c r="K53" s="59">
        <v>0</v>
      </c>
      <c r="Q53" s="31"/>
    </row>
    <row r="54" spans="2:22" x14ac:dyDescent="0.25">
      <c r="E54" s="38"/>
      <c r="G54" s="39"/>
      <c r="I54" s="39"/>
      <c r="Q54" s="31"/>
    </row>
    <row r="55" spans="2:22" ht="13.8" thickBot="1" x14ac:dyDescent="0.3">
      <c r="C55" s="18" t="s">
        <v>71</v>
      </c>
      <c r="E55" s="38"/>
      <c r="G55" s="47">
        <f>SUM(G46:G54)</f>
        <v>82</v>
      </c>
      <c r="I55" s="39"/>
      <c r="K55" s="47">
        <f>SUM(K46:K54)</f>
        <v>2029500</v>
      </c>
      <c r="M55" s="98">
        <f>(K55+T86)/G55</f>
        <v>21578.195121951219</v>
      </c>
      <c r="N55" s="90" t="s">
        <v>133</v>
      </c>
      <c r="O55" s="91"/>
      <c r="P55" s="91"/>
      <c r="Q55" s="92"/>
      <c r="R55" s="91"/>
      <c r="S55" s="91"/>
      <c r="T55" s="91"/>
      <c r="U55" s="91"/>
      <c r="V55" s="91"/>
    </row>
    <row r="56" spans="2:22" ht="13.8" thickTop="1" x14ac:dyDescent="0.25">
      <c r="C56" s="18"/>
      <c r="E56" s="38"/>
      <c r="G56" s="39"/>
      <c r="I56" s="39"/>
      <c r="K56" s="39"/>
      <c r="Q56" s="31"/>
    </row>
    <row r="57" spans="2:22" x14ac:dyDescent="0.25">
      <c r="Q57" s="31"/>
    </row>
    <row r="58" spans="2:22" x14ac:dyDescent="0.25">
      <c r="B58" s="18" t="s">
        <v>33</v>
      </c>
      <c r="E58" s="58" t="s">
        <v>64</v>
      </c>
      <c r="G58" s="49">
        <v>42</v>
      </c>
      <c r="I58" s="49">
        <v>25750</v>
      </c>
      <c r="K58" s="54">
        <f>G58*I58</f>
        <v>1081500</v>
      </c>
      <c r="M58" s="49">
        <f>21+(3/3)</f>
        <v>22</v>
      </c>
      <c r="O58" s="58">
        <f>3+1</f>
        <v>4</v>
      </c>
      <c r="Q58" s="49">
        <f>26451+(15305/2)+(8456/3)</f>
        <v>36922.166666666664</v>
      </c>
    </row>
    <row r="59" spans="2:22" x14ac:dyDescent="0.25">
      <c r="E59" s="58" t="s">
        <v>65</v>
      </c>
      <c r="G59" s="49">
        <v>37</v>
      </c>
      <c r="I59" s="49">
        <v>25750</v>
      </c>
      <c r="K59" s="54">
        <f>G59*I59</f>
        <v>952750</v>
      </c>
    </row>
    <row r="60" spans="2:22" x14ac:dyDescent="0.25">
      <c r="E60" s="58" t="s">
        <v>66</v>
      </c>
      <c r="G60" s="49">
        <v>41</v>
      </c>
      <c r="I60" s="49">
        <v>25885</v>
      </c>
      <c r="K60" s="54">
        <f>G60*I60</f>
        <v>1061285</v>
      </c>
    </row>
    <row r="61" spans="2:22" x14ac:dyDescent="0.25">
      <c r="E61" s="58" t="s">
        <v>67</v>
      </c>
      <c r="G61" s="49">
        <v>37</v>
      </c>
      <c r="I61" s="49">
        <v>25885</v>
      </c>
      <c r="K61" s="54">
        <f>G61*I61</f>
        <v>957745</v>
      </c>
    </row>
    <row r="62" spans="2:22" x14ac:dyDescent="0.25">
      <c r="E62" s="58"/>
      <c r="G62" s="49"/>
      <c r="I62" s="49"/>
      <c r="K62" s="54">
        <f t="shared" ref="K62:K63" si="3">G62*I62</f>
        <v>0</v>
      </c>
    </row>
    <row r="63" spans="2:22" x14ac:dyDescent="0.25">
      <c r="E63" s="58"/>
      <c r="G63" s="49"/>
      <c r="I63" s="49"/>
      <c r="K63" s="54">
        <f t="shared" si="3"/>
        <v>0</v>
      </c>
    </row>
    <row r="64" spans="2:22" x14ac:dyDescent="0.25">
      <c r="C64" s="43" t="s">
        <v>69</v>
      </c>
      <c r="E64" s="38"/>
      <c r="G64" s="39"/>
      <c r="I64" s="39"/>
      <c r="K64" s="59">
        <f>7828140-7792275</f>
        <v>35865</v>
      </c>
    </row>
    <row r="65" spans="1:24" x14ac:dyDescent="0.25">
      <c r="E65" s="38"/>
      <c r="G65" s="39"/>
      <c r="I65" s="39"/>
    </row>
    <row r="66" spans="1:24" ht="13.8" thickBot="1" x14ac:dyDescent="0.3">
      <c r="C66" s="18" t="s">
        <v>72</v>
      </c>
      <c r="E66" s="38"/>
      <c r="G66" s="47">
        <f>SUM(G57:G65)</f>
        <v>157</v>
      </c>
      <c r="I66" s="39"/>
      <c r="K66" s="47">
        <f>SUM(K57:K65)</f>
        <v>4089145</v>
      </c>
      <c r="M66" s="89">
        <f>(K66+W86)/G66</f>
        <v>20218.121019108279</v>
      </c>
      <c r="N66" s="90" t="s">
        <v>134</v>
      </c>
      <c r="O66" s="91"/>
      <c r="P66" s="91"/>
      <c r="Q66" s="91"/>
      <c r="R66" s="91"/>
      <c r="S66" s="91"/>
      <c r="T66" s="91"/>
      <c r="U66" s="91"/>
      <c r="V66" s="91"/>
    </row>
    <row r="67" spans="1:24" ht="13.8" thickTop="1" x14ac:dyDescent="0.25">
      <c r="C67" s="18"/>
      <c r="E67" s="38"/>
      <c r="G67" s="39"/>
      <c r="I67" s="39"/>
      <c r="K67" s="39"/>
      <c r="M67" s="39"/>
      <c r="N67" s="69"/>
    </row>
    <row r="68" spans="1:24" ht="13.8" thickBot="1" x14ac:dyDescent="0.3">
      <c r="B68" s="1" t="s">
        <v>4</v>
      </c>
      <c r="G68" s="47">
        <f>G44+G55+G66</f>
        <v>321</v>
      </c>
      <c r="K68" s="47">
        <f>K44+K55+K66</f>
        <v>7828140</v>
      </c>
      <c r="M68" s="47">
        <f>M32+M47+M58</f>
        <v>42</v>
      </c>
      <c r="O68" s="47">
        <f>O32+O47+O58</f>
        <v>8</v>
      </c>
      <c r="Q68" s="47">
        <f>Q32+Q47+Q58</f>
        <v>96653</v>
      </c>
    </row>
    <row r="69" spans="1:24" ht="13.8" thickTop="1" x14ac:dyDescent="0.25">
      <c r="B69" s="1"/>
      <c r="G69" s="39"/>
      <c r="K69" s="39"/>
      <c r="M69" s="39"/>
      <c r="O69" s="39"/>
      <c r="Q69" s="39"/>
    </row>
    <row r="70" spans="1:24" ht="13.8" thickBot="1" x14ac:dyDescent="0.3">
      <c r="B70" s="1"/>
      <c r="G70" s="39"/>
      <c r="K70" s="98">
        <f>(K68+M86)/G68</f>
        <v>19634.58878504673</v>
      </c>
      <c r="L70" s="93" t="s">
        <v>137</v>
      </c>
      <c r="M70" s="91"/>
      <c r="N70" s="91"/>
      <c r="O70" s="91"/>
      <c r="P70" s="91"/>
      <c r="Q70" s="94"/>
      <c r="R70" s="91"/>
      <c r="S70" s="91"/>
      <c r="T70" s="91"/>
    </row>
    <row r="71" spans="1:24" ht="13.8" thickTop="1" x14ac:dyDescent="0.25"/>
    <row r="72" spans="1:24" x14ac:dyDescent="0.25">
      <c r="A72" s="18" t="s">
        <v>45</v>
      </c>
      <c r="B72" s="43"/>
    </row>
    <row r="73" spans="1:24" x14ac:dyDescent="0.25">
      <c r="M73" s="7" t="s">
        <v>53</v>
      </c>
      <c r="N73" s="42"/>
    </row>
    <row r="74" spans="1:24" x14ac:dyDescent="0.25">
      <c r="G74" s="48" t="s">
        <v>0</v>
      </c>
      <c r="H74" s="51"/>
      <c r="I74" s="48" t="s">
        <v>1</v>
      </c>
      <c r="J74" s="51"/>
      <c r="K74" s="48" t="s">
        <v>2</v>
      </c>
      <c r="M74" s="9" t="s">
        <v>52</v>
      </c>
      <c r="N74" s="45"/>
    </row>
    <row r="75" spans="1:24" x14ac:dyDescent="0.25">
      <c r="G75" s="52"/>
      <c r="H75" s="51"/>
      <c r="I75" s="52"/>
      <c r="J75" s="51"/>
      <c r="K75" s="52"/>
      <c r="M75" s="10"/>
      <c r="N75" s="45"/>
    </row>
    <row r="76" spans="1:24" x14ac:dyDescent="0.25">
      <c r="A76" s="67"/>
      <c r="B76" s="6" t="s">
        <v>12</v>
      </c>
      <c r="C76" s="14"/>
      <c r="D76" s="14"/>
      <c r="G76" s="52">
        <f>K44</f>
        <v>1709495</v>
      </c>
      <c r="H76" s="51"/>
      <c r="I76" s="52">
        <f>K55</f>
        <v>2029500</v>
      </c>
      <c r="J76" s="51"/>
      <c r="K76" s="52">
        <f>K66</f>
        <v>4089145</v>
      </c>
      <c r="M76" s="54">
        <f>SUM(F76:L76)</f>
        <v>7828140</v>
      </c>
      <c r="N76" s="45"/>
    </row>
    <row r="77" spans="1:24" x14ac:dyDescent="0.25">
      <c r="A77" s="67"/>
    </row>
    <row r="78" spans="1:24" x14ac:dyDescent="0.25">
      <c r="A78" s="67" t="s">
        <v>118</v>
      </c>
      <c r="B78" s="82" t="s">
        <v>102</v>
      </c>
      <c r="C78" s="33"/>
      <c r="D78" s="33"/>
      <c r="G78" s="46">
        <f>M78*Q78</f>
        <v>16136.300000000001</v>
      </c>
      <c r="I78" s="46">
        <f>M78*T78-0.4</f>
        <v>48408.5</v>
      </c>
      <c r="K78" s="46">
        <f>M78*W78-0.6</f>
        <v>96817.2</v>
      </c>
      <c r="M78" s="49">
        <v>161363</v>
      </c>
      <c r="O78" s="1" t="s">
        <v>76</v>
      </c>
      <c r="Q78" s="53">
        <v>0.1</v>
      </c>
      <c r="R78" s="38"/>
      <c r="S78" s="1" t="s">
        <v>77</v>
      </c>
      <c r="T78" s="53">
        <v>0.3</v>
      </c>
      <c r="U78" s="38"/>
      <c r="V78" s="1" t="s">
        <v>78</v>
      </c>
      <c r="W78" s="53">
        <v>0.6</v>
      </c>
      <c r="X78" s="43" t="s">
        <v>82</v>
      </c>
    </row>
    <row r="79" spans="1:24" x14ac:dyDescent="0.25">
      <c r="A79" s="67"/>
      <c r="B79" s="83"/>
    </row>
    <row r="80" spans="1:24" x14ac:dyDescent="0.25">
      <c r="A80" s="67" t="s">
        <v>119</v>
      </c>
      <c r="B80" s="82" t="s">
        <v>103</v>
      </c>
      <c r="C80" s="33"/>
      <c r="D80" s="33"/>
      <c r="G80" s="50">
        <f>Q80</f>
        <v>38843</v>
      </c>
      <c r="H80" s="4"/>
      <c r="I80" s="50">
        <f>T80</f>
        <v>28956</v>
      </c>
      <c r="J80" s="4"/>
      <c r="K80" s="50">
        <f>W80</f>
        <v>25861</v>
      </c>
      <c r="M80" s="54">
        <f>Q80+T80+W80</f>
        <v>93660</v>
      </c>
      <c r="O80" s="1" t="s">
        <v>79</v>
      </c>
      <c r="Q80" s="49">
        <f>38844-1</f>
        <v>38843</v>
      </c>
      <c r="R80" s="38"/>
      <c r="S80" s="1" t="s">
        <v>80</v>
      </c>
      <c r="T80" s="49">
        <v>28956</v>
      </c>
      <c r="U80" s="38"/>
      <c r="V80" s="1" t="s">
        <v>81</v>
      </c>
      <c r="W80" s="49">
        <v>25861</v>
      </c>
      <c r="X80" s="43" t="s">
        <v>83</v>
      </c>
    </row>
    <row r="81" spans="1:25" x14ac:dyDescent="0.25">
      <c r="A81" s="67"/>
      <c r="B81" s="83"/>
    </row>
    <row r="82" spans="1:25" x14ac:dyDescent="0.25">
      <c r="A82" s="67" t="s">
        <v>115</v>
      </c>
      <c r="B82" s="84" t="s">
        <v>104</v>
      </c>
      <c r="C82" s="33"/>
      <c r="D82" s="33"/>
      <c r="G82" s="50">
        <f>ROUND(M82*($G$44/$G$68),0)</f>
        <v>6546</v>
      </c>
      <c r="H82" s="4"/>
      <c r="I82" s="50">
        <f>ROUND(M82*($G$55/$G$68),0)</f>
        <v>6546</v>
      </c>
      <c r="J82" s="4"/>
      <c r="K82" s="50">
        <f>ROUND(M82*($G$66/$G$68),0)</f>
        <v>12533</v>
      </c>
      <c r="L82" s="4"/>
      <c r="M82" s="49">
        <v>25624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67"/>
      <c r="B83" s="83"/>
    </row>
    <row r="84" spans="1:25" x14ac:dyDescent="0.25">
      <c r="A84" s="67" t="s">
        <v>119</v>
      </c>
      <c r="B84" s="82" t="s">
        <v>105</v>
      </c>
      <c r="C84" s="33"/>
      <c r="D84" s="33"/>
      <c r="G84" s="50">
        <f>Q84</f>
        <v>87314</v>
      </c>
      <c r="H84" s="4"/>
      <c r="I84" s="50">
        <f>T84</f>
        <v>125534</v>
      </c>
      <c r="J84" s="4"/>
      <c r="K84" s="50">
        <f>W84</f>
        <v>309043</v>
      </c>
      <c r="M84" s="54">
        <f>Q84+T84+W84</f>
        <v>521891</v>
      </c>
      <c r="O84" s="1" t="s">
        <v>79</v>
      </c>
      <c r="Q84" s="49">
        <v>87314</v>
      </c>
      <c r="R84" s="38"/>
      <c r="S84" s="1" t="s">
        <v>80</v>
      </c>
      <c r="T84" s="49">
        <v>125534</v>
      </c>
      <c r="U84" s="38"/>
      <c r="V84" s="1" t="s">
        <v>81</v>
      </c>
      <c r="W84" s="49">
        <v>309043</v>
      </c>
      <c r="X84" s="43" t="s">
        <v>83</v>
      </c>
    </row>
    <row r="85" spans="1:25" x14ac:dyDescent="0.25">
      <c r="A85" s="67"/>
    </row>
    <row r="86" spans="1:25" x14ac:dyDescent="0.25">
      <c r="A86" s="67" t="s">
        <v>119</v>
      </c>
      <c r="B86" s="32" t="s">
        <v>131</v>
      </c>
      <c r="C86" s="33"/>
      <c r="D86" s="33"/>
      <c r="G86" s="65">
        <f>Q86</f>
        <v>-350449</v>
      </c>
      <c r="H86" s="2"/>
      <c r="I86" s="65">
        <f>T86</f>
        <v>-260088</v>
      </c>
      <c r="J86" s="2"/>
      <c r="K86" s="65">
        <f>W86</f>
        <v>-914900</v>
      </c>
      <c r="L86" s="61"/>
      <c r="M86" s="54">
        <f>Q86+T86+W86</f>
        <v>-1525437</v>
      </c>
      <c r="O86" s="1" t="s">
        <v>79</v>
      </c>
      <c r="Q86" s="49">
        <v>-350449</v>
      </c>
      <c r="R86" s="38"/>
      <c r="S86" s="1" t="s">
        <v>80</v>
      </c>
      <c r="T86" s="49">
        <v>-260088</v>
      </c>
      <c r="U86" s="38"/>
      <c r="V86" s="1" t="s">
        <v>81</v>
      </c>
      <c r="W86" s="49">
        <v>-914900</v>
      </c>
      <c r="X86" s="43" t="s">
        <v>83</v>
      </c>
    </row>
    <row r="87" spans="1:25" x14ac:dyDescent="0.25">
      <c r="A87" s="67"/>
    </row>
    <row r="89" spans="1:25" ht="13.8" thickBot="1" x14ac:dyDescent="0.3">
      <c r="K89" s="55" t="s">
        <v>84</v>
      </c>
      <c r="M89" s="47">
        <f>SUM(M75:M88)</f>
        <v>7105241</v>
      </c>
    </row>
    <row r="90" spans="1:25" ht="13.8" thickTop="1" x14ac:dyDescent="0.25">
      <c r="M90" s="31">
        <f>M89-'Cost Effectiveness'!L28</f>
        <v>0</v>
      </c>
    </row>
    <row r="92" spans="1:25" x14ac:dyDescent="0.25">
      <c r="A92" s="18" t="s">
        <v>14</v>
      </c>
    </row>
    <row r="94" spans="1:25" x14ac:dyDescent="0.25">
      <c r="A94" s="67" t="s">
        <v>119</v>
      </c>
      <c r="B94" s="32" t="s">
        <v>15</v>
      </c>
      <c r="C94" s="33"/>
      <c r="D94" s="33"/>
      <c r="G94" s="50">
        <f>Q94</f>
        <v>646377.66666666663</v>
      </c>
      <c r="H94" s="4"/>
      <c r="I94" s="50">
        <f>T94</f>
        <v>287624.66666666669</v>
      </c>
      <c r="J94" s="4"/>
      <c r="K94" s="50">
        <f>W94</f>
        <v>970554.66666666663</v>
      </c>
      <c r="M94" s="54">
        <f>SUM(F94:L94)</f>
        <v>1904557</v>
      </c>
      <c r="O94" s="1" t="s">
        <v>79</v>
      </c>
      <c r="Q94" s="49">
        <f>597610+(146303/3)</f>
        <v>646377.66666666663</v>
      </c>
      <c r="R94" s="38"/>
      <c r="S94" s="1" t="s">
        <v>80</v>
      </c>
      <c r="T94" s="49">
        <f>238857+(146303/3)</f>
        <v>287624.66666666669</v>
      </c>
      <c r="U94" s="38"/>
      <c r="V94" s="1" t="s">
        <v>81</v>
      </c>
      <c r="W94" s="49">
        <f>921787+(146303/3)</f>
        <v>970554.66666666663</v>
      </c>
      <c r="X94" s="43" t="s">
        <v>83</v>
      </c>
    </row>
    <row r="95" spans="1:25" x14ac:dyDescent="0.25">
      <c r="A95" s="67"/>
    </row>
    <row r="96" spans="1:25" x14ac:dyDescent="0.25">
      <c r="A96" s="67" t="s">
        <v>115</v>
      </c>
      <c r="B96" s="32" t="s">
        <v>173</v>
      </c>
      <c r="C96" s="33"/>
      <c r="D96" s="33"/>
      <c r="G96" s="65">
        <f>ROUND(M96*($G$44/$G$68),0)</f>
        <v>57127</v>
      </c>
      <c r="H96" s="2"/>
      <c r="I96" s="65">
        <f>ROUND(M96*($G$55/$G$68),0)</f>
        <v>57127</v>
      </c>
      <c r="J96" s="2"/>
      <c r="K96" s="65">
        <f>ROUND(M96*($G$66/$G$68),0)</f>
        <v>109378</v>
      </c>
      <c r="L96" s="2"/>
      <c r="M96" s="49">
        <f>76508+50000+(50144+17454+17244+12282)</f>
        <v>223632</v>
      </c>
      <c r="O96" s="43" t="s">
        <v>194</v>
      </c>
    </row>
    <row r="97" spans="1:25" x14ac:dyDescent="0.25">
      <c r="A97" s="67"/>
    </row>
    <row r="98" spans="1:25" x14ac:dyDescent="0.25">
      <c r="A98" s="67" t="s">
        <v>119</v>
      </c>
      <c r="B98" s="32" t="s">
        <v>174</v>
      </c>
      <c r="C98" s="33"/>
      <c r="D98" s="33"/>
      <c r="G98" s="50">
        <f>Q98</f>
        <v>104623</v>
      </c>
      <c r="H98" s="4"/>
      <c r="I98" s="50">
        <f>T98</f>
        <v>97737</v>
      </c>
      <c r="J98" s="4"/>
      <c r="K98" s="50">
        <f>W98</f>
        <v>196666</v>
      </c>
      <c r="M98" s="54">
        <f>SUM(F98:L98)</f>
        <v>399026</v>
      </c>
      <c r="O98" s="1" t="s">
        <v>79</v>
      </c>
      <c r="Q98" s="49">
        <f>+(22996/2)+40722+52403</f>
        <v>104623</v>
      </c>
      <c r="R98" s="38"/>
      <c r="S98" s="1" t="s">
        <v>80</v>
      </c>
      <c r="T98" s="49">
        <f>+(22996/2)+(87638)/2+42420</f>
        <v>97737</v>
      </c>
      <c r="U98" s="38"/>
      <c r="V98" s="1" t="s">
        <v>81</v>
      </c>
      <c r="W98" s="49">
        <f>+(87638)/2+51000+46833+55014</f>
        <v>196666</v>
      </c>
      <c r="X98" s="43" t="s">
        <v>83</v>
      </c>
    </row>
    <row r="99" spans="1:25" x14ac:dyDescent="0.25">
      <c r="A99" s="67"/>
    </row>
    <row r="100" spans="1:25" x14ac:dyDescent="0.25">
      <c r="A100" s="67"/>
      <c r="I100" s="55" t="s">
        <v>49</v>
      </c>
      <c r="K100" s="49">
        <f>198266+155506+215858+51538+42250+39684+5000+8567</f>
        <v>716669</v>
      </c>
      <c r="M100" s="20" t="s">
        <v>176</v>
      </c>
    </row>
    <row r="101" spans="1:25" x14ac:dyDescent="0.25">
      <c r="A101" s="67"/>
      <c r="B101" s="6"/>
      <c r="C101" s="14"/>
      <c r="D101" s="14"/>
      <c r="K101" s="31">
        <f>K100-M102-M115</f>
        <v>0.17633573891362175</v>
      </c>
    </row>
    <row r="102" spans="1:25" x14ac:dyDescent="0.25">
      <c r="A102" s="67"/>
      <c r="B102" s="2" t="s">
        <v>16</v>
      </c>
      <c r="C102" s="14"/>
      <c r="D102" s="14"/>
      <c r="G102" s="46">
        <f>$K$100*(SUM(M93:M99)/(SUM(M93:M99)+M112)*(SUM(G93:G99)/SUM(M93:M99)))</f>
        <v>142501.78920541733</v>
      </c>
      <c r="I102" s="46">
        <f>$K$100*(SUM(M93:M99)/(SUM(M93:M99)+M112)*(SUM(I93:I99)/SUM(M93:M99)))</f>
        <v>78026.565979615654</v>
      </c>
      <c r="K102" s="46">
        <f>$K$100*(SUM(M93:M99)/(SUM(M93:M99)+M112)*(SUM(K93:K99)/SUM(M93:M99)))</f>
        <v>225109.96913101204</v>
      </c>
      <c r="M102" s="54">
        <f>SUM(F102:L102)</f>
        <v>445638.32431604504</v>
      </c>
      <c r="O102" s="43" t="s">
        <v>86</v>
      </c>
    </row>
    <row r="103" spans="1:25" x14ac:dyDescent="0.25">
      <c r="A103" s="67"/>
      <c r="O103" s="18" t="s">
        <v>87</v>
      </c>
    </row>
    <row r="104" spans="1:25" x14ac:dyDescent="0.25">
      <c r="A104" s="67" t="s">
        <v>119</v>
      </c>
      <c r="B104" s="32" t="s">
        <v>110</v>
      </c>
      <c r="C104" s="33"/>
      <c r="D104" s="33"/>
      <c r="G104" s="50">
        <f>Q104</f>
        <v>75401</v>
      </c>
      <c r="H104" s="4"/>
      <c r="I104" s="50">
        <f>T104</f>
        <v>54586</v>
      </c>
      <c r="J104" s="4"/>
      <c r="K104" s="50">
        <f>W104</f>
        <v>65118</v>
      </c>
      <c r="M104" s="54">
        <f>Q104+T104+W104</f>
        <v>195105</v>
      </c>
      <c r="O104" s="1" t="s">
        <v>79</v>
      </c>
      <c r="Q104" s="49">
        <v>75401</v>
      </c>
      <c r="R104" s="38"/>
      <c r="S104" s="1" t="s">
        <v>80</v>
      </c>
      <c r="T104" s="49">
        <v>54586</v>
      </c>
      <c r="U104" s="38"/>
      <c r="V104" s="1" t="s">
        <v>81</v>
      </c>
      <c r="W104" s="49">
        <v>65118</v>
      </c>
      <c r="X104" s="43" t="s">
        <v>83</v>
      </c>
    </row>
    <row r="105" spans="1:25" x14ac:dyDescent="0.25">
      <c r="A105" s="67"/>
    </row>
    <row r="106" spans="1:25" x14ac:dyDescent="0.25">
      <c r="A106" s="67" t="s">
        <v>118</v>
      </c>
      <c r="B106" s="32" t="s">
        <v>17</v>
      </c>
      <c r="C106" s="33"/>
      <c r="D106" s="33"/>
      <c r="G106" s="46">
        <f>M106*Q106</f>
        <v>0</v>
      </c>
      <c r="I106" s="46">
        <f>M106*T106</f>
        <v>54579</v>
      </c>
      <c r="K106" s="46">
        <f>M106*W106</f>
        <v>127350.99999999999</v>
      </c>
      <c r="M106" s="49">
        <v>181930</v>
      </c>
      <c r="O106" s="1" t="s">
        <v>76</v>
      </c>
      <c r="Q106" s="53"/>
      <c r="R106" s="38"/>
      <c r="S106" s="1" t="s">
        <v>77</v>
      </c>
      <c r="T106" s="53">
        <v>0.3</v>
      </c>
      <c r="U106" s="38"/>
      <c r="V106" s="1" t="s">
        <v>78</v>
      </c>
      <c r="W106" s="53">
        <v>0.7</v>
      </c>
      <c r="X106" s="43" t="s">
        <v>82</v>
      </c>
    </row>
    <row r="107" spans="1:25" s="14" customFormat="1" x14ac:dyDescent="0.25">
      <c r="A107" s="68"/>
      <c r="B107" s="6"/>
      <c r="G107" s="60"/>
      <c r="H107" s="61"/>
      <c r="I107" s="60"/>
      <c r="J107" s="61"/>
      <c r="K107" s="60"/>
      <c r="L107" s="61"/>
      <c r="M107" s="60"/>
      <c r="O107" s="6"/>
      <c r="Q107" s="62"/>
      <c r="R107" s="63"/>
      <c r="S107" s="6"/>
      <c r="T107" s="62"/>
      <c r="U107" s="63"/>
      <c r="V107" s="6"/>
      <c r="W107" s="62"/>
      <c r="X107" s="64"/>
    </row>
    <row r="108" spans="1:25" s="14" customFormat="1" x14ac:dyDescent="0.25">
      <c r="A108" s="68" t="s">
        <v>115</v>
      </c>
      <c r="B108" s="82" t="s">
        <v>108</v>
      </c>
      <c r="C108" s="34"/>
      <c r="D108" s="34"/>
      <c r="E108"/>
      <c r="F108"/>
      <c r="G108" s="50">
        <f>ROUND(M108*($G$44/$G$68),0)</f>
        <v>2328</v>
      </c>
      <c r="H108" s="4"/>
      <c r="I108" s="50">
        <f>ROUND(M108*($G$55/$G$68),0)</f>
        <v>2328</v>
      </c>
      <c r="J108" s="4"/>
      <c r="K108" s="50">
        <f>ROUND(M108*($G$66/$G$68),0)</f>
        <v>4458</v>
      </c>
      <c r="L108" s="4"/>
      <c r="M108" s="49">
        <v>9115</v>
      </c>
      <c r="Q108"/>
      <c r="R108"/>
      <c r="S108"/>
      <c r="T108"/>
      <c r="U108"/>
      <c r="V108"/>
      <c r="W108"/>
      <c r="X108"/>
      <c r="Y108"/>
    </row>
    <row r="110" spans="1:25" x14ac:dyDescent="0.25">
      <c r="A110" s="18" t="s">
        <v>19</v>
      </c>
    </row>
    <row r="112" spans="1:25" x14ac:dyDescent="0.25">
      <c r="A112" s="67" t="s">
        <v>115</v>
      </c>
      <c r="B112" s="32" t="s">
        <v>20</v>
      </c>
      <c r="C112" s="33"/>
      <c r="D112" s="33"/>
      <c r="G112" s="50">
        <f>ROUND((M112-SUM(G113:K113))*($G$44/$G$68),0)+G113</f>
        <v>426436</v>
      </c>
      <c r="H112" s="4"/>
      <c r="I112" s="50">
        <f>ROUND((M112-SUM(G113:K113))*($G$55/$G$68),0)+I113</f>
        <v>401842.5</v>
      </c>
      <c r="J112" s="4"/>
      <c r="K112" s="50">
        <f>ROUND((M112-SUM(G113:K113))*($G$66/$G$68),0)+K113</f>
        <v>708735.5</v>
      </c>
      <c r="L112" s="4"/>
      <c r="M112" s="49">
        <v>1537015</v>
      </c>
      <c r="O112" s="43" t="s">
        <v>88</v>
      </c>
      <c r="X112" s="43"/>
    </row>
    <row r="113" spans="1:24" x14ac:dyDescent="0.25">
      <c r="A113" s="67"/>
      <c r="C113" s="14" t="s">
        <v>54</v>
      </c>
      <c r="D113" s="14"/>
      <c r="G113" s="49">
        <v>90900</v>
      </c>
      <c r="I113" s="49">
        <f>132613/2</f>
        <v>66306.5</v>
      </c>
      <c r="K113" s="49">
        <f>132613/2</f>
        <v>66306.5</v>
      </c>
      <c r="O113" s="43" t="s">
        <v>89</v>
      </c>
    </row>
    <row r="114" spans="1:24" x14ac:dyDescent="0.25">
      <c r="A114" s="67"/>
    </row>
    <row r="115" spans="1:24" x14ac:dyDescent="0.25">
      <c r="A115" s="67"/>
      <c r="B115" s="2" t="s">
        <v>21</v>
      </c>
      <c r="C115" s="14"/>
      <c r="D115" s="14"/>
      <c r="G115" s="46">
        <f>$K$100*(M112/(SUM(M93:M99)+M112)*(G112/M112))</f>
        <v>75195.90714206628</v>
      </c>
      <c r="I115" s="46">
        <f>$K$100*(M112/(SUM(M93:M99)+M112)*(I112/M112))</f>
        <v>70859.194148092021</v>
      </c>
      <c r="K115" s="46">
        <f>$K$100*(M112/(SUM(M93:M99)+M112)*(K112/M112))</f>
        <v>124975.39805805775</v>
      </c>
      <c r="M115" s="54">
        <f>SUM(F115:L115)</f>
        <v>271030.49934821605</v>
      </c>
      <c r="O115" s="43" t="s">
        <v>86</v>
      </c>
    </row>
    <row r="116" spans="1:24" x14ac:dyDescent="0.25">
      <c r="A116" s="67"/>
      <c r="O116" s="18" t="s">
        <v>87</v>
      </c>
    </row>
    <row r="117" spans="1:24" x14ac:dyDescent="0.25">
      <c r="A117" s="67" t="s">
        <v>115</v>
      </c>
      <c r="B117" s="32" t="s">
        <v>112</v>
      </c>
      <c r="C117" s="33"/>
      <c r="D117" s="33"/>
      <c r="G117" s="50">
        <f>ROUND(M117*($G$44/$G$68),0)</f>
        <v>36766</v>
      </c>
      <c r="H117" s="4"/>
      <c r="I117" s="50">
        <f>ROUND(M117*($G$55/$G$68),0)</f>
        <v>36766</v>
      </c>
      <c r="J117" s="4"/>
      <c r="K117" s="50">
        <f>ROUND(M117*($G$66/$G$68),0)</f>
        <v>70393</v>
      </c>
      <c r="L117" s="4"/>
      <c r="M117" s="49">
        <v>143924</v>
      </c>
      <c r="O117" s="18"/>
    </row>
    <row r="118" spans="1:24" x14ac:dyDescent="0.25">
      <c r="A118" s="67"/>
      <c r="O118" s="18"/>
    </row>
    <row r="119" spans="1:24" x14ac:dyDescent="0.25">
      <c r="A119" s="67" t="s">
        <v>115</v>
      </c>
      <c r="B119" s="32" t="s">
        <v>113</v>
      </c>
      <c r="C119" s="33"/>
      <c r="D119" s="33"/>
      <c r="G119" s="50">
        <f>ROUND(M119*($G$44/$G$68),0)</f>
        <v>12899</v>
      </c>
      <c r="H119" s="4"/>
      <c r="I119" s="50">
        <f>ROUND(M119*($G$55/$G$68),0)</f>
        <v>12899</v>
      </c>
      <c r="J119" s="4"/>
      <c r="K119" s="50">
        <f>ROUND(M119*($G$66/$G$68),0)</f>
        <v>24696</v>
      </c>
      <c r="L119" s="4"/>
      <c r="M119" s="49">
        <v>50494</v>
      </c>
      <c r="O119" s="18"/>
    </row>
    <row r="120" spans="1:24" x14ac:dyDescent="0.25">
      <c r="A120" s="67"/>
      <c r="O120" s="18"/>
    </row>
    <row r="121" spans="1:24" x14ac:dyDescent="0.25">
      <c r="A121" s="67" t="s">
        <v>115</v>
      </c>
      <c r="B121" s="32" t="s">
        <v>114</v>
      </c>
      <c r="C121" s="33"/>
      <c r="D121" s="33"/>
      <c r="G121" s="50">
        <f>ROUND(M121*($G$44/$G$68),0)</f>
        <v>10820</v>
      </c>
      <c r="H121" s="4"/>
      <c r="I121" s="50">
        <f>ROUND(M121*($G$55/$G$68),0)</f>
        <v>10820</v>
      </c>
      <c r="J121" s="4"/>
      <c r="K121" s="50">
        <f>ROUND(M121*($G$66/$G$68),0)</f>
        <v>20717</v>
      </c>
      <c r="L121" s="4"/>
      <c r="M121" s="49">
        <v>42357</v>
      </c>
    </row>
    <row r="122" spans="1:24" x14ac:dyDescent="0.25">
      <c r="A122" s="67"/>
    </row>
    <row r="123" spans="1:24" x14ac:dyDescent="0.25">
      <c r="A123" s="67" t="s">
        <v>115</v>
      </c>
      <c r="B123" s="32" t="s">
        <v>50</v>
      </c>
      <c r="C123" s="33"/>
      <c r="D123" s="33"/>
      <c r="G123" s="50">
        <f>ROUND(M123*($G$44/$G$68),0)</f>
        <v>68829</v>
      </c>
      <c r="H123" s="4"/>
      <c r="I123" s="50">
        <f>ROUND(M123*($G$55/$G$68),0)</f>
        <v>68829</v>
      </c>
      <c r="J123" s="4"/>
      <c r="K123" s="50">
        <f>ROUND(M123*($G$66/$G$68),0)</f>
        <v>131782</v>
      </c>
      <c r="L123" s="4"/>
      <c r="M123" s="49">
        <v>269440</v>
      </c>
    </row>
    <row r="124" spans="1:24" x14ac:dyDescent="0.25">
      <c r="A124" s="67"/>
    </row>
    <row r="125" spans="1:24" x14ac:dyDescent="0.25">
      <c r="A125" s="67" t="s">
        <v>115</v>
      </c>
      <c r="B125" s="82" t="s">
        <v>106</v>
      </c>
      <c r="C125" s="34"/>
      <c r="D125" s="34"/>
      <c r="G125" s="50">
        <f>ROUND(M125*($G$44/$G$68),0)</f>
        <v>7299</v>
      </c>
      <c r="H125" s="4"/>
      <c r="I125" s="50">
        <f>ROUND(M125*($G$55/$G$68),0)</f>
        <v>7299</v>
      </c>
      <c r="J125" s="4"/>
      <c r="K125" s="50">
        <f>ROUND(M125*($G$66/$G$68),0)</f>
        <v>13974</v>
      </c>
      <c r="L125" s="4"/>
      <c r="M125" s="49">
        <v>28572</v>
      </c>
    </row>
    <row r="126" spans="1:24" x14ac:dyDescent="0.25">
      <c r="A126" s="67"/>
      <c r="B126" s="83"/>
    </row>
    <row r="127" spans="1:24" x14ac:dyDescent="0.25">
      <c r="A127" s="67" t="s">
        <v>118</v>
      </c>
      <c r="B127" s="82" t="s">
        <v>107</v>
      </c>
      <c r="C127" s="33"/>
      <c r="D127" s="33"/>
      <c r="G127" s="46">
        <f>M127*Q127</f>
        <v>10609.400000000001</v>
      </c>
      <c r="I127" s="46">
        <f>M127*T127</f>
        <v>21218.800000000003</v>
      </c>
      <c r="K127" s="46">
        <f>M127*W127+0.4</f>
        <v>21219.200000000004</v>
      </c>
      <c r="M127" s="49">
        <v>53047</v>
      </c>
      <c r="O127" s="1" t="s">
        <v>76</v>
      </c>
      <c r="Q127" s="53">
        <v>0.2</v>
      </c>
      <c r="R127" s="38"/>
      <c r="S127" s="1" t="s">
        <v>77</v>
      </c>
      <c r="T127" s="53">
        <v>0.4</v>
      </c>
      <c r="U127" s="38"/>
      <c r="V127" s="1" t="s">
        <v>78</v>
      </c>
      <c r="W127" s="53">
        <v>0.4</v>
      </c>
      <c r="X127" s="43" t="s">
        <v>82</v>
      </c>
    </row>
    <row r="128" spans="1:24" s="14" customFormat="1" x14ac:dyDescent="0.25">
      <c r="A128" s="68"/>
      <c r="B128" s="85"/>
      <c r="G128" s="24"/>
      <c r="H128" s="2"/>
      <c r="I128" s="24"/>
      <c r="J128" s="2"/>
      <c r="K128" s="24"/>
      <c r="L128" s="2"/>
      <c r="M128" s="60"/>
    </row>
    <row r="129" spans="1:27" x14ac:dyDescent="0.25">
      <c r="A129" s="67" t="s">
        <v>118</v>
      </c>
      <c r="B129" s="82" t="s">
        <v>124</v>
      </c>
      <c r="C129" s="33"/>
      <c r="D129" s="33"/>
      <c r="G129" s="46">
        <f>M129*Q129</f>
        <v>21943.7</v>
      </c>
      <c r="I129" s="46">
        <f>M129*T129</f>
        <v>65831.099999999991</v>
      </c>
      <c r="K129" s="46">
        <f>M129*W129+0.6</f>
        <v>131662.79999999999</v>
      </c>
      <c r="M129" s="49">
        <v>219437</v>
      </c>
      <c r="O129" s="1" t="s">
        <v>76</v>
      </c>
      <c r="Q129" s="53">
        <v>0.1</v>
      </c>
      <c r="R129" s="38"/>
      <c r="S129" s="1" t="s">
        <v>77</v>
      </c>
      <c r="T129" s="53">
        <v>0.3</v>
      </c>
      <c r="U129" s="38"/>
      <c r="V129" s="1" t="s">
        <v>78</v>
      </c>
      <c r="W129" s="53">
        <v>0.6</v>
      </c>
      <c r="X129" s="43" t="s">
        <v>82</v>
      </c>
    </row>
    <row r="130" spans="1:27" s="14" customFormat="1" x14ac:dyDescent="0.25">
      <c r="A130" s="68"/>
      <c r="B130" s="85"/>
      <c r="G130" s="24"/>
      <c r="H130" s="2"/>
      <c r="I130" s="24"/>
      <c r="J130" s="2"/>
      <c r="K130" s="24"/>
      <c r="L130" s="2"/>
      <c r="M130" s="60"/>
    </row>
    <row r="131" spans="1:27" x14ac:dyDescent="0.25">
      <c r="A131" s="67" t="s">
        <v>119</v>
      </c>
      <c r="B131" s="82" t="s">
        <v>109</v>
      </c>
      <c r="C131" s="34"/>
      <c r="D131" s="34"/>
      <c r="G131" s="50">
        <f>Q131</f>
        <v>65981</v>
      </c>
      <c r="H131" s="4"/>
      <c r="I131" s="50">
        <f>T131</f>
        <v>98802</v>
      </c>
      <c r="J131" s="4"/>
      <c r="K131" s="50">
        <f>W131</f>
        <v>244207</v>
      </c>
      <c r="M131" s="54">
        <f>Q131+T131+W131</f>
        <v>408990</v>
      </c>
      <c r="O131" s="1" t="s">
        <v>79</v>
      </c>
      <c r="Q131" s="49">
        <v>65981</v>
      </c>
      <c r="R131" s="38"/>
      <c r="S131" s="1" t="s">
        <v>80</v>
      </c>
      <c r="T131" s="49">
        <v>98802</v>
      </c>
      <c r="U131" s="38"/>
      <c r="V131" s="1" t="s">
        <v>81</v>
      </c>
      <c r="W131" s="49">
        <v>244207</v>
      </c>
      <c r="X131" s="43" t="s">
        <v>83</v>
      </c>
    </row>
    <row r="132" spans="1:27" x14ac:dyDescent="0.25">
      <c r="A132" s="67"/>
      <c r="B132" s="83"/>
    </row>
    <row r="133" spans="1:27" x14ac:dyDescent="0.25">
      <c r="A133" s="67" t="s">
        <v>115</v>
      </c>
      <c r="B133" s="82" t="s">
        <v>120</v>
      </c>
      <c r="C133" s="34"/>
      <c r="D133" s="34"/>
      <c r="G133" s="50">
        <f>ROUND(M133*($G$44/$G$68),0)</f>
        <v>133596</v>
      </c>
      <c r="H133" s="4"/>
      <c r="I133" s="50">
        <f>ROUND(M133*($G$55/$G$68),0)</f>
        <v>133596</v>
      </c>
      <c r="J133" s="4"/>
      <c r="K133" s="50">
        <f>ROUND(M133*($G$66/$G$68),0)</f>
        <v>255788</v>
      </c>
      <c r="L133" s="4"/>
      <c r="M133" s="49">
        <v>522980</v>
      </c>
    </row>
    <row r="134" spans="1:27" x14ac:dyDescent="0.25">
      <c r="A134" s="67"/>
    </row>
    <row r="135" spans="1:27" x14ac:dyDescent="0.25">
      <c r="A135" s="67" t="s">
        <v>117</v>
      </c>
      <c r="B135" s="32" t="s">
        <v>51</v>
      </c>
      <c r="C135" s="33"/>
      <c r="D135" s="33"/>
      <c r="G135" s="50">
        <f>ROUND(M135*($Q$32/$Q$68),0)</f>
        <v>367481</v>
      </c>
      <c r="H135" s="4"/>
      <c r="I135" s="50">
        <f>ROUND(M135*($Q$47/$Q$68),0)</f>
        <v>499056</v>
      </c>
      <c r="J135" s="4"/>
      <c r="K135" s="50">
        <f>ROUND(M135*($Q$58/$Q$68),0)</f>
        <v>535644</v>
      </c>
      <c r="L135" s="4"/>
      <c r="M135" s="49">
        <v>1402181</v>
      </c>
    </row>
    <row r="137" spans="1:27" ht="13.8" thickBot="1" x14ac:dyDescent="0.3">
      <c r="K137" s="57" t="s">
        <v>111</v>
      </c>
      <c r="M137" s="47">
        <f>SUM(M93:M136)</f>
        <v>8308470.823664261</v>
      </c>
    </row>
    <row r="138" spans="1:27" ht="13.8" thickTop="1" x14ac:dyDescent="0.25">
      <c r="M138" s="31">
        <f>M137-'Cost Effectiveness'!L61</f>
        <v>0</v>
      </c>
    </row>
    <row r="139" spans="1:27" s="18" customFormat="1" ht="13.8" thickBot="1" x14ac:dyDescent="0.3">
      <c r="B139" s="18" t="s">
        <v>90</v>
      </c>
      <c r="G139" s="20"/>
      <c r="H139" s="20"/>
      <c r="I139" s="20"/>
      <c r="J139" s="20"/>
      <c r="K139" s="20"/>
      <c r="L139" s="20"/>
      <c r="M139" s="28">
        <f>M137/G68</f>
        <v>25883.086678081811</v>
      </c>
      <c r="O139" s="18" t="s">
        <v>193</v>
      </c>
      <c r="T139" s="95">
        <f>K70</f>
        <v>19634.58878504673</v>
      </c>
      <c r="U139" s="18" t="s">
        <v>185</v>
      </c>
      <c r="AA139" s="96">
        <f>T139/M139</f>
        <v>0.75858760700568206</v>
      </c>
    </row>
    <row r="140" spans="1:27" ht="13.8" thickTop="1" x14ac:dyDescent="0.25"/>
    <row r="141" spans="1:27" ht="13.8" thickBot="1" x14ac:dyDescent="0.3">
      <c r="B141" s="1" t="s">
        <v>92</v>
      </c>
      <c r="M141" s="56">
        <f>M89-M137</f>
        <v>-1203229.823664261</v>
      </c>
      <c r="O141" s="18" t="s">
        <v>192</v>
      </c>
    </row>
    <row r="142" spans="1:27" ht="13.8" thickTop="1" x14ac:dyDescent="0.25">
      <c r="M142" s="31">
        <f>M141-'Cost Effectiveness'!L66</f>
        <v>0</v>
      </c>
    </row>
    <row r="143" spans="1:27" s="18" customFormat="1" ht="13.8" thickBot="1" x14ac:dyDescent="0.3">
      <c r="B143" s="18" t="s">
        <v>91</v>
      </c>
      <c r="G143" s="20"/>
      <c r="H143" s="20"/>
      <c r="I143" s="20"/>
      <c r="J143" s="20"/>
      <c r="K143" s="20"/>
      <c r="L143" s="20"/>
      <c r="M143" s="28">
        <f>M141/G68</f>
        <v>-3748.379512972776</v>
      </c>
    </row>
    <row r="144" spans="1:27" ht="13.8" thickTop="1" x14ac:dyDescent="0.25"/>
  </sheetData>
  <pageMargins left="0" right="0" top="0.5" bottom="0.75" header="0.3" footer="0.3"/>
  <pageSetup paperSize="5" orientation="landscape" r:id="rId1"/>
  <headerFooter>
    <oddFooter>&amp;L&amp;8Prepared by Palmer Ball
Palmer Ball Consulting, LLC&amp;C&amp;D&amp;RPage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3"/>
  <sheetViews>
    <sheetView tabSelected="1" workbookViewId="0">
      <pane xSplit="4" ySplit="7" topLeftCell="E44" activePane="bottomRight" state="frozen"/>
      <selection pane="topRight" activeCell="E1" sqref="E1"/>
      <selection pane="bottomLeft" activeCell="A8" sqref="A8"/>
      <selection pane="bottomRight" activeCell="L52" sqref="L52"/>
    </sheetView>
  </sheetViews>
  <sheetFormatPr defaultRowHeight="13.2" x14ac:dyDescent="0.25"/>
  <cols>
    <col min="1" max="2" width="3.33203125" customWidth="1"/>
    <col min="3" max="3" width="3.44140625" customWidth="1"/>
    <col min="4" max="4" width="26.5546875" customWidth="1"/>
    <col min="5" max="5" width="2" customWidth="1"/>
    <col min="6" max="6" width="11.33203125" bestFit="1" customWidth="1"/>
    <col min="7" max="7" width="2.5546875" customWidth="1"/>
    <col min="8" max="8" width="11.109375" customWidth="1"/>
    <col min="9" max="9" width="3.109375" customWidth="1"/>
    <col min="10" max="10" width="11" customWidth="1"/>
    <col min="11" max="11" width="2.109375" customWidth="1"/>
    <col min="12" max="12" width="11.109375" customWidth="1"/>
    <col min="13" max="13" width="2.5546875" customWidth="1"/>
    <col min="14" max="14" width="10.44140625" bestFit="1" customWidth="1"/>
    <col min="15" max="15" width="2" customWidth="1"/>
    <col min="16" max="16" width="9.109375" customWidth="1"/>
    <col min="17" max="17" width="2" customWidth="1"/>
    <col min="18" max="18" width="9.6640625" customWidth="1"/>
    <col min="19" max="19" width="1.88671875" customWidth="1"/>
    <col min="20" max="20" width="9.33203125" customWidth="1"/>
    <col min="21" max="21" width="2.109375" customWidth="1"/>
  </cols>
  <sheetData>
    <row r="1" spans="1:22" x14ac:dyDescent="0.25">
      <c r="A1" t="str">
        <f>'Data to be Gathered'!A1</f>
        <v>Sample School</v>
      </c>
      <c r="O1" s="1"/>
    </row>
    <row r="2" spans="1:22" x14ac:dyDescent="0.25">
      <c r="A2" t="str">
        <f>'Data to be Gathered'!A2</f>
        <v>Cost Effectiveness of Each Division - 2021-22</v>
      </c>
      <c r="B2" s="1"/>
      <c r="C2" s="1"/>
      <c r="D2" s="1"/>
      <c r="E2" s="1"/>
      <c r="F2" s="67" t="str">
        <f>'Data to be Gathered'!G2</f>
        <v xml:space="preserve"> (using only tuition related revenue - excludes revenue from donations, endowment, etc.)  </v>
      </c>
      <c r="G2" s="1"/>
      <c r="H2" s="1"/>
      <c r="I2" s="1"/>
      <c r="J2" s="1"/>
      <c r="K2" s="1"/>
      <c r="L2" s="1"/>
      <c r="M2" s="1"/>
      <c r="N2" s="1"/>
      <c r="O2" s="1"/>
    </row>
    <row r="3" spans="1:22" x14ac:dyDescent="0.25">
      <c r="A3" s="2"/>
      <c r="B3" s="3" t="s">
        <v>186</v>
      </c>
      <c r="C3" s="2"/>
      <c r="D3" s="2"/>
      <c r="E3" s="2"/>
      <c r="F3" s="4"/>
      <c r="G3" s="4"/>
      <c r="H3" s="4"/>
      <c r="I3" s="1"/>
      <c r="J3" s="1"/>
      <c r="K3" s="1"/>
      <c r="L3" s="1"/>
      <c r="M3" s="1"/>
      <c r="N3" s="1"/>
      <c r="O3" s="5"/>
    </row>
    <row r="4" spans="1:22" x14ac:dyDescent="0.25">
      <c r="A4" s="2"/>
      <c r="B4" s="3" t="s">
        <v>187</v>
      </c>
      <c r="C4" s="2"/>
      <c r="D4" s="2"/>
      <c r="E4" s="2"/>
      <c r="F4" s="4"/>
      <c r="G4" s="4"/>
      <c r="H4" s="4"/>
      <c r="I4" s="1"/>
      <c r="J4" s="1"/>
      <c r="K4" s="1"/>
      <c r="L4" s="1"/>
      <c r="M4" s="1"/>
      <c r="N4" s="1"/>
      <c r="O4" s="5"/>
    </row>
    <row r="5" spans="1:22" x14ac:dyDescent="0.25">
      <c r="A5" s="4"/>
      <c r="B5" s="4"/>
      <c r="C5" s="4"/>
      <c r="D5" s="4"/>
      <c r="E5" s="6"/>
      <c r="F5" s="6"/>
      <c r="G5" s="6"/>
      <c r="H5" s="6"/>
      <c r="I5" s="6"/>
      <c r="J5" s="6"/>
      <c r="K5" s="6"/>
      <c r="L5" s="6"/>
      <c r="M5" s="6"/>
      <c r="S5" s="70" t="s">
        <v>128</v>
      </c>
    </row>
    <row r="6" spans="1:22" x14ac:dyDescent="0.25">
      <c r="A6" s="4"/>
      <c r="B6" s="4"/>
      <c r="C6" s="4"/>
      <c r="D6" s="4"/>
      <c r="E6" s="1"/>
      <c r="F6" s="7" t="s">
        <v>0</v>
      </c>
      <c r="G6" s="1"/>
      <c r="H6" s="7" t="s">
        <v>1</v>
      </c>
      <c r="I6" s="1"/>
      <c r="J6" s="8" t="s">
        <v>2</v>
      </c>
      <c r="K6" s="8"/>
      <c r="L6" s="1"/>
      <c r="M6" s="1"/>
    </row>
    <row r="7" spans="1:22" x14ac:dyDescent="0.25">
      <c r="A7" s="4"/>
      <c r="B7" s="4"/>
      <c r="C7" s="4"/>
      <c r="D7" s="4"/>
      <c r="E7" s="1"/>
      <c r="F7" s="9" t="s">
        <v>3</v>
      </c>
      <c r="G7" s="1"/>
      <c r="H7" s="9" t="s">
        <v>3</v>
      </c>
      <c r="I7" s="1"/>
      <c r="J7" s="9" t="s">
        <v>3</v>
      </c>
      <c r="K7" s="10"/>
      <c r="L7" s="11" t="s">
        <v>4</v>
      </c>
      <c r="M7" s="12"/>
      <c r="P7" s="37" t="s">
        <v>125</v>
      </c>
      <c r="R7" s="37" t="s">
        <v>126</v>
      </c>
      <c r="T7" s="37" t="s">
        <v>127</v>
      </c>
      <c r="V7" s="11" t="s">
        <v>4</v>
      </c>
    </row>
    <row r="8" spans="1:22" x14ac:dyDescent="0.25">
      <c r="A8" s="4"/>
      <c r="B8" s="4"/>
      <c r="C8" s="4"/>
      <c r="D8" s="4"/>
      <c r="E8" s="1"/>
      <c r="F8" s="4"/>
      <c r="G8" s="1"/>
      <c r="H8" s="4"/>
      <c r="I8" s="1"/>
      <c r="J8" s="1"/>
      <c r="K8" s="1"/>
      <c r="L8" s="1"/>
      <c r="M8" s="1"/>
    </row>
    <row r="9" spans="1:22" x14ac:dyDescent="0.25">
      <c r="A9" s="4" t="s">
        <v>6</v>
      </c>
      <c r="B9" s="4"/>
      <c r="C9" s="4"/>
      <c r="D9" s="4"/>
      <c r="E9" s="1"/>
      <c r="F9" s="2">
        <f>'Data to be Gathered'!G44</f>
        <v>82</v>
      </c>
      <c r="G9" s="6"/>
      <c r="H9" s="2">
        <f>'Data to be Gathered'!G55</f>
        <v>82</v>
      </c>
      <c r="I9" s="6"/>
      <c r="J9" s="2">
        <f>'Data to be Gathered'!G66</f>
        <v>157</v>
      </c>
      <c r="K9" s="1"/>
      <c r="L9" s="13">
        <f>SUM(F9:K9)</f>
        <v>321</v>
      </c>
      <c r="M9" s="13"/>
      <c r="P9" s="6"/>
      <c r="Q9" s="6"/>
      <c r="R9" s="6"/>
      <c r="S9" s="6"/>
    </row>
    <row r="10" spans="1:22" s="67" customFormat="1" ht="10.199999999999999" x14ac:dyDescent="0.2">
      <c r="A10" s="74"/>
      <c r="B10" s="74" t="s">
        <v>184</v>
      </c>
      <c r="C10" s="74"/>
      <c r="D10" s="74"/>
      <c r="F10" s="88">
        <f>F9/$L$9</f>
        <v>0.2554517133956386</v>
      </c>
      <c r="G10" s="68"/>
      <c r="H10" s="88">
        <f>H9/$L$9</f>
        <v>0.2554517133956386</v>
      </c>
      <c r="I10" s="68"/>
      <c r="J10" s="88">
        <f>J9/$L$9</f>
        <v>0.48909657320872274</v>
      </c>
      <c r="L10" s="87"/>
      <c r="M10" s="87"/>
      <c r="P10" s="68"/>
      <c r="Q10" s="68"/>
      <c r="R10" s="68"/>
      <c r="S10" s="68"/>
    </row>
    <row r="11" spans="1:22" x14ac:dyDescent="0.25">
      <c r="A11" s="4"/>
      <c r="B11" s="4"/>
      <c r="C11" s="4"/>
      <c r="D11" s="4"/>
      <c r="E11" s="1"/>
      <c r="F11" s="2"/>
      <c r="G11" s="6"/>
      <c r="H11" s="2"/>
      <c r="I11" s="6"/>
      <c r="J11" s="2"/>
      <c r="K11" s="1"/>
      <c r="L11" s="13"/>
      <c r="M11" s="13"/>
      <c r="P11" s="6"/>
      <c r="Q11" s="6"/>
      <c r="R11" s="6"/>
      <c r="S11" s="6"/>
    </row>
    <row r="12" spans="1:22" x14ac:dyDescent="0.25">
      <c r="A12" s="4"/>
      <c r="B12" s="4"/>
      <c r="C12" s="4"/>
      <c r="D12" s="4"/>
      <c r="E12" s="1"/>
      <c r="F12" s="2"/>
      <c r="G12" s="6"/>
      <c r="H12" s="2"/>
      <c r="I12" s="6"/>
      <c r="J12" s="15"/>
      <c r="K12" s="1"/>
      <c r="L12" s="13"/>
      <c r="M12" s="13"/>
    </row>
    <row r="13" spans="1:22" x14ac:dyDescent="0.25">
      <c r="A13" s="4" t="s">
        <v>7</v>
      </c>
      <c r="B13" s="4"/>
      <c r="C13" s="4"/>
      <c r="D13" s="4"/>
      <c r="E13" s="1"/>
      <c r="F13" s="2">
        <f>'Data to be Gathered'!M32</f>
        <v>14</v>
      </c>
      <c r="G13" s="6"/>
      <c r="H13" s="2">
        <f>'Data to be Gathered'!M47</f>
        <v>6</v>
      </c>
      <c r="I13" s="6"/>
      <c r="J13" s="2">
        <f>'Data to be Gathered'!M58</f>
        <v>22</v>
      </c>
      <c r="K13" s="1"/>
      <c r="L13" s="13">
        <f>SUM(F13:K13)</f>
        <v>42</v>
      </c>
      <c r="M13" s="13"/>
      <c r="P13" s="6"/>
      <c r="Q13" s="6"/>
      <c r="R13" s="6"/>
      <c r="S13" s="6"/>
      <c r="T13" s="6"/>
      <c r="U13" s="6"/>
      <c r="V13" s="6"/>
    </row>
    <row r="14" spans="1:22" x14ac:dyDescent="0.25">
      <c r="A14" s="4" t="s">
        <v>8</v>
      </c>
      <c r="B14" s="4"/>
      <c r="C14" s="4"/>
      <c r="D14" s="4"/>
      <c r="E14" s="1"/>
      <c r="F14" s="2">
        <f>'Data to be Gathered'!O32</f>
        <v>3</v>
      </c>
      <c r="G14" s="6"/>
      <c r="H14" s="2">
        <f>'Data to be Gathered'!O47</f>
        <v>1</v>
      </c>
      <c r="I14" s="6"/>
      <c r="J14" s="2">
        <f>'Data to be Gathered'!O58</f>
        <v>4</v>
      </c>
      <c r="K14" s="6"/>
      <c r="L14" s="16">
        <f>SUM(F14:K14)</f>
        <v>8</v>
      </c>
      <c r="M14" s="16"/>
      <c r="P14" s="6"/>
      <c r="Q14" s="6"/>
      <c r="R14" s="6"/>
      <c r="S14" s="6"/>
    </row>
    <row r="15" spans="1:22" ht="13.8" thickBot="1" x14ac:dyDescent="0.3">
      <c r="A15" s="4"/>
      <c r="B15" s="4" t="s">
        <v>9</v>
      </c>
      <c r="C15" s="4"/>
      <c r="D15" s="4"/>
      <c r="E15" s="1"/>
      <c r="F15" s="17">
        <f>SUM(F12:F14)</f>
        <v>17</v>
      </c>
      <c r="G15" s="6"/>
      <c r="H15" s="17">
        <f>SUM(H12:H14)</f>
        <v>7</v>
      </c>
      <c r="I15" s="6"/>
      <c r="J15" s="17">
        <f>SUM(J12:J14)</f>
        <v>26</v>
      </c>
      <c r="K15" s="6"/>
      <c r="L15" s="17">
        <f>SUM(L12:L14)</f>
        <v>50</v>
      </c>
      <c r="M15" s="16"/>
      <c r="P15" s="6"/>
      <c r="Q15" s="6"/>
      <c r="R15" s="6"/>
      <c r="S15" s="6"/>
    </row>
    <row r="16" spans="1:22" ht="13.8" thickTop="1" x14ac:dyDescent="0.25">
      <c r="A16" s="4"/>
      <c r="B16" s="4"/>
      <c r="C16" s="4"/>
      <c r="D16" s="4"/>
      <c r="E16" s="1"/>
      <c r="F16" s="2"/>
      <c r="G16" s="6"/>
      <c r="H16" s="2"/>
      <c r="I16" s="6"/>
      <c r="J16" s="15"/>
      <c r="K16" s="1"/>
      <c r="L16" s="13"/>
      <c r="M16" s="13"/>
      <c r="P16" s="6"/>
      <c r="Q16" s="6"/>
      <c r="R16" s="6"/>
      <c r="S16" s="6"/>
    </row>
    <row r="17" spans="1:22" x14ac:dyDescent="0.25">
      <c r="A17" s="4" t="s">
        <v>10</v>
      </c>
      <c r="B17" s="4"/>
      <c r="C17" s="4"/>
      <c r="D17" s="4"/>
      <c r="E17" s="1"/>
      <c r="F17" s="2">
        <f>'Data to be Gathered'!Q32</f>
        <v>25330.666666666668</v>
      </c>
      <c r="G17" s="6"/>
      <c r="H17" s="2">
        <f>'Data to be Gathered'!Q47</f>
        <v>34400.166666666664</v>
      </c>
      <c r="I17" s="6"/>
      <c r="J17" s="2">
        <f>'Data to be Gathered'!Q58</f>
        <v>36922.166666666664</v>
      </c>
      <c r="K17" s="1"/>
      <c r="L17" s="13">
        <f>SUM(F17:K17)</f>
        <v>96653</v>
      </c>
      <c r="M17" s="13"/>
      <c r="P17" s="6"/>
      <c r="Q17" s="6"/>
      <c r="R17" s="6"/>
      <c r="S17" s="6"/>
      <c r="T17" s="6"/>
      <c r="U17" s="6"/>
      <c r="V17" s="6"/>
    </row>
    <row r="18" spans="1:22" x14ac:dyDescent="0.25">
      <c r="A18" s="4"/>
      <c r="B18" s="4"/>
      <c r="C18" s="4"/>
      <c r="D18" s="4"/>
      <c r="E18" s="1"/>
      <c r="F18" s="6"/>
      <c r="G18" s="6"/>
      <c r="H18" s="6"/>
      <c r="I18" s="6"/>
      <c r="J18" s="6"/>
      <c r="K18" s="6"/>
      <c r="L18" s="6"/>
      <c r="M18" s="1"/>
    </row>
    <row r="19" spans="1:22" x14ac:dyDescent="0.25">
      <c r="A19" s="4"/>
      <c r="B19" s="4"/>
      <c r="C19" s="4"/>
      <c r="D19" s="4"/>
      <c r="E19" s="1"/>
      <c r="F19" s="6"/>
      <c r="G19" s="6"/>
      <c r="H19" s="6"/>
      <c r="I19" s="6"/>
      <c r="J19" s="6"/>
      <c r="K19" s="6"/>
      <c r="L19" s="6"/>
      <c r="M19" s="1"/>
    </row>
    <row r="20" spans="1:22" x14ac:dyDescent="0.25">
      <c r="A20" s="19" t="s">
        <v>11</v>
      </c>
      <c r="B20" s="4"/>
      <c r="C20" s="4"/>
      <c r="D20" s="4"/>
      <c r="E20" s="1"/>
      <c r="F20" s="4"/>
      <c r="G20" s="1"/>
      <c r="H20" s="4"/>
      <c r="I20" s="1"/>
      <c r="J20" s="1"/>
      <c r="K20" s="1"/>
      <c r="L20" s="1"/>
      <c r="M20" s="1"/>
    </row>
    <row r="21" spans="1:22" x14ac:dyDescent="0.25">
      <c r="A21" s="1"/>
      <c r="B21" s="4" t="str">
        <f>'Data to be Gathered'!B76</f>
        <v>Tuition Revenue</v>
      </c>
      <c r="C21" s="4"/>
      <c r="D21" s="4"/>
      <c r="E21" s="1"/>
      <c r="F21" s="2">
        <f>'Data to be Gathered'!G76</f>
        <v>1709495</v>
      </c>
      <c r="G21" s="6"/>
      <c r="H21" s="2">
        <f>'Data to be Gathered'!I76</f>
        <v>2029500</v>
      </c>
      <c r="I21" s="6"/>
      <c r="J21" s="2">
        <f>'Data to be Gathered'!K76</f>
        <v>4089145</v>
      </c>
      <c r="K21" s="4"/>
      <c r="L21" s="13">
        <f t="shared" ref="L21:L26" si="0">SUM(F21:K21)</f>
        <v>7828140</v>
      </c>
      <c r="M21" s="13"/>
      <c r="P21" s="31">
        <f t="shared" ref="P21:P26" si="1">F21/$F$9</f>
        <v>20847.5</v>
      </c>
      <c r="R21" s="31">
        <f t="shared" ref="R21:R26" si="2">H21/$H$9</f>
        <v>24750</v>
      </c>
      <c r="T21" s="31">
        <f t="shared" ref="T21:T26" si="3">J21/$J$9</f>
        <v>26045.509554140128</v>
      </c>
      <c r="V21" s="31">
        <f t="shared" ref="V21:V26" si="4">L21/$L$9</f>
        <v>24386.728971962617</v>
      </c>
    </row>
    <row r="22" spans="1:22" x14ac:dyDescent="0.25">
      <c r="A22" s="1"/>
      <c r="B22" s="4" t="str">
        <f>'Data to be Gathered'!B78</f>
        <v>Bus Transportation Fees</v>
      </c>
      <c r="C22" s="4"/>
      <c r="D22" s="4"/>
      <c r="E22" s="1"/>
      <c r="F22" s="2">
        <f>'Data to be Gathered'!G78</f>
        <v>16136.300000000001</v>
      </c>
      <c r="G22" s="6"/>
      <c r="H22" s="2">
        <f>'Data to be Gathered'!I78</f>
        <v>48408.5</v>
      </c>
      <c r="I22" s="6"/>
      <c r="J22" s="2">
        <f>'Data to be Gathered'!K78</f>
        <v>96817.2</v>
      </c>
      <c r="K22" s="4"/>
      <c r="L22" s="13">
        <f t="shared" si="0"/>
        <v>161362</v>
      </c>
      <c r="M22" s="13"/>
      <c r="P22" s="31">
        <f t="shared" si="1"/>
        <v>196.78414634146344</v>
      </c>
      <c r="R22" s="31">
        <f t="shared" si="2"/>
        <v>590.34756097560978</v>
      </c>
      <c r="T22" s="31">
        <f t="shared" si="3"/>
        <v>616.67006369426747</v>
      </c>
      <c r="V22" s="31">
        <f t="shared" si="4"/>
        <v>502.68535825545172</v>
      </c>
    </row>
    <row r="23" spans="1:22" x14ac:dyDescent="0.25">
      <c r="A23" s="1"/>
      <c r="B23" s="4" t="str">
        <f>'Data to be Gathered'!B80</f>
        <v>Other Fees</v>
      </c>
      <c r="C23" s="4"/>
      <c r="D23" s="4"/>
      <c r="E23" s="1"/>
      <c r="F23" s="2">
        <f>'Data to be Gathered'!G80</f>
        <v>38843</v>
      </c>
      <c r="G23" s="6"/>
      <c r="H23" s="2">
        <f>'Data to be Gathered'!I80</f>
        <v>28956</v>
      </c>
      <c r="I23" s="6"/>
      <c r="J23" s="2">
        <f>'Data to be Gathered'!K80</f>
        <v>25861</v>
      </c>
      <c r="K23" s="4"/>
      <c r="L23" s="13">
        <f t="shared" si="0"/>
        <v>93660</v>
      </c>
      <c r="M23" s="13"/>
      <c r="P23" s="31">
        <f t="shared" si="1"/>
        <v>473.69512195121951</v>
      </c>
      <c r="R23" s="31">
        <f t="shared" si="2"/>
        <v>353.1219512195122</v>
      </c>
      <c r="T23" s="31">
        <f t="shared" si="3"/>
        <v>164.71974522292993</v>
      </c>
      <c r="V23" s="31">
        <f t="shared" si="4"/>
        <v>291.77570093457945</v>
      </c>
    </row>
    <row r="24" spans="1:22" x14ac:dyDescent="0.25">
      <c r="A24" s="1"/>
      <c r="B24" s="4" t="str">
        <f>'Data to be Gathered'!B82</f>
        <v>Summer Program Revenue</v>
      </c>
      <c r="C24" s="4"/>
      <c r="D24" s="4"/>
      <c r="E24" s="1"/>
      <c r="F24" s="2">
        <f>'Data to be Gathered'!G82</f>
        <v>6546</v>
      </c>
      <c r="G24" s="6"/>
      <c r="H24" s="2">
        <f>'Data to be Gathered'!I82</f>
        <v>6546</v>
      </c>
      <c r="I24" s="6"/>
      <c r="J24" s="2">
        <f>'Data to be Gathered'!K82</f>
        <v>12533</v>
      </c>
      <c r="K24" s="4"/>
      <c r="L24" s="13">
        <f t="shared" si="0"/>
        <v>25625</v>
      </c>
      <c r="M24" s="13"/>
      <c r="P24" s="31">
        <f t="shared" si="1"/>
        <v>79.829268292682926</v>
      </c>
      <c r="R24" s="31">
        <f t="shared" si="2"/>
        <v>79.829268292682926</v>
      </c>
      <c r="T24" s="31">
        <f t="shared" si="3"/>
        <v>79.828025477707001</v>
      </c>
      <c r="V24" s="31">
        <f t="shared" si="4"/>
        <v>79.828660436137071</v>
      </c>
    </row>
    <row r="25" spans="1:22" x14ac:dyDescent="0.25">
      <c r="A25" s="1"/>
      <c r="B25" s="4" t="str">
        <f>'Data to be Gathered'!B84</f>
        <v>Other Revenue</v>
      </c>
      <c r="C25" s="4"/>
      <c r="D25" s="4"/>
      <c r="E25" s="1"/>
      <c r="F25" s="2">
        <f>'Data to be Gathered'!G84</f>
        <v>87314</v>
      </c>
      <c r="G25" s="6"/>
      <c r="H25" s="2">
        <f>'Data to be Gathered'!I84</f>
        <v>125534</v>
      </c>
      <c r="I25" s="6"/>
      <c r="J25" s="2">
        <f>'Data to be Gathered'!K84</f>
        <v>309043</v>
      </c>
      <c r="K25" s="4"/>
      <c r="L25" s="13">
        <f t="shared" si="0"/>
        <v>521891</v>
      </c>
      <c r="M25" s="13"/>
      <c r="P25" s="31">
        <f t="shared" si="1"/>
        <v>1064.8048780487804</v>
      </c>
      <c r="R25" s="31">
        <f t="shared" si="2"/>
        <v>1530.9024390243903</v>
      </c>
      <c r="T25" s="31">
        <f t="shared" si="3"/>
        <v>1968.4267515923566</v>
      </c>
      <c r="V25" s="31">
        <f t="shared" si="4"/>
        <v>1625.8286604361372</v>
      </c>
    </row>
    <row r="26" spans="1:22" x14ac:dyDescent="0.25">
      <c r="A26" s="1"/>
      <c r="B26" s="4" t="str">
        <f>'Data to be Gathered'!B86</f>
        <v>Financial Aid and Tuition Remission</v>
      </c>
      <c r="C26" s="4"/>
      <c r="D26" s="4"/>
      <c r="E26" s="1"/>
      <c r="F26" s="2">
        <f>'Data to be Gathered'!G86</f>
        <v>-350449</v>
      </c>
      <c r="G26" s="6"/>
      <c r="H26" s="2">
        <f>'Data to be Gathered'!I86</f>
        <v>-260088</v>
      </c>
      <c r="I26" s="6"/>
      <c r="J26" s="2">
        <f>'Data to be Gathered'!K86</f>
        <v>-914900</v>
      </c>
      <c r="K26" s="2"/>
      <c r="L26" s="16">
        <f t="shared" si="0"/>
        <v>-1525437</v>
      </c>
      <c r="M26" s="16"/>
      <c r="P26" s="61">
        <f t="shared" si="1"/>
        <v>-4273.7682926829266</v>
      </c>
      <c r="Q26" s="14"/>
      <c r="R26" s="61">
        <f t="shared" si="2"/>
        <v>-3171.8048780487807</v>
      </c>
      <c r="S26" s="14"/>
      <c r="T26" s="61">
        <f t="shared" si="3"/>
        <v>-5827.3885350318469</v>
      </c>
      <c r="V26" s="31">
        <f t="shared" si="4"/>
        <v>-4752.1401869158881</v>
      </c>
    </row>
    <row r="27" spans="1:22" x14ac:dyDescent="0.25">
      <c r="A27" s="20"/>
      <c r="B27" s="4"/>
      <c r="C27" s="4"/>
      <c r="D27" s="4"/>
      <c r="E27" s="1"/>
      <c r="F27" s="2"/>
      <c r="G27" s="6"/>
      <c r="H27" s="2"/>
      <c r="I27" s="6"/>
      <c r="J27" s="2"/>
      <c r="K27" s="2"/>
      <c r="L27" s="2"/>
      <c r="M27" s="2"/>
      <c r="P27" s="14"/>
      <c r="Q27" s="14"/>
      <c r="R27" s="14"/>
      <c r="S27" s="14"/>
      <c r="T27" s="14"/>
    </row>
    <row r="28" spans="1:22" ht="13.8" thickBot="1" x14ac:dyDescent="0.3">
      <c r="A28" s="4"/>
      <c r="B28" s="4" t="s">
        <v>13</v>
      </c>
      <c r="C28" s="4"/>
      <c r="D28" s="4"/>
      <c r="E28" s="1"/>
      <c r="F28" s="17">
        <f>SUM(F20:F27)</f>
        <v>1507885.3</v>
      </c>
      <c r="G28" s="6"/>
      <c r="H28" s="17">
        <f>SUM(H20:H27)</f>
        <v>1978856.5</v>
      </c>
      <c r="I28" s="6"/>
      <c r="J28" s="17">
        <f>SUM(J20:J27)</f>
        <v>3618499.2</v>
      </c>
      <c r="K28" s="24"/>
      <c r="L28" s="17">
        <f>SUM(L20:L27)</f>
        <v>7105241</v>
      </c>
      <c r="M28" s="24"/>
      <c r="P28" s="61">
        <f>F28/$F$9</f>
        <v>18388.845121951221</v>
      </c>
      <c r="Q28" s="14"/>
      <c r="R28" s="61">
        <f>H28/$H$9</f>
        <v>24132.396341463416</v>
      </c>
      <c r="S28" s="14"/>
      <c r="T28" s="61">
        <f>J28/$J$9</f>
        <v>23047.765605095541</v>
      </c>
      <c r="V28" s="31">
        <f>L28/$L$9</f>
        <v>22134.707165109034</v>
      </c>
    </row>
    <row r="29" spans="1:22" ht="13.8" thickTop="1" x14ac:dyDescent="0.25">
      <c r="A29" s="4"/>
      <c r="B29" s="4"/>
      <c r="C29" s="4"/>
      <c r="D29" s="4"/>
      <c r="E29" s="1"/>
      <c r="F29" s="2"/>
      <c r="G29" s="6"/>
      <c r="H29" s="2"/>
      <c r="I29" s="6"/>
      <c r="J29" s="6"/>
      <c r="K29" s="6"/>
      <c r="L29" s="16">
        <f>L28-'Data to be Gathered'!M89</f>
        <v>0</v>
      </c>
      <c r="M29" s="16"/>
      <c r="P29" s="14"/>
      <c r="Q29" s="14"/>
      <c r="R29" s="14"/>
      <c r="S29" s="14"/>
      <c r="T29" s="14"/>
    </row>
    <row r="30" spans="1:22" x14ac:dyDescent="0.25">
      <c r="A30" s="4" t="s">
        <v>14</v>
      </c>
      <c r="B30" s="4"/>
      <c r="C30" s="4"/>
      <c r="D30" s="4"/>
      <c r="E30" s="1"/>
      <c r="F30" s="2"/>
      <c r="G30" s="6"/>
      <c r="H30" s="2"/>
      <c r="I30" s="6"/>
      <c r="J30" s="6"/>
      <c r="K30" s="6"/>
      <c r="L30" s="6"/>
      <c r="M30" s="6"/>
      <c r="P30" s="14"/>
      <c r="Q30" s="14"/>
      <c r="R30" s="14"/>
      <c r="S30" s="14"/>
      <c r="T30" s="14"/>
    </row>
    <row r="31" spans="1:22" x14ac:dyDescent="0.25">
      <c r="A31" s="1"/>
      <c r="B31" s="4" t="str">
        <f>'Data to be Gathered'!B94</f>
        <v>Faculty Salaries</v>
      </c>
      <c r="C31" s="4"/>
      <c r="D31" s="4"/>
      <c r="E31" s="1"/>
      <c r="F31" s="2">
        <f>'Data to be Gathered'!G94</f>
        <v>646377.66666666663</v>
      </c>
      <c r="G31" s="6"/>
      <c r="H31" s="2">
        <f>'Data to be Gathered'!I94</f>
        <v>287624.66666666669</v>
      </c>
      <c r="I31" s="6"/>
      <c r="J31" s="2">
        <f>'Data to be Gathered'!K94</f>
        <v>970554.66666666663</v>
      </c>
      <c r="K31" s="23"/>
      <c r="L31" s="16">
        <f t="shared" ref="L31:L36" si="5">SUM(F31:K31)</f>
        <v>1904557</v>
      </c>
      <c r="M31" s="16"/>
      <c r="P31" s="61">
        <f>F31/$F$9</f>
        <v>7882.6544715447153</v>
      </c>
      <c r="Q31" s="14"/>
      <c r="R31" s="61">
        <f t="shared" ref="R31:R37" si="6">H31/$H$9</f>
        <v>3507.6178861788621</v>
      </c>
      <c r="S31" s="14"/>
      <c r="T31" s="61">
        <f t="shared" ref="T31:T37" si="7">J31/$J$9</f>
        <v>6181.8768577494693</v>
      </c>
      <c r="V31" s="31">
        <f t="shared" ref="V31:V37" si="8">L31/$L$9</f>
        <v>5933.1993769470409</v>
      </c>
    </row>
    <row r="32" spans="1:22" x14ac:dyDescent="0.25">
      <c r="A32" s="1"/>
      <c r="B32" s="4" t="str">
        <f>'Data to be Gathered'!B96</f>
        <v>Instruction / Student Support Sal - General</v>
      </c>
      <c r="C32" s="4"/>
      <c r="D32" s="4"/>
      <c r="E32" s="1"/>
      <c r="F32" s="2">
        <f>'Data to be Gathered'!G96</f>
        <v>57127</v>
      </c>
      <c r="G32" s="6"/>
      <c r="H32" s="2">
        <f>'Data to be Gathered'!I96</f>
        <v>57127</v>
      </c>
      <c r="I32" s="6"/>
      <c r="J32" s="2">
        <f>'Data to be Gathered'!K96</f>
        <v>109378</v>
      </c>
      <c r="K32" s="6"/>
      <c r="L32" s="16">
        <f t="shared" si="5"/>
        <v>223632</v>
      </c>
      <c r="M32" s="16"/>
      <c r="P32" s="31">
        <f t="shared" ref="P32:P37" si="9">F32/$F$9</f>
        <v>696.67073170731703</v>
      </c>
      <c r="R32" s="31">
        <f t="shared" si="6"/>
        <v>696.67073170731703</v>
      </c>
      <c r="T32" s="31">
        <f t="shared" si="7"/>
        <v>696.67515923566884</v>
      </c>
      <c r="V32" s="31">
        <f t="shared" si="8"/>
        <v>696.67289719626172</v>
      </c>
    </row>
    <row r="33" spans="1:22" x14ac:dyDescent="0.25">
      <c r="A33" s="1"/>
      <c r="B33" s="4" t="str">
        <f>'Data to be Gathered'!B98</f>
        <v>Instruction / Student Support Sal - Specific</v>
      </c>
      <c r="C33" s="4"/>
      <c r="D33" s="4"/>
      <c r="E33" s="1"/>
      <c r="F33" s="2">
        <f>'Data to be Gathered'!G98</f>
        <v>104623</v>
      </c>
      <c r="G33" s="6"/>
      <c r="H33" s="2">
        <f>'Data to be Gathered'!I98</f>
        <v>97737</v>
      </c>
      <c r="I33" s="6"/>
      <c r="J33" s="2">
        <f>'Data to be Gathered'!K98</f>
        <v>196666</v>
      </c>
      <c r="K33" s="6"/>
      <c r="L33" s="16">
        <f t="shared" si="5"/>
        <v>399026</v>
      </c>
      <c r="M33" s="13"/>
      <c r="P33" s="31">
        <f t="shared" si="9"/>
        <v>1275.8902439024391</v>
      </c>
      <c r="R33" s="31">
        <f t="shared" si="6"/>
        <v>1191.9146341463415</v>
      </c>
      <c r="T33" s="31">
        <f t="shared" si="7"/>
        <v>1252.6496815286623</v>
      </c>
      <c r="V33" s="31">
        <f t="shared" si="8"/>
        <v>1243.0716510903426</v>
      </c>
    </row>
    <row r="34" spans="1:22" x14ac:dyDescent="0.25">
      <c r="A34" s="1"/>
      <c r="B34" s="4" t="str">
        <f>'Data to be Gathered'!B102</f>
        <v>Faculty, Instruct Support Benefits</v>
      </c>
      <c r="C34" s="4"/>
      <c r="D34" s="4"/>
      <c r="E34" s="1"/>
      <c r="F34" s="2">
        <f>'Data to be Gathered'!G102</f>
        <v>142501.78920541733</v>
      </c>
      <c r="G34" s="6"/>
      <c r="H34" s="2">
        <f>'Data to be Gathered'!I102</f>
        <v>78026.565979615654</v>
      </c>
      <c r="I34" s="6"/>
      <c r="J34" s="2">
        <f>'Data to be Gathered'!K102</f>
        <v>225109.96913101204</v>
      </c>
      <c r="K34" s="24"/>
      <c r="L34" s="16">
        <f t="shared" si="5"/>
        <v>445638.32431604504</v>
      </c>
      <c r="M34" s="13"/>
      <c r="P34" s="31">
        <f t="shared" si="9"/>
        <v>1737.8266976270406</v>
      </c>
      <c r="R34" s="31">
        <f t="shared" si="6"/>
        <v>951.54348755628848</v>
      </c>
      <c r="T34" s="31">
        <f t="shared" si="7"/>
        <v>1433.8214594331978</v>
      </c>
      <c r="V34" s="31">
        <f t="shared" si="8"/>
        <v>1388.2813841621341</v>
      </c>
    </row>
    <row r="35" spans="1:22" x14ac:dyDescent="0.25">
      <c r="A35" s="1"/>
      <c r="B35" s="4" t="str">
        <f>'Data to be Gathered'!B104</f>
        <v>Teaching / School Related Expenses</v>
      </c>
      <c r="C35" s="4"/>
      <c r="D35" s="4"/>
      <c r="E35" s="1"/>
      <c r="F35" s="2">
        <f>'Data to be Gathered'!G104</f>
        <v>75401</v>
      </c>
      <c r="G35" s="6"/>
      <c r="H35" s="2">
        <f>'Data to be Gathered'!I104</f>
        <v>54586</v>
      </c>
      <c r="I35" s="6"/>
      <c r="J35" s="2">
        <f>'Data to be Gathered'!K104</f>
        <v>65118</v>
      </c>
      <c r="K35" s="2"/>
      <c r="L35" s="16">
        <f t="shared" si="5"/>
        <v>195105</v>
      </c>
      <c r="M35" s="13"/>
      <c r="P35" s="31">
        <f t="shared" si="9"/>
        <v>919.52439024390242</v>
      </c>
      <c r="R35" s="31">
        <f t="shared" si="6"/>
        <v>665.68292682926824</v>
      </c>
      <c r="T35" s="31">
        <f t="shared" si="7"/>
        <v>414.76433121019107</v>
      </c>
      <c r="V35" s="31">
        <f t="shared" si="8"/>
        <v>607.80373831775705</v>
      </c>
    </row>
    <row r="36" spans="1:22" x14ac:dyDescent="0.25">
      <c r="A36" s="1"/>
      <c r="B36" s="4" t="str">
        <f>'Data to be Gathered'!B106</f>
        <v>Athletic Expenses</v>
      </c>
      <c r="C36" s="4"/>
      <c r="D36" s="4"/>
      <c r="E36" s="1"/>
      <c r="F36" s="2">
        <f>'Data to be Gathered'!G106</f>
        <v>0</v>
      </c>
      <c r="G36" s="6"/>
      <c r="H36" s="2">
        <f>'Data to be Gathered'!I106</f>
        <v>54579</v>
      </c>
      <c r="I36" s="6"/>
      <c r="J36" s="2">
        <f>'Data to be Gathered'!K106</f>
        <v>127350.99999999999</v>
      </c>
      <c r="K36" s="1"/>
      <c r="L36" s="13">
        <f t="shared" si="5"/>
        <v>181930</v>
      </c>
      <c r="M36" s="13"/>
      <c r="P36" s="31">
        <f t="shared" si="9"/>
        <v>0</v>
      </c>
      <c r="R36" s="31">
        <f t="shared" si="6"/>
        <v>665.59756097560978</v>
      </c>
      <c r="T36" s="31">
        <f t="shared" si="7"/>
        <v>811.15286624203816</v>
      </c>
      <c r="V36" s="31">
        <f t="shared" si="8"/>
        <v>566.7601246105919</v>
      </c>
    </row>
    <row r="37" spans="1:22" x14ac:dyDescent="0.25">
      <c r="A37" s="4"/>
      <c r="B37" s="4" t="str">
        <f>'Data to be Gathered'!B108</f>
        <v>Summer Program Expense</v>
      </c>
      <c r="C37" s="4"/>
      <c r="D37" s="4"/>
      <c r="E37" s="1"/>
      <c r="F37" s="24">
        <f>'Data to be Gathered'!G108</f>
        <v>2328</v>
      </c>
      <c r="G37" s="6"/>
      <c r="H37" s="24">
        <f>'Data to be Gathered'!I108</f>
        <v>2328</v>
      </c>
      <c r="I37" s="6"/>
      <c r="J37" s="24">
        <f>'Data to be Gathered'!K108</f>
        <v>4458</v>
      </c>
      <c r="K37" s="1"/>
      <c r="L37" s="13">
        <f t="shared" ref="L37" si="10">SUM(F37:K37)</f>
        <v>9114</v>
      </c>
      <c r="M37" s="13"/>
      <c r="P37" s="31">
        <f t="shared" si="9"/>
        <v>28.390243902439025</v>
      </c>
      <c r="R37" s="31">
        <f t="shared" si="6"/>
        <v>28.390243902439025</v>
      </c>
      <c r="T37" s="31">
        <f t="shared" si="7"/>
        <v>28.394904458598727</v>
      </c>
      <c r="V37" s="31">
        <f t="shared" si="8"/>
        <v>28.392523364485982</v>
      </c>
    </row>
    <row r="38" spans="1:22" x14ac:dyDescent="0.25">
      <c r="A38" s="4"/>
      <c r="B38" s="4"/>
      <c r="C38" s="4"/>
      <c r="D38" s="4"/>
      <c r="E38" s="1"/>
      <c r="F38" s="4"/>
      <c r="G38" s="1"/>
      <c r="H38" s="4"/>
      <c r="I38" s="1"/>
      <c r="J38" s="26"/>
      <c r="K38" s="26"/>
      <c r="L38" s="4"/>
      <c r="M38" s="4"/>
    </row>
    <row r="39" spans="1:22" ht="13.8" thickBot="1" x14ac:dyDescent="0.3">
      <c r="A39" s="4"/>
      <c r="B39" s="4" t="s">
        <v>18</v>
      </c>
      <c r="C39" s="4"/>
      <c r="D39" s="4"/>
      <c r="E39" s="1"/>
      <c r="F39" s="21">
        <f>SUM(F30:F38)</f>
        <v>1028358.455872084</v>
      </c>
      <c r="G39" s="1"/>
      <c r="H39" s="21">
        <f>SUM(H30:H38)</f>
        <v>632008.2326462823</v>
      </c>
      <c r="I39" s="1"/>
      <c r="J39" s="21">
        <f>SUM(J30:J38)</f>
        <v>1698635.6357976785</v>
      </c>
      <c r="K39" s="22"/>
      <c r="L39" s="21">
        <f>SUM(L30:L38)</f>
        <v>3359002.3243160453</v>
      </c>
      <c r="M39" s="22"/>
      <c r="P39" s="31">
        <f>F39/$F$9</f>
        <v>12540.956778927854</v>
      </c>
      <c r="R39" s="31">
        <f>H39/$H$9</f>
        <v>7707.4174712961258</v>
      </c>
      <c r="T39" s="31">
        <f>J39/$J$9</f>
        <v>10819.335259857824</v>
      </c>
      <c r="V39" s="31">
        <f>L39/$L$9</f>
        <v>10464.181695688614</v>
      </c>
    </row>
    <row r="40" spans="1:22" ht="13.8" thickTop="1" x14ac:dyDescent="0.25">
      <c r="A40" s="4"/>
      <c r="B40" s="4"/>
      <c r="C40" s="4"/>
      <c r="D40" s="4"/>
      <c r="E40" s="1"/>
      <c r="F40" s="73"/>
      <c r="G40" s="1"/>
      <c r="H40" s="22"/>
      <c r="I40" s="1"/>
      <c r="J40" s="22"/>
      <c r="K40" s="22"/>
      <c r="L40" s="22">
        <f>L39-SUM('Data to be Gathered'!M93:M109)+0.6</f>
        <v>-0.4</v>
      </c>
      <c r="M40" s="22"/>
    </row>
    <row r="41" spans="1:22" x14ac:dyDescent="0.25">
      <c r="A41" s="4" t="s">
        <v>19</v>
      </c>
      <c r="B41" s="4"/>
      <c r="C41" s="4"/>
      <c r="D41" s="4"/>
      <c r="E41" s="1"/>
      <c r="F41" s="22"/>
      <c r="G41" s="1"/>
      <c r="H41" s="22"/>
      <c r="I41" s="1"/>
      <c r="J41" s="22"/>
      <c r="K41" s="22"/>
      <c r="L41" s="22"/>
      <c r="M41" s="22"/>
    </row>
    <row r="42" spans="1:22" x14ac:dyDescent="0.25">
      <c r="A42" s="4"/>
      <c r="B42" s="4" t="str">
        <f>'Data to be Gathered'!B112</f>
        <v>Administrative and Other Salaries</v>
      </c>
      <c r="C42" s="4"/>
      <c r="D42" s="4"/>
      <c r="E42" s="1"/>
      <c r="F42" s="24">
        <f>'Data to be Gathered'!G112</f>
        <v>426436</v>
      </c>
      <c r="G42" s="6"/>
      <c r="H42" s="24">
        <f>'Data to be Gathered'!I112</f>
        <v>401842.5</v>
      </c>
      <c r="I42" s="6"/>
      <c r="J42" s="24">
        <f>'Data to be Gathered'!K112</f>
        <v>708735.5</v>
      </c>
      <c r="K42" s="6"/>
      <c r="L42" s="16">
        <f>SUM(F42:K42)</f>
        <v>1537014</v>
      </c>
      <c r="M42" s="13"/>
      <c r="P42" s="31">
        <f t="shared" ref="P42:P53" si="11">F42/$F$9</f>
        <v>5200.4390243902435</v>
      </c>
      <c r="R42" s="31">
        <f t="shared" ref="R42:R53" si="12">H42/$H$9</f>
        <v>4900.5182926829266</v>
      </c>
      <c r="T42" s="31">
        <f t="shared" ref="T42:T53" si="13">J42/$J$9</f>
        <v>4514.2388535031851</v>
      </c>
      <c r="V42" s="31">
        <f t="shared" ref="V42:V53" si="14">L42/$L$9</f>
        <v>4788.2056074766351</v>
      </c>
    </row>
    <row r="43" spans="1:22" x14ac:dyDescent="0.25">
      <c r="A43" s="4"/>
      <c r="B43" s="4" t="str">
        <f>'Data to be Gathered'!B115</f>
        <v>Administrative and Other Benefits</v>
      </c>
      <c r="C43" s="4"/>
      <c r="D43" s="4"/>
      <c r="E43" s="1"/>
      <c r="F43" s="24">
        <f>'Data to be Gathered'!G115</f>
        <v>75195.90714206628</v>
      </c>
      <c r="G43" s="6"/>
      <c r="H43" s="24">
        <f>'Data to be Gathered'!I115</f>
        <v>70859.194148092021</v>
      </c>
      <c r="I43" s="6"/>
      <c r="J43" s="24">
        <f>'Data to be Gathered'!K115</f>
        <v>124975.39805805775</v>
      </c>
      <c r="K43" s="1"/>
      <c r="L43" s="13">
        <f>SUM(F43:K43)</f>
        <v>271030.49934821605</v>
      </c>
      <c r="M43" s="13"/>
      <c r="P43" s="31">
        <f t="shared" si="11"/>
        <v>917.02325783007655</v>
      </c>
      <c r="R43" s="31">
        <f t="shared" si="12"/>
        <v>864.13651400112224</v>
      </c>
      <c r="T43" s="31">
        <f t="shared" si="13"/>
        <v>796.02164368189653</v>
      </c>
      <c r="V43" s="31">
        <f t="shared" si="14"/>
        <v>844.33177367045494</v>
      </c>
    </row>
    <row r="44" spans="1:22" x14ac:dyDescent="0.25">
      <c r="A44" s="4"/>
      <c r="B44" s="4" t="str">
        <f>'Data to be Gathered'!B117</f>
        <v>Admissions Expenses</v>
      </c>
      <c r="C44" s="4"/>
      <c r="D44" s="4"/>
      <c r="E44" s="1"/>
      <c r="F44" s="24">
        <f>'Data to be Gathered'!G117</f>
        <v>36766</v>
      </c>
      <c r="G44" s="6"/>
      <c r="H44" s="24">
        <f>'Data to be Gathered'!I117</f>
        <v>36766</v>
      </c>
      <c r="I44" s="6"/>
      <c r="J44" s="24">
        <f>'Data to be Gathered'!K117</f>
        <v>70393</v>
      </c>
      <c r="K44" s="1"/>
      <c r="L44" s="13">
        <f t="shared" ref="L44" si="15">SUM(F44:K44)</f>
        <v>143925</v>
      </c>
      <c r="M44" s="13"/>
      <c r="P44" s="31">
        <f t="shared" si="11"/>
        <v>448.36585365853659</v>
      </c>
      <c r="R44" s="31">
        <f t="shared" si="12"/>
        <v>448.36585365853659</v>
      </c>
      <c r="T44" s="31">
        <f t="shared" si="13"/>
        <v>448.36305732484078</v>
      </c>
      <c r="V44" s="31">
        <f t="shared" si="14"/>
        <v>448.36448598130841</v>
      </c>
    </row>
    <row r="45" spans="1:22" x14ac:dyDescent="0.25">
      <c r="A45" s="4"/>
      <c r="B45" s="4" t="str">
        <f>'Data to be Gathered'!B119</f>
        <v>Development Expenses</v>
      </c>
      <c r="C45" s="4"/>
      <c r="D45" s="4"/>
      <c r="E45" s="1"/>
      <c r="F45" s="24">
        <f>'Data to be Gathered'!G119</f>
        <v>12899</v>
      </c>
      <c r="G45" s="6"/>
      <c r="H45" s="24">
        <f>'Data to be Gathered'!I119</f>
        <v>12899</v>
      </c>
      <c r="I45" s="6"/>
      <c r="J45" s="24">
        <f>'Data to be Gathered'!K119</f>
        <v>24696</v>
      </c>
      <c r="K45" s="1"/>
      <c r="L45" s="13">
        <f t="shared" ref="L45" si="16">SUM(F45:K45)</f>
        <v>50494</v>
      </c>
      <c r="M45" s="13"/>
      <c r="P45" s="31">
        <f t="shared" si="11"/>
        <v>157.30487804878049</v>
      </c>
      <c r="R45" s="31">
        <f t="shared" si="12"/>
        <v>157.30487804878049</v>
      </c>
      <c r="T45" s="31">
        <f t="shared" si="13"/>
        <v>157.29936305732485</v>
      </c>
      <c r="V45" s="31">
        <f t="shared" si="14"/>
        <v>157.30218068535825</v>
      </c>
    </row>
    <row r="46" spans="1:22" x14ac:dyDescent="0.25">
      <c r="A46" s="4"/>
      <c r="B46" s="4" t="str">
        <f>'Data to be Gathered'!B121</f>
        <v>Communications Expenses</v>
      </c>
      <c r="C46" s="4"/>
      <c r="D46" s="4"/>
      <c r="E46" s="1"/>
      <c r="F46" s="24">
        <f>'Data to be Gathered'!G121</f>
        <v>10820</v>
      </c>
      <c r="G46" s="6"/>
      <c r="H46" s="24">
        <f>'Data to be Gathered'!I121</f>
        <v>10820</v>
      </c>
      <c r="I46" s="6"/>
      <c r="J46" s="24">
        <f>'Data to be Gathered'!K121</f>
        <v>20717</v>
      </c>
      <c r="K46" s="1"/>
      <c r="L46" s="13">
        <f t="shared" ref="L46:L53" si="17">SUM(F46:K46)</f>
        <v>42357</v>
      </c>
      <c r="M46" s="13"/>
      <c r="P46" s="31">
        <f t="shared" si="11"/>
        <v>131.95121951219511</v>
      </c>
      <c r="R46" s="31">
        <f t="shared" si="12"/>
        <v>131.95121951219511</v>
      </c>
      <c r="T46" s="31">
        <f t="shared" si="13"/>
        <v>131.95541401273886</v>
      </c>
      <c r="V46" s="31">
        <f t="shared" si="14"/>
        <v>131.95327102803739</v>
      </c>
    </row>
    <row r="47" spans="1:22" x14ac:dyDescent="0.25">
      <c r="A47" s="4"/>
      <c r="B47" s="4" t="str">
        <f>'Data to be Gathered'!B123</f>
        <v>General School Expenses</v>
      </c>
      <c r="C47" s="4"/>
      <c r="D47" s="4"/>
      <c r="E47" s="1"/>
      <c r="F47" s="24">
        <f>'Data to be Gathered'!G123</f>
        <v>68829</v>
      </c>
      <c r="G47" s="6"/>
      <c r="H47" s="24">
        <f>'Data to be Gathered'!I123</f>
        <v>68829</v>
      </c>
      <c r="I47" s="6"/>
      <c r="J47" s="24">
        <f>'Data to be Gathered'!K123</f>
        <v>131782</v>
      </c>
      <c r="K47" s="1"/>
      <c r="L47" s="13">
        <f t="shared" si="17"/>
        <v>269440</v>
      </c>
      <c r="M47" s="13"/>
      <c r="P47" s="31">
        <f t="shared" si="11"/>
        <v>839.3780487804878</v>
      </c>
      <c r="R47" s="31">
        <f t="shared" si="12"/>
        <v>839.3780487804878</v>
      </c>
      <c r="T47" s="31">
        <f t="shared" si="13"/>
        <v>839.37579617834399</v>
      </c>
      <c r="V47" s="31">
        <f t="shared" si="14"/>
        <v>839.37694704049841</v>
      </c>
    </row>
    <row r="48" spans="1:22" x14ac:dyDescent="0.25">
      <c r="A48" s="4"/>
      <c r="B48" s="4" t="str">
        <f>'Data to be Gathered'!B125</f>
        <v>Publication Expense</v>
      </c>
      <c r="C48" s="4"/>
      <c r="D48" s="4"/>
      <c r="E48" s="1"/>
      <c r="F48" s="24">
        <f>'Data to be Gathered'!G125</f>
        <v>7299</v>
      </c>
      <c r="G48" s="6"/>
      <c r="H48" s="24">
        <f>'Data to be Gathered'!I125</f>
        <v>7299</v>
      </c>
      <c r="I48" s="6"/>
      <c r="J48" s="24">
        <f>'Data to be Gathered'!K125</f>
        <v>13974</v>
      </c>
      <c r="K48" s="1"/>
      <c r="L48" s="13">
        <f t="shared" ref="L48" si="18">SUM(F48:K48)</f>
        <v>28572</v>
      </c>
      <c r="M48" s="13"/>
      <c r="P48" s="31">
        <f t="shared" si="11"/>
        <v>89.012195121951223</v>
      </c>
      <c r="R48" s="31">
        <f t="shared" si="12"/>
        <v>89.012195121951223</v>
      </c>
      <c r="T48" s="31">
        <f t="shared" si="13"/>
        <v>89.00636942675159</v>
      </c>
      <c r="V48" s="31">
        <f t="shared" si="14"/>
        <v>89.00934579439253</v>
      </c>
    </row>
    <row r="49" spans="1:22" x14ac:dyDescent="0.25">
      <c r="A49" s="4"/>
      <c r="B49" s="4" t="str">
        <f>'Data to be Gathered'!B127</f>
        <v>Vehicle Expense</v>
      </c>
      <c r="C49" s="4"/>
      <c r="D49" s="4"/>
      <c r="E49" s="1"/>
      <c r="F49" s="24">
        <f>'Data to be Gathered'!G127</f>
        <v>10609.400000000001</v>
      </c>
      <c r="G49" s="6"/>
      <c r="H49" s="24">
        <f>'Data to be Gathered'!I127</f>
        <v>21218.800000000003</v>
      </c>
      <c r="I49" s="6"/>
      <c r="J49" s="24">
        <f>'Data to be Gathered'!K127</f>
        <v>21219.200000000004</v>
      </c>
      <c r="K49" s="1"/>
      <c r="L49" s="13">
        <f t="shared" ref="L49" si="19">SUM(F49:K49)</f>
        <v>53047.400000000009</v>
      </c>
      <c r="M49" s="13"/>
      <c r="P49" s="31">
        <f t="shared" si="11"/>
        <v>129.38292682926831</v>
      </c>
      <c r="R49" s="31">
        <f t="shared" si="12"/>
        <v>258.76585365853663</v>
      </c>
      <c r="T49" s="31">
        <f t="shared" si="13"/>
        <v>135.15414012738856</v>
      </c>
      <c r="V49" s="31">
        <f t="shared" si="14"/>
        <v>165.25669781931467</v>
      </c>
    </row>
    <row r="50" spans="1:22" x14ac:dyDescent="0.25">
      <c r="A50" s="4"/>
      <c r="B50" s="4" t="str">
        <f>'Data to be Gathered'!B129</f>
        <v>Bus Transportation Exp</v>
      </c>
      <c r="C50" s="4"/>
      <c r="D50" s="4"/>
      <c r="E50" s="1"/>
      <c r="F50" s="24">
        <f>'Data to be Gathered'!G129</f>
        <v>21943.7</v>
      </c>
      <c r="G50" s="6"/>
      <c r="H50" s="24">
        <f>'Data to be Gathered'!I129</f>
        <v>65831.099999999991</v>
      </c>
      <c r="I50" s="6"/>
      <c r="J50" s="24">
        <f>'Data to be Gathered'!K129</f>
        <v>131662.79999999999</v>
      </c>
      <c r="K50" s="1"/>
      <c r="L50" s="13">
        <f t="shared" ref="L50" si="20">SUM(F50:K50)</f>
        <v>219437.59999999998</v>
      </c>
      <c r="M50" s="13"/>
      <c r="P50" s="31">
        <f t="shared" si="11"/>
        <v>267.60609756097563</v>
      </c>
      <c r="R50" s="31">
        <f t="shared" si="12"/>
        <v>802.81829268292677</v>
      </c>
      <c r="T50" s="31">
        <f t="shared" si="13"/>
        <v>838.61656050955412</v>
      </c>
      <c r="V50" s="31">
        <f t="shared" si="14"/>
        <v>683.606230529595</v>
      </c>
    </row>
    <row r="51" spans="1:22" x14ac:dyDescent="0.25">
      <c r="A51" s="4"/>
      <c r="B51" s="4" t="str">
        <f>'Data to be Gathered'!B131</f>
        <v>Other Expense</v>
      </c>
      <c r="C51" s="4"/>
      <c r="D51" s="4"/>
      <c r="E51" s="1"/>
      <c r="F51" s="24">
        <f>'Data to be Gathered'!G131</f>
        <v>65981</v>
      </c>
      <c r="G51" s="6"/>
      <c r="H51" s="24">
        <f>'Data to be Gathered'!I131</f>
        <v>98802</v>
      </c>
      <c r="I51" s="6"/>
      <c r="J51" s="24">
        <f>'Data to be Gathered'!K131</f>
        <v>244207</v>
      </c>
      <c r="K51" s="1"/>
      <c r="L51" s="13">
        <f t="shared" ref="L51" si="21">SUM(F51:K51)</f>
        <v>408990</v>
      </c>
      <c r="M51" s="13"/>
      <c r="P51" s="31">
        <f t="shared" si="11"/>
        <v>804.64634146341461</v>
      </c>
      <c r="R51" s="31">
        <f t="shared" si="12"/>
        <v>1204.9024390243903</v>
      </c>
      <c r="T51" s="31">
        <f t="shared" si="13"/>
        <v>1555.4585987261146</v>
      </c>
      <c r="V51" s="31">
        <f t="shared" si="14"/>
        <v>1274.1121495327102</v>
      </c>
    </row>
    <row r="52" spans="1:22" x14ac:dyDescent="0.25">
      <c r="A52" s="4"/>
      <c r="B52" s="4" t="str">
        <f>'Data to be Gathered'!B133</f>
        <v>Interest Expense</v>
      </c>
      <c r="C52" s="4"/>
      <c r="D52" s="4"/>
      <c r="E52" s="1"/>
      <c r="F52" s="24">
        <f>'Data to be Gathered'!G133</f>
        <v>133596</v>
      </c>
      <c r="G52" s="6"/>
      <c r="H52" s="24">
        <f>'Data to be Gathered'!I133</f>
        <v>133596</v>
      </c>
      <c r="I52" s="6"/>
      <c r="J52" s="24">
        <f>'Data to be Gathered'!K133</f>
        <v>255788</v>
      </c>
      <c r="K52" s="1"/>
      <c r="L52" s="13">
        <f t="shared" ref="L52" si="22">SUM(F52:K52)</f>
        <v>522980</v>
      </c>
      <c r="M52" s="13"/>
      <c r="P52" s="31">
        <f t="shared" si="11"/>
        <v>1629.219512195122</v>
      </c>
      <c r="R52" s="31">
        <f t="shared" si="12"/>
        <v>1629.219512195122</v>
      </c>
      <c r="T52" s="31">
        <f t="shared" si="13"/>
        <v>1629.2229299363057</v>
      </c>
      <c r="V52" s="31">
        <f t="shared" si="14"/>
        <v>1629.2211838006231</v>
      </c>
    </row>
    <row r="53" spans="1:22" x14ac:dyDescent="0.25">
      <c r="A53" s="4"/>
      <c r="B53" s="4" t="str">
        <f>'Data to be Gathered'!B135</f>
        <v>Physical Plant Expenses</v>
      </c>
      <c r="C53" s="4"/>
      <c r="D53" s="4"/>
      <c r="E53" s="1"/>
      <c r="F53" s="24">
        <f>'Data to be Gathered'!G135</f>
        <v>367481</v>
      </c>
      <c r="G53" s="6"/>
      <c r="H53" s="24">
        <f>'Data to be Gathered'!I135</f>
        <v>499056</v>
      </c>
      <c r="I53" s="6"/>
      <c r="J53" s="24">
        <f>'Data to be Gathered'!K135</f>
        <v>535644</v>
      </c>
      <c r="K53" s="1"/>
      <c r="L53" s="13">
        <f t="shared" si="17"/>
        <v>1402181</v>
      </c>
      <c r="M53" s="13"/>
      <c r="P53" s="31">
        <f t="shared" si="11"/>
        <v>4481.4756097560976</v>
      </c>
      <c r="R53" s="31">
        <f t="shared" si="12"/>
        <v>6086.0487804878048</v>
      </c>
      <c r="T53" s="31">
        <f t="shared" si="13"/>
        <v>3411.7452229299365</v>
      </c>
      <c r="V53" s="31">
        <f t="shared" si="14"/>
        <v>4368.1651090342675</v>
      </c>
    </row>
    <row r="54" spans="1:22" x14ac:dyDescent="0.25">
      <c r="A54" s="4"/>
      <c r="B54" s="4"/>
      <c r="C54" s="4"/>
      <c r="D54" s="4"/>
      <c r="E54" s="1"/>
      <c r="F54" s="22"/>
      <c r="G54" s="1"/>
      <c r="H54" s="22"/>
      <c r="I54" s="1"/>
      <c r="J54" s="22"/>
      <c r="K54" s="22"/>
      <c r="L54" s="22"/>
      <c r="M54" s="22"/>
    </row>
    <row r="55" spans="1:22" ht="13.8" thickBot="1" x14ac:dyDescent="0.3">
      <c r="A55" s="4"/>
      <c r="B55" s="4" t="s">
        <v>22</v>
      </c>
      <c r="C55" s="4"/>
      <c r="D55" s="4"/>
      <c r="E55" s="1"/>
      <c r="F55" s="21">
        <f>SUM(F41:F54)</f>
        <v>1237856.0071420663</v>
      </c>
      <c r="G55" s="1"/>
      <c r="H55" s="21">
        <f>SUM(H41:H54)</f>
        <v>1427818.594148092</v>
      </c>
      <c r="I55" s="1"/>
      <c r="J55" s="21">
        <f>SUM(J41:J54)</f>
        <v>2283793.8980580578</v>
      </c>
      <c r="K55" s="22"/>
      <c r="L55" s="21">
        <f>SUM(L41:L54)</f>
        <v>4949468.4993482158</v>
      </c>
      <c r="M55" s="22"/>
      <c r="P55" s="31">
        <f>F55/$F$9</f>
        <v>15095.80496514715</v>
      </c>
      <c r="R55" s="31">
        <f>H55/$H$9</f>
        <v>17412.421879854781</v>
      </c>
      <c r="T55" s="31">
        <f>J55/$J$9</f>
        <v>14546.45794941438</v>
      </c>
      <c r="V55" s="31">
        <f>L55/$L$9</f>
        <v>15418.904982393196</v>
      </c>
    </row>
    <row r="56" spans="1:22" ht="13.8" thickTop="1" x14ac:dyDescent="0.25">
      <c r="A56" s="4"/>
      <c r="B56" s="4"/>
      <c r="C56" s="4"/>
      <c r="D56" s="4"/>
      <c r="E56" s="1"/>
      <c r="F56" s="22"/>
      <c r="G56" s="1"/>
      <c r="H56" s="22"/>
      <c r="I56" s="1"/>
      <c r="J56" s="22"/>
      <c r="K56" s="22"/>
      <c r="L56" s="22"/>
      <c r="M56" s="22"/>
      <c r="P56" s="31"/>
      <c r="R56" s="31"/>
      <c r="T56" s="31"/>
      <c r="V56" s="31"/>
    </row>
    <row r="57" spans="1:22" x14ac:dyDescent="0.25">
      <c r="A57" s="4"/>
      <c r="B57" s="4"/>
      <c r="C57" s="4"/>
      <c r="D57" s="4"/>
      <c r="E57" s="1"/>
      <c r="F57" s="22"/>
      <c r="G57" s="1"/>
      <c r="H57" s="22"/>
      <c r="I57" s="1"/>
      <c r="J57" s="22"/>
      <c r="K57" s="22"/>
      <c r="L57" s="22"/>
      <c r="M57" s="22"/>
      <c r="P57" s="31"/>
      <c r="R57" s="31"/>
      <c r="T57" s="31"/>
      <c r="V57" s="31"/>
    </row>
    <row r="58" spans="1:22" x14ac:dyDescent="0.25">
      <c r="A58" s="4"/>
      <c r="B58" s="4"/>
      <c r="C58" s="4"/>
      <c r="D58" s="4"/>
      <c r="E58" s="1"/>
      <c r="F58" s="7" t="s">
        <v>0</v>
      </c>
      <c r="G58" s="1"/>
      <c r="H58" s="7" t="s">
        <v>1</v>
      </c>
      <c r="I58" s="1"/>
      <c r="J58" s="8" t="s">
        <v>2</v>
      </c>
      <c r="K58" s="8"/>
      <c r="L58" s="1"/>
      <c r="M58" s="22"/>
      <c r="P58" s="31"/>
      <c r="R58" s="31"/>
      <c r="T58" s="31"/>
      <c r="V58" s="31"/>
    </row>
    <row r="59" spans="1:22" x14ac:dyDescent="0.25">
      <c r="A59" s="4"/>
      <c r="B59" s="4"/>
      <c r="C59" s="4"/>
      <c r="D59" s="4"/>
      <c r="E59" s="1"/>
      <c r="F59" s="9" t="s">
        <v>3</v>
      </c>
      <c r="G59" s="1"/>
      <c r="H59" s="9" t="s">
        <v>3</v>
      </c>
      <c r="I59" s="1"/>
      <c r="J59" s="9" t="s">
        <v>3</v>
      </c>
      <c r="K59" s="10"/>
      <c r="L59" s="11" t="s">
        <v>4</v>
      </c>
      <c r="M59" s="22"/>
      <c r="P59" s="31"/>
      <c r="R59" s="31"/>
      <c r="T59" s="31"/>
      <c r="V59" s="31"/>
    </row>
    <row r="60" spans="1:22" x14ac:dyDescent="0.25">
      <c r="A60" s="4"/>
      <c r="B60" s="4"/>
      <c r="C60" s="4"/>
      <c r="D60" s="4"/>
      <c r="E60" s="1"/>
      <c r="F60" s="22"/>
      <c r="G60" s="1"/>
      <c r="H60" s="22"/>
      <c r="I60" s="1"/>
      <c r="J60" s="22"/>
      <c r="K60" s="22"/>
      <c r="L60" s="22"/>
      <c r="M60" s="22"/>
    </row>
    <row r="61" spans="1:22" x14ac:dyDescent="0.25">
      <c r="A61" s="4" t="s">
        <v>23</v>
      </c>
      <c r="C61" s="4"/>
      <c r="D61" s="4"/>
      <c r="E61" s="1"/>
      <c r="F61" s="22">
        <f>F39+F55</f>
        <v>2266214.46301415</v>
      </c>
      <c r="G61" s="76"/>
      <c r="H61" s="22">
        <f>H39+H55</f>
        <v>2059826.8267943743</v>
      </c>
      <c r="I61" s="76"/>
      <c r="J61" s="22">
        <f>J39+J55</f>
        <v>3982429.5338557363</v>
      </c>
      <c r="K61" s="22"/>
      <c r="L61" s="22">
        <f>L39+L55</f>
        <v>8308470.823664261</v>
      </c>
      <c r="M61" s="22"/>
      <c r="P61" s="31">
        <f>F61/$F$9</f>
        <v>27636.761744075</v>
      </c>
      <c r="R61" s="31">
        <f>H61/$H$9</f>
        <v>25119.839351150906</v>
      </c>
      <c r="T61" s="31">
        <f>J61/$J$9</f>
        <v>25365.793209272204</v>
      </c>
      <c r="V61" s="31">
        <f>L61/$L$9</f>
        <v>25883.086678081811</v>
      </c>
    </row>
    <row r="62" spans="1:22" x14ac:dyDescent="0.25">
      <c r="A62" s="4"/>
      <c r="C62" s="4"/>
      <c r="D62" s="4"/>
      <c r="E62" s="1"/>
      <c r="F62" s="4"/>
      <c r="G62" s="1"/>
      <c r="H62" s="4"/>
      <c r="I62" s="1"/>
      <c r="J62" s="1"/>
      <c r="K62" s="1"/>
      <c r="L62" s="16"/>
      <c r="M62" s="27"/>
    </row>
    <row r="63" spans="1:22" ht="13.8" thickBot="1" x14ac:dyDescent="0.3">
      <c r="A63" s="20" t="s">
        <v>24</v>
      </c>
      <c r="C63" s="4"/>
      <c r="D63" s="4"/>
      <c r="E63" s="1"/>
      <c r="F63" s="28">
        <f>F61/F9</f>
        <v>27636.761744075</v>
      </c>
      <c r="G63" s="18"/>
      <c r="H63" s="28">
        <f>H61/H9</f>
        <v>25119.839351150906</v>
      </c>
      <c r="I63" s="18"/>
      <c r="J63" s="28">
        <f>J61/J9</f>
        <v>25365.793209272204</v>
      </c>
      <c r="K63" s="18"/>
      <c r="L63" s="28">
        <f>L61/L9</f>
        <v>25883.086678081811</v>
      </c>
      <c r="M63" s="29"/>
      <c r="P63" s="6"/>
      <c r="Q63" s="1"/>
    </row>
    <row r="64" spans="1:22" ht="13.8" thickTop="1" x14ac:dyDescent="0.25">
      <c r="A64" s="1"/>
      <c r="B64" s="20"/>
      <c r="C64" s="4"/>
      <c r="D64" s="4"/>
      <c r="E64" s="1"/>
      <c r="F64" s="29"/>
      <c r="G64" s="18"/>
      <c r="H64" s="29"/>
      <c r="I64" s="18"/>
      <c r="J64" s="29"/>
      <c r="K64" s="18"/>
      <c r="L64" s="29"/>
      <c r="M64" s="29"/>
      <c r="P64" s="6"/>
      <c r="Q64" s="1"/>
    </row>
    <row r="65" spans="1:17" x14ac:dyDescent="0.25">
      <c r="A65" s="4"/>
      <c r="B65" s="4"/>
      <c r="C65" s="4"/>
      <c r="D65" s="4"/>
      <c r="E65" s="1"/>
      <c r="F65" s="2"/>
      <c r="G65" s="6"/>
      <c r="H65" s="2"/>
      <c r="I65" s="6"/>
      <c r="J65" s="6"/>
      <c r="K65" s="6"/>
      <c r="L65" s="77"/>
      <c r="M65" s="27"/>
      <c r="P65" s="6"/>
      <c r="Q65" s="1"/>
    </row>
    <row r="66" spans="1:17" ht="13.8" thickBot="1" x14ac:dyDescent="0.3">
      <c r="A66" s="30" t="s">
        <v>25</v>
      </c>
      <c r="B66" s="30"/>
      <c r="C66" s="4"/>
      <c r="D66" s="4"/>
      <c r="E66" s="1"/>
      <c r="F66" s="17">
        <f>F28-F61</f>
        <v>-758329.16301414999</v>
      </c>
      <c r="G66" s="6"/>
      <c r="H66" s="17">
        <f>H28-H61</f>
        <v>-80970.326794374269</v>
      </c>
      <c r="I66" s="6"/>
      <c r="J66" s="17">
        <f>J28-J61</f>
        <v>-363930.33385573607</v>
      </c>
      <c r="K66" s="24"/>
      <c r="L66" s="17">
        <f>L28-L61</f>
        <v>-1203229.823664261</v>
      </c>
      <c r="M66" s="22"/>
      <c r="P66" s="6"/>
      <c r="Q66" s="1"/>
    </row>
    <row r="67" spans="1:17" ht="13.8" thickTop="1" x14ac:dyDescent="0.25">
      <c r="A67" s="4"/>
      <c r="B67" s="4"/>
      <c r="C67" s="4"/>
      <c r="D67" s="4"/>
      <c r="E67" s="1"/>
      <c r="F67" s="44"/>
      <c r="G67" s="78"/>
      <c r="H67" s="44"/>
      <c r="I67" s="78"/>
      <c r="J67" s="78"/>
      <c r="K67" s="78"/>
      <c r="L67" s="79">
        <f>L66-'Data to be Gathered'!M141</f>
        <v>0</v>
      </c>
      <c r="M67" s="18"/>
      <c r="P67" s="6"/>
      <c r="Q67" s="1"/>
    </row>
    <row r="68" spans="1:17" ht="13.8" thickBot="1" x14ac:dyDescent="0.3">
      <c r="A68" s="20" t="s">
        <v>26</v>
      </c>
      <c r="B68" s="4"/>
      <c r="C68" s="4"/>
      <c r="D68" s="4"/>
      <c r="E68" s="1"/>
      <c r="F68" s="80">
        <f>F66/F9</f>
        <v>-9247.9166221237811</v>
      </c>
      <c r="G68" s="78"/>
      <c r="H68" s="80">
        <f>H66/H9</f>
        <v>-987.4430096874911</v>
      </c>
      <c r="I68" s="78"/>
      <c r="J68" s="80">
        <f>J66/J9</f>
        <v>-2318.0276041766629</v>
      </c>
      <c r="K68" s="44"/>
      <c r="L68" s="80">
        <f>L66/L9</f>
        <v>-3748.379512972776</v>
      </c>
      <c r="M68" s="29"/>
      <c r="P68" s="6"/>
      <c r="Q68" s="1"/>
    </row>
    <row r="69" spans="1:17" ht="13.8" thickTop="1" x14ac:dyDescent="0.25">
      <c r="A69" s="4"/>
      <c r="B69" s="4"/>
      <c r="C69" s="4"/>
      <c r="D69" s="4"/>
      <c r="E69" s="4"/>
      <c r="F69" s="2"/>
      <c r="G69" s="2"/>
      <c r="H69" s="2"/>
      <c r="I69" s="6"/>
      <c r="J69" s="6"/>
      <c r="K69" s="6"/>
      <c r="L69" s="6"/>
      <c r="M69" s="1"/>
      <c r="P69" s="6"/>
      <c r="Q69" s="1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1"/>
      <c r="J70" s="1"/>
      <c r="K70" s="1"/>
      <c r="L70" s="1"/>
      <c r="M70" s="1"/>
      <c r="P70" s="1"/>
      <c r="Q70" s="1"/>
    </row>
    <row r="71" spans="1:17" x14ac:dyDescent="0.25">
      <c r="A71" s="1" t="s">
        <v>27</v>
      </c>
    </row>
    <row r="72" spans="1:17" x14ac:dyDescent="0.25">
      <c r="A72" s="1"/>
    </row>
    <row r="73" spans="1:17" x14ac:dyDescent="0.25">
      <c r="A73" s="1" t="s">
        <v>28</v>
      </c>
    </row>
    <row r="74" spans="1:17" x14ac:dyDescent="0.25">
      <c r="A74" s="1" t="s">
        <v>29</v>
      </c>
    </row>
    <row r="75" spans="1:17" x14ac:dyDescent="0.25">
      <c r="A75" s="1"/>
    </row>
    <row r="76" spans="1:17" x14ac:dyDescent="0.25">
      <c r="A76" s="1"/>
    </row>
    <row r="77" spans="1:17" x14ac:dyDescent="0.25">
      <c r="F77" s="35"/>
      <c r="G77" s="35"/>
      <c r="H77" s="36"/>
      <c r="I77" s="35"/>
      <c r="J77" s="35"/>
      <c r="K77" s="35"/>
      <c r="L77" s="35"/>
    </row>
    <row r="78" spans="1:17" x14ac:dyDescent="0.25">
      <c r="A78" s="18" t="s">
        <v>30</v>
      </c>
      <c r="F78" s="41" t="s">
        <v>37</v>
      </c>
      <c r="G78" s="42"/>
      <c r="H78" s="41" t="s">
        <v>36</v>
      </c>
      <c r="I78" s="42"/>
      <c r="J78" s="42" t="s">
        <v>34</v>
      </c>
      <c r="K78" s="42"/>
      <c r="L78" s="42" t="s">
        <v>35</v>
      </c>
      <c r="M78" s="43"/>
      <c r="N78" s="43" t="s">
        <v>138</v>
      </c>
    </row>
    <row r="79" spans="1:17" x14ac:dyDescent="0.25">
      <c r="A79" s="18"/>
      <c r="F79" s="36"/>
      <c r="G79" s="35"/>
      <c r="H79" s="36"/>
      <c r="I79" s="35"/>
      <c r="J79" s="35"/>
      <c r="K79" s="35"/>
      <c r="L79" s="35"/>
    </row>
    <row r="80" spans="1:17" x14ac:dyDescent="0.25">
      <c r="F80" s="11" t="s">
        <v>191</v>
      </c>
      <c r="G80" s="35"/>
      <c r="H80" s="11" t="s">
        <v>5</v>
      </c>
      <c r="J80" s="11" t="s">
        <v>190</v>
      </c>
      <c r="L80" s="37" t="s">
        <v>189</v>
      </c>
      <c r="N80" s="37" t="s">
        <v>188</v>
      </c>
    </row>
    <row r="81" spans="1:14" x14ac:dyDescent="0.25">
      <c r="A81" s="18" t="s">
        <v>31</v>
      </c>
      <c r="F81" s="31"/>
      <c r="G81" s="31"/>
      <c r="H81" s="39"/>
      <c r="I81" s="31"/>
      <c r="J81" s="31"/>
      <c r="K81" s="31"/>
      <c r="L81" s="31"/>
    </row>
    <row r="82" spans="1:14" x14ac:dyDescent="0.25">
      <c r="F82" s="31"/>
      <c r="G82" s="31"/>
      <c r="H82" s="39"/>
      <c r="I82" s="31"/>
      <c r="J82" s="31"/>
      <c r="K82" s="31"/>
      <c r="L82" s="31"/>
    </row>
    <row r="83" spans="1:14" x14ac:dyDescent="0.25">
      <c r="B83" s="1" t="s">
        <v>6</v>
      </c>
      <c r="F83" s="31">
        <v>0</v>
      </c>
      <c r="G83" s="31"/>
      <c r="H83" s="31">
        <v>0</v>
      </c>
      <c r="I83" s="31"/>
      <c r="J83" s="31">
        <v>0</v>
      </c>
      <c r="K83" s="31"/>
      <c r="L83" s="31">
        <v>0</v>
      </c>
      <c r="N83" s="25">
        <f>F9</f>
        <v>82</v>
      </c>
    </row>
    <row r="84" spans="1:14" x14ac:dyDescent="0.25">
      <c r="F84" s="31"/>
      <c r="G84" s="31"/>
      <c r="H84" s="31"/>
      <c r="I84" s="31"/>
      <c r="J84" s="31"/>
      <c r="K84" s="31"/>
      <c r="L84" s="31"/>
    </row>
    <row r="85" spans="1:14" x14ac:dyDescent="0.25">
      <c r="B85" t="s">
        <v>180</v>
      </c>
      <c r="F85" s="31">
        <v>0</v>
      </c>
      <c r="G85" s="31"/>
      <c r="H85" s="31">
        <v>0</v>
      </c>
      <c r="I85" s="31"/>
      <c r="J85" s="31">
        <v>0</v>
      </c>
      <c r="K85" s="31"/>
      <c r="L85" s="31">
        <v>0</v>
      </c>
      <c r="N85" s="25">
        <f>F21+F26</f>
        <v>1359046</v>
      </c>
    </row>
    <row r="86" spans="1:14" x14ac:dyDescent="0.25">
      <c r="F86" s="31"/>
      <c r="G86" s="31"/>
      <c r="H86" s="31"/>
      <c r="I86" s="31"/>
      <c r="J86" s="31"/>
      <c r="K86" s="31"/>
      <c r="L86" s="31"/>
    </row>
    <row r="87" spans="1:14" x14ac:dyDescent="0.25">
      <c r="B87" t="s">
        <v>181</v>
      </c>
      <c r="F87" s="31" t="e">
        <f>F85/F83</f>
        <v>#DIV/0!</v>
      </c>
      <c r="G87" s="31"/>
      <c r="H87" s="31" t="e">
        <f>H85/H83</f>
        <v>#DIV/0!</v>
      </c>
      <c r="I87" s="31"/>
      <c r="J87" s="31" t="e">
        <f>J85/J83</f>
        <v>#DIV/0!</v>
      </c>
      <c r="K87" s="31"/>
      <c r="L87" s="31" t="e">
        <f>L85/L83</f>
        <v>#DIV/0!</v>
      </c>
      <c r="N87" s="31">
        <f>N85/N83</f>
        <v>16573.731707317074</v>
      </c>
    </row>
    <row r="88" spans="1:14" x14ac:dyDescent="0.25">
      <c r="F88" s="31"/>
      <c r="G88" s="31"/>
      <c r="H88" s="31"/>
      <c r="I88" s="31"/>
      <c r="J88" s="31"/>
      <c r="K88" s="31"/>
      <c r="L88" s="31"/>
    </row>
    <row r="89" spans="1:14" x14ac:dyDescent="0.25">
      <c r="B89" s="32" t="s">
        <v>23</v>
      </c>
      <c r="C89" s="33"/>
      <c r="D89" s="33"/>
      <c r="E89" s="33"/>
      <c r="F89" s="34">
        <v>0</v>
      </c>
      <c r="G89" s="34"/>
      <c r="H89" s="34">
        <v>0</v>
      </c>
      <c r="I89" s="34"/>
      <c r="J89" s="34">
        <v>0</v>
      </c>
      <c r="K89" s="34"/>
      <c r="L89" s="34">
        <v>0</v>
      </c>
      <c r="M89" s="34"/>
      <c r="N89" s="34">
        <f>F61</f>
        <v>2266214.46301415</v>
      </c>
    </row>
    <row r="90" spans="1:14" x14ac:dyDescent="0.25">
      <c r="B90" s="1"/>
      <c r="F90" s="31"/>
      <c r="G90" s="31"/>
      <c r="H90" s="31"/>
      <c r="I90" s="31"/>
      <c r="J90" s="31"/>
      <c r="K90" s="31"/>
      <c r="L90" s="31"/>
    </row>
    <row r="91" spans="1:14" x14ac:dyDescent="0.25">
      <c r="B91" s="1" t="s">
        <v>24</v>
      </c>
      <c r="F91" s="31" t="e">
        <f>F89/F83</f>
        <v>#DIV/0!</v>
      </c>
      <c r="G91" s="31"/>
      <c r="H91" s="31" t="e">
        <f>H89/H83</f>
        <v>#DIV/0!</v>
      </c>
      <c r="I91" s="31"/>
      <c r="J91" s="31" t="e">
        <f>J89/J83</f>
        <v>#DIV/0!</v>
      </c>
      <c r="K91" s="31"/>
      <c r="L91" s="31" t="e">
        <f>L89/L83</f>
        <v>#DIV/0!</v>
      </c>
      <c r="N91" s="31">
        <f>N89/N83</f>
        <v>27636.761744075</v>
      </c>
    </row>
    <row r="92" spans="1:14" x14ac:dyDescent="0.25">
      <c r="B92" s="1"/>
      <c r="F92" s="31"/>
      <c r="G92" s="31"/>
      <c r="H92" s="31"/>
      <c r="I92" s="31"/>
      <c r="J92" s="31"/>
      <c r="K92" s="31"/>
      <c r="L92" s="31"/>
    </row>
    <row r="93" spans="1:14" x14ac:dyDescent="0.25">
      <c r="B93" s="32" t="s">
        <v>25</v>
      </c>
      <c r="C93" s="33"/>
      <c r="D93" s="33"/>
      <c r="E93" s="33"/>
      <c r="F93" s="34">
        <v>0</v>
      </c>
      <c r="G93" s="34"/>
      <c r="H93" s="34">
        <v>0</v>
      </c>
      <c r="I93" s="34"/>
      <c r="J93" s="34">
        <v>0</v>
      </c>
      <c r="K93" s="34"/>
      <c r="L93" s="34">
        <v>0</v>
      </c>
      <c r="M93" s="33"/>
      <c r="N93" s="34">
        <f>F66</f>
        <v>-758329.16301414999</v>
      </c>
    </row>
    <row r="94" spans="1:14" x14ac:dyDescent="0.25">
      <c r="B94" s="1"/>
      <c r="F94" s="31"/>
      <c r="G94" s="31"/>
      <c r="H94" s="31"/>
      <c r="I94" s="31"/>
      <c r="J94" s="31"/>
      <c r="K94" s="31"/>
      <c r="L94" s="31"/>
    </row>
    <row r="95" spans="1:14" x14ac:dyDescent="0.25">
      <c r="B95" s="1" t="s">
        <v>26</v>
      </c>
      <c r="F95" s="31" t="e">
        <f>F93/F83</f>
        <v>#DIV/0!</v>
      </c>
      <c r="G95" s="31"/>
      <c r="H95" s="31" t="e">
        <f>H93/H83</f>
        <v>#DIV/0!</v>
      </c>
      <c r="I95" s="31"/>
      <c r="J95" s="31" t="e">
        <f>J93/J83</f>
        <v>#DIV/0!</v>
      </c>
      <c r="K95" s="31"/>
      <c r="L95" s="31" t="e">
        <f>L93/L83</f>
        <v>#DIV/0!</v>
      </c>
      <c r="N95" s="31">
        <f>N93/N83</f>
        <v>-9247.9166221237811</v>
      </c>
    </row>
    <row r="96" spans="1:14" x14ac:dyDescent="0.25">
      <c r="B96" s="1"/>
      <c r="F96" s="31"/>
      <c r="G96" s="31"/>
      <c r="H96" s="31"/>
      <c r="I96" s="31"/>
      <c r="J96" s="31"/>
      <c r="K96" s="31"/>
      <c r="L96" s="31"/>
      <c r="N96" s="31"/>
    </row>
    <row r="97" spans="1:14" x14ac:dyDescent="0.25">
      <c r="B97" s="32" t="s">
        <v>121</v>
      </c>
      <c r="C97" s="33"/>
      <c r="D97" s="33"/>
      <c r="E97" s="33"/>
      <c r="F97" s="34">
        <v>0</v>
      </c>
      <c r="G97" s="34"/>
      <c r="H97" s="34">
        <v>0</v>
      </c>
      <c r="I97" s="34"/>
      <c r="J97" s="34">
        <v>0</v>
      </c>
      <c r="K97" s="34"/>
      <c r="L97" s="34">
        <v>0</v>
      </c>
      <c r="M97" s="33"/>
      <c r="N97" s="66">
        <f>((F39/'Data to be Gathered'!T32)/N100)</f>
        <v>8.8639271730223026</v>
      </c>
    </row>
    <row r="98" spans="1:14" s="14" customFormat="1" x14ac:dyDescent="0.25">
      <c r="B98" s="6"/>
      <c r="F98" s="2"/>
      <c r="G98" s="2"/>
      <c r="H98" s="2"/>
      <c r="I98" s="2"/>
      <c r="J98" s="2"/>
      <c r="K98" s="2"/>
      <c r="L98" s="2"/>
      <c r="N98" s="72"/>
    </row>
    <row r="99" spans="1:14" s="14" customFormat="1" x14ac:dyDescent="0.25">
      <c r="B99" s="71" t="s">
        <v>135</v>
      </c>
      <c r="C99"/>
      <c r="F99" s="2"/>
      <c r="G99" s="2"/>
      <c r="H99" s="2"/>
      <c r="I99" s="2"/>
      <c r="J99" s="2"/>
      <c r="K99" s="2"/>
      <c r="L99" s="2"/>
      <c r="N99" s="72"/>
    </row>
    <row r="100" spans="1:14" s="14" customFormat="1" x14ac:dyDescent="0.25">
      <c r="C100" s="14" t="s">
        <v>136</v>
      </c>
      <c r="F100" s="2">
        <v>0</v>
      </c>
      <c r="G100" s="2"/>
      <c r="H100" s="2">
        <v>0</v>
      </c>
      <c r="I100" s="2"/>
      <c r="J100" s="2">
        <v>0</v>
      </c>
      <c r="K100" s="2"/>
      <c r="L100" s="2">
        <v>0</v>
      </c>
      <c r="N100" s="61">
        <f>'Data to be Gathered'!M44</f>
        <v>16573.731707317074</v>
      </c>
    </row>
    <row r="101" spans="1:14" x14ac:dyDescent="0.25">
      <c r="B101" s="1"/>
      <c r="F101" s="31"/>
      <c r="G101" s="31"/>
      <c r="H101" s="31"/>
      <c r="I101" s="31"/>
      <c r="J101" s="31"/>
      <c r="K101" s="31"/>
      <c r="L101" s="31"/>
      <c r="N101" s="31"/>
    </row>
    <row r="102" spans="1:14" x14ac:dyDescent="0.25">
      <c r="H102" s="38"/>
    </row>
    <row r="103" spans="1:14" x14ac:dyDescent="0.25">
      <c r="F103" s="37" t="str">
        <f>F80</f>
        <v>2013-14</v>
      </c>
      <c r="G103" s="35"/>
      <c r="H103" s="37" t="str">
        <f>H80</f>
        <v>2015-16</v>
      </c>
      <c r="I103" s="35"/>
      <c r="J103" s="37" t="str">
        <f>J80</f>
        <v>2018-19</v>
      </c>
      <c r="L103" s="37" t="str">
        <f>L80</f>
        <v>2019-20</v>
      </c>
      <c r="N103" s="37" t="str">
        <f>N80</f>
        <v>2020-21</v>
      </c>
    </row>
    <row r="104" spans="1:14" x14ac:dyDescent="0.25">
      <c r="A104" s="18" t="s">
        <v>32</v>
      </c>
      <c r="F104" s="31"/>
      <c r="G104" s="31"/>
      <c r="H104" s="38"/>
      <c r="I104" s="31"/>
    </row>
    <row r="105" spans="1:14" x14ac:dyDescent="0.25">
      <c r="F105" s="31"/>
      <c r="G105" s="31"/>
      <c r="H105" s="38"/>
      <c r="I105" s="31"/>
    </row>
    <row r="106" spans="1:14" x14ac:dyDescent="0.25">
      <c r="B106" s="1" t="s">
        <v>6</v>
      </c>
      <c r="F106" s="31">
        <v>0</v>
      </c>
      <c r="G106" s="31"/>
      <c r="H106" s="31">
        <v>0</v>
      </c>
      <c r="I106" s="31"/>
      <c r="J106" s="31">
        <v>0</v>
      </c>
      <c r="L106" s="31">
        <v>0</v>
      </c>
      <c r="N106" s="25">
        <f>H9</f>
        <v>82</v>
      </c>
    </row>
    <row r="107" spans="1:14" x14ac:dyDescent="0.25">
      <c r="F107" s="31"/>
      <c r="G107" s="31"/>
      <c r="H107" s="31"/>
      <c r="I107" s="31"/>
      <c r="J107" s="31"/>
      <c r="L107" s="31"/>
    </row>
    <row r="108" spans="1:14" x14ac:dyDescent="0.25">
      <c r="B108" t="s">
        <v>180</v>
      </c>
      <c r="F108" s="31">
        <v>0</v>
      </c>
      <c r="G108" s="31"/>
      <c r="H108" s="31">
        <v>0</v>
      </c>
      <c r="I108" s="31"/>
      <c r="J108" s="31">
        <v>0</v>
      </c>
      <c r="K108" s="31"/>
      <c r="L108" s="31">
        <v>0</v>
      </c>
      <c r="N108" s="25">
        <f>H21+H26</f>
        <v>1769412</v>
      </c>
    </row>
    <row r="109" spans="1:14" x14ac:dyDescent="0.25">
      <c r="F109" s="31"/>
      <c r="G109" s="31"/>
      <c r="H109" s="31"/>
      <c r="I109" s="31"/>
      <c r="J109" s="31"/>
      <c r="K109" s="31"/>
      <c r="L109" s="31"/>
    </row>
    <row r="110" spans="1:14" x14ac:dyDescent="0.25">
      <c r="B110" t="s">
        <v>181</v>
      </c>
      <c r="F110" s="31" t="e">
        <f>F108/F106</f>
        <v>#DIV/0!</v>
      </c>
      <c r="G110" s="31"/>
      <c r="H110" s="31" t="e">
        <f>H108/H106</f>
        <v>#DIV/0!</v>
      </c>
      <c r="I110" s="31"/>
      <c r="J110" s="31" t="e">
        <f>J108/J106</f>
        <v>#DIV/0!</v>
      </c>
      <c r="K110" s="31"/>
      <c r="L110" s="31" t="e">
        <f>L108/L106</f>
        <v>#DIV/0!</v>
      </c>
      <c r="N110" s="31">
        <f>N108/N106</f>
        <v>21578.195121951219</v>
      </c>
    </row>
    <row r="111" spans="1:14" x14ac:dyDescent="0.25">
      <c r="F111" s="31"/>
      <c r="G111" s="31"/>
      <c r="H111" s="31"/>
      <c r="I111" s="31"/>
      <c r="J111" s="31"/>
      <c r="L111" s="31"/>
    </row>
    <row r="112" spans="1:14" x14ac:dyDescent="0.25">
      <c r="B112" s="32" t="s">
        <v>23</v>
      </c>
      <c r="C112" s="33"/>
      <c r="D112" s="33"/>
      <c r="E112" s="33"/>
      <c r="F112" s="34">
        <v>0</v>
      </c>
      <c r="G112" s="34"/>
      <c r="H112" s="34">
        <v>0</v>
      </c>
      <c r="I112" s="34"/>
      <c r="J112" s="34">
        <v>0</v>
      </c>
      <c r="K112" s="33"/>
      <c r="L112" s="34">
        <v>0</v>
      </c>
      <c r="M112" s="33"/>
      <c r="N112" s="34">
        <f>H61</f>
        <v>2059826.8267943743</v>
      </c>
    </row>
    <row r="113" spans="1:14" x14ac:dyDescent="0.25">
      <c r="B113" s="1"/>
      <c r="F113" s="31"/>
      <c r="G113" s="31"/>
      <c r="H113" s="31"/>
      <c r="I113" s="31"/>
      <c r="J113" s="31"/>
      <c r="L113" s="31"/>
    </row>
    <row r="114" spans="1:14" x14ac:dyDescent="0.25">
      <c r="B114" s="1" t="s">
        <v>24</v>
      </c>
      <c r="F114" s="31" t="e">
        <f>F112/F106</f>
        <v>#DIV/0!</v>
      </c>
      <c r="G114" s="31"/>
      <c r="H114" s="31" t="e">
        <f>H112/H106</f>
        <v>#DIV/0!</v>
      </c>
      <c r="I114" s="31"/>
      <c r="J114" s="31" t="e">
        <f>J112/J106</f>
        <v>#DIV/0!</v>
      </c>
      <c r="L114" s="31" t="e">
        <f>L112/L106</f>
        <v>#DIV/0!</v>
      </c>
      <c r="N114" s="31">
        <f>N112/N106</f>
        <v>25119.839351150906</v>
      </c>
    </row>
    <row r="115" spans="1:14" x14ac:dyDescent="0.25">
      <c r="B115" s="1"/>
      <c r="F115" s="31"/>
      <c r="G115" s="31"/>
      <c r="H115" s="31"/>
      <c r="I115" s="31"/>
      <c r="J115" s="31"/>
      <c r="L115" s="31"/>
    </row>
    <row r="116" spans="1:14" x14ac:dyDescent="0.25">
      <c r="B116" s="32" t="s">
        <v>25</v>
      </c>
      <c r="C116" s="33"/>
      <c r="D116" s="33"/>
      <c r="E116" s="33"/>
      <c r="F116" s="34">
        <v>0</v>
      </c>
      <c r="G116" s="34"/>
      <c r="H116" s="34">
        <v>0</v>
      </c>
      <c r="I116" s="34"/>
      <c r="J116" s="34">
        <v>0</v>
      </c>
      <c r="K116" s="33"/>
      <c r="L116" s="34">
        <v>0</v>
      </c>
      <c r="M116" s="33"/>
      <c r="N116" s="34">
        <f>H66</f>
        <v>-80970.326794374269</v>
      </c>
    </row>
    <row r="117" spans="1:14" x14ac:dyDescent="0.25">
      <c r="B117" s="1"/>
      <c r="F117" s="31"/>
      <c r="G117" s="31"/>
      <c r="H117" s="31"/>
      <c r="I117" s="31"/>
      <c r="J117" s="31"/>
      <c r="L117" s="31"/>
    </row>
    <row r="118" spans="1:14" x14ac:dyDescent="0.25">
      <c r="B118" s="1" t="s">
        <v>26</v>
      </c>
      <c r="F118" s="31" t="e">
        <f>F116/F106</f>
        <v>#DIV/0!</v>
      </c>
      <c r="G118" s="31"/>
      <c r="H118" s="31" t="e">
        <f>H116/H106</f>
        <v>#DIV/0!</v>
      </c>
      <c r="I118" s="31"/>
      <c r="J118" s="31" t="e">
        <f>J116/J106</f>
        <v>#DIV/0!</v>
      </c>
      <c r="L118" s="31" t="e">
        <f>L116/L106</f>
        <v>#DIV/0!</v>
      </c>
      <c r="N118" s="31">
        <f>N116/N106</f>
        <v>-987.4430096874911</v>
      </c>
    </row>
    <row r="119" spans="1:14" x14ac:dyDescent="0.25">
      <c r="B119" s="1"/>
      <c r="F119" s="31"/>
      <c r="G119" s="31"/>
      <c r="H119" s="31"/>
      <c r="I119" s="31"/>
      <c r="J119" s="31"/>
      <c r="L119" s="31"/>
      <c r="N119" s="31"/>
    </row>
    <row r="120" spans="1:14" x14ac:dyDescent="0.25">
      <c r="B120" s="71" t="s">
        <v>135</v>
      </c>
      <c r="F120" s="31"/>
      <c r="G120" s="31"/>
      <c r="H120" s="31"/>
      <c r="I120" s="31"/>
      <c r="J120" s="31"/>
      <c r="L120" s="31"/>
      <c r="N120" s="31"/>
    </row>
    <row r="121" spans="1:14" s="14" customFormat="1" x14ac:dyDescent="0.25">
      <c r="C121" s="14" t="s">
        <v>136</v>
      </c>
      <c r="F121" s="2">
        <v>0</v>
      </c>
      <c r="G121" s="2"/>
      <c r="H121" s="2">
        <v>0</v>
      </c>
      <c r="I121" s="2"/>
      <c r="J121" s="2">
        <v>0</v>
      </c>
      <c r="K121" s="2"/>
      <c r="L121" s="2">
        <v>0</v>
      </c>
      <c r="N121" s="61">
        <f>'Data to be Gathered'!M55</f>
        <v>21578.195121951219</v>
      </c>
    </row>
    <row r="122" spans="1:14" x14ac:dyDescent="0.25">
      <c r="B122" s="1"/>
      <c r="F122" s="31"/>
      <c r="G122" s="31"/>
      <c r="H122" s="31"/>
      <c r="I122" s="31"/>
      <c r="J122" s="31"/>
      <c r="L122" s="31"/>
      <c r="N122" s="31"/>
    </row>
    <row r="123" spans="1:14" x14ac:dyDescent="0.25">
      <c r="H123" s="38"/>
    </row>
    <row r="124" spans="1:14" x14ac:dyDescent="0.25">
      <c r="F124" s="37" t="str">
        <f>F103</f>
        <v>2013-14</v>
      </c>
      <c r="G124" s="35"/>
      <c r="H124" s="37" t="str">
        <f>H103</f>
        <v>2015-16</v>
      </c>
      <c r="I124" s="35"/>
      <c r="J124" s="37" t="str">
        <f>J103</f>
        <v>2018-19</v>
      </c>
      <c r="L124" s="37" t="str">
        <f>L103</f>
        <v>2019-20</v>
      </c>
      <c r="N124" s="37" t="str">
        <f>N103</f>
        <v>2020-21</v>
      </c>
    </row>
    <row r="125" spans="1:14" x14ac:dyDescent="0.25">
      <c r="A125" s="18" t="s">
        <v>33</v>
      </c>
      <c r="F125" s="31"/>
      <c r="G125" s="31"/>
      <c r="H125" s="38"/>
      <c r="I125" s="31"/>
    </row>
    <row r="126" spans="1:14" x14ac:dyDescent="0.25">
      <c r="F126" s="31"/>
      <c r="G126" s="31"/>
      <c r="H126" s="38"/>
      <c r="I126" s="31"/>
    </row>
    <row r="127" spans="1:14" x14ac:dyDescent="0.25">
      <c r="B127" s="1" t="s">
        <v>6</v>
      </c>
      <c r="F127" s="31">
        <v>0</v>
      </c>
      <c r="G127" s="31"/>
      <c r="H127" s="31">
        <v>0</v>
      </c>
      <c r="I127" s="31"/>
      <c r="J127" s="31">
        <v>0</v>
      </c>
      <c r="L127" s="31">
        <v>0</v>
      </c>
      <c r="N127" s="40">
        <f>J9</f>
        <v>157</v>
      </c>
    </row>
    <row r="128" spans="1:14" x14ac:dyDescent="0.25">
      <c r="B128" s="1"/>
      <c r="F128" s="31"/>
      <c r="G128" s="31"/>
      <c r="H128" s="31"/>
      <c r="I128" s="31"/>
      <c r="J128" s="31"/>
      <c r="L128" s="31"/>
      <c r="N128" s="40"/>
    </row>
    <row r="129" spans="2:14" x14ac:dyDescent="0.25">
      <c r="B129" t="s">
        <v>180</v>
      </c>
      <c r="F129" s="31">
        <v>0</v>
      </c>
      <c r="G129" s="31"/>
      <c r="H129" s="31">
        <v>0</v>
      </c>
      <c r="I129" s="31"/>
      <c r="J129" s="31">
        <v>0</v>
      </c>
      <c r="K129" s="31"/>
      <c r="L129" s="31">
        <v>0</v>
      </c>
      <c r="N129" s="25">
        <f>J21+J26</f>
        <v>3174245</v>
      </c>
    </row>
    <row r="130" spans="2:14" x14ac:dyDescent="0.25">
      <c r="F130" s="31"/>
      <c r="G130" s="31"/>
      <c r="H130" s="31"/>
      <c r="I130" s="31"/>
      <c r="J130" s="31"/>
      <c r="K130" s="31"/>
      <c r="L130" s="31"/>
    </row>
    <row r="131" spans="2:14" x14ac:dyDescent="0.25">
      <c r="B131" t="s">
        <v>181</v>
      </c>
      <c r="F131" s="31" t="e">
        <f>F129/F127</f>
        <v>#DIV/0!</v>
      </c>
      <c r="G131" s="31"/>
      <c r="H131" s="31" t="e">
        <f>H129/H127</f>
        <v>#DIV/0!</v>
      </c>
      <c r="I131" s="31"/>
      <c r="J131" s="31" t="e">
        <f>J129/J127</f>
        <v>#DIV/0!</v>
      </c>
      <c r="K131" s="31"/>
      <c r="L131" s="31" t="e">
        <f>L129/L127</f>
        <v>#DIV/0!</v>
      </c>
      <c r="N131" s="31">
        <f>N129/N127</f>
        <v>20218.121019108279</v>
      </c>
    </row>
    <row r="132" spans="2:14" x14ac:dyDescent="0.25">
      <c r="F132" s="31"/>
      <c r="G132" s="31"/>
      <c r="H132" s="31"/>
      <c r="I132" s="31"/>
      <c r="J132" s="31"/>
      <c r="L132" s="31"/>
    </row>
    <row r="133" spans="2:14" x14ac:dyDescent="0.25">
      <c r="B133" s="32" t="s">
        <v>23</v>
      </c>
      <c r="C133" s="33"/>
      <c r="D133" s="33"/>
      <c r="E133" s="33"/>
      <c r="F133" s="34">
        <v>0</v>
      </c>
      <c r="G133" s="34"/>
      <c r="H133" s="34">
        <v>0</v>
      </c>
      <c r="I133" s="34"/>
      <c r="J133" s="34">
        <v>0</v>
      </c>
      <c r="K133" s="33"/>
      <c r="L133" s="34">
        <v>0</v>
      </c>
      <c r="M133" s="33"/>
      <c r="N133" s="34">
        <f>J61</f>
        <v>3982429.5338557363</v>
      </c>
    </row>
    <row r="134" spans="2:14" x14ac:dyDescent="0.25">
      <c r="B134" s="1"/>
      <c r="F134" s="31"/>
      <c r="G134" s="31"/>
      <c r="H134" s="31"/>
      <c r="I134" s="31"/>
      <c r="J134" s="31"/>
      <c r="L134" s="31"/>
    </row>
    <row r="135" spans="2:14" x14ac:dyDescent="0.25">
      <c r="B135" s="1" t="s">
        <v>24</v>
      </c>
      <c r="F135" s="31" t="e">
        <f>F133/F127</f>
        <v>#DIV/0!</v>
      </c>
      <c r="G135" s="31"/>
      <c r="H135" s="31" t="e">
        <f>H133/H127</f>
        <v>#DIV/0!</v>
      </c>
      <c r="I135" s="31"/>
      <c r="J135" s="31" t="e">
        <f>J133/J127</f>
        <v>#DIV/0!</v>
      </c>
      <c r="L135" s="31" t="e">
        <f>L133/L127</f>
        <v>#DIV/0!</v>
      </c>
      <c r="N135" s="31">
        <f>N133/N127</f>
        <v>25365.793209272204</v>
      </c>
    </row>
    <row r="136" spans="2:14" x14ac:dyDescent="0.25">
      <c r="B136" s="1"/>
      <c r="F136" s="31"/>
      <c r="G136" s="31"/>
      <c r="H136" s="31"/>
      <c r="I136" s="31"/>
      <c r="J136" s="31"/>
      <c r="L136" s="31"/>
    </row>
    <row r="137" spans="2:14" x14ac:dyDescent="0.25">
      <c r="B137" s="32" t="s">
        <v>25</v>
      </c>
      <c r="C137" s="33"/>
      <c r="D137" s="33"/>
      <c r="E137" s="33"/>
      <c r="F137" s="34">
        <v>0</v>
      </c>
      <c r="G137" s="34"/>
      <c r="H137" s="34">
        <v>0</v>
      </c>
      <c r="I137" s="34"/>
      <c r="J137" s="34">
        <v>0</v>
      </c>
      <c r="K137" s="33"/>
      <c r="L137" s="34">
        <v>0</v>
      </c>
      <c r="M137" s="33"/>
      <c r="N137" s="34">
        <f>J66</f>
        <v>-363930.33385573607</v>
      </c>
    </row>
    <row r="138" spans="2:14" x14ac:dyDescent="0.25">
      <c r="B138" s="1"/>
      <c r="F138" s="31"/>
      <c r="G138" s="31"/>
      <c r="H138" s="31"/>
      <c r="I138" s="31"/>
      <c r="J138" s="31"/>
      <c r="L138" s="31"/>
    </row>
    <row r="139" spans="2:14" x14ac:dyDescent="0.25">
      <c r="B139" s="1" t="s">
        <v>26</v>
      </c>
      <c r="F139" s="31" t="e">
        <f>F137/F127</f>
        <v>#DIV/0!</v>
      </c>
      <c r="G139" s="31"/>
      <c r="H139" s="31" t="e">
        <f>H137/H127</f>
        <v>#DIV/0!</v>
      </c>
      <c r="I139" s="31"/>
      <c r="J139" s="31" t="e">
        <f>J137/J127</f>
        <v>#DIV/0!</v>
      </c>
      <c r="L139" s="31" t="e">
        <f>L137/L127</f>
        <v>#DIV/0!</v>
      </c>
      <c r="N139" s="31">
        <f>N137/N127</f>
        <v>-2318.0276041766629</v>
      </c>
    </row>
    <row r="140" spans="2:14" x14ac:dyDescent="0.25">
      <c r="B140" s="1"/>
      <c r="F140" s="31"/>
      <c r="G140" s="31"/>
      <c r="H140" s="39"/>
      <c r="I140" s="31"/>
      <c r="L140" s="31"/>
    </row>
    <row r="141" spans="2:14" x14ac:dyDescent="0.25">
      <c r="B141" s="71" t="s">
        <v>135</v>
      </c>
      <c r="F141" s="31"/>
      <c r="G141" s="31"/>
      <c r="H141" s="39"/>
      <c r="I141" s="31"/>
      <c r="L141" s="31"/>
    </row>
    <row r="142" spans="2:14" s="14" customFormat="1" x14ac:dyDescent="0.25">
      <c r="C142" s="14" t="s">
        <v>136</v>
      </c>
      <c r="F142" s="2">
        <v>0</v>
      </c>
      <c r="G142" s="2"/>
      <c r="H142" s="2">
        <v>0</v>
      </c>
      <c r="I142" s="2"/>
      <c r="J142" s="2">
        <v>0</v>
      </c>
      <c r="K142" s="2"/>
      <c r="L142" s="2">
        <v>0</v>
      </c>
      <c r="N142" s="61">
        <f>'Data to be Gathered'!M66</f>
        <v>20218.121019108279</v>
      </c>
    </row>
    <row r="143" spans="2:14" x14ac:dyDescent="0.25">
      <c r="H143" s="38"/>
    </row>
  </sheetData>
  <pageMargins left="0.25" right="0.25" top="0.75" bottom="0.75" header="0.3" footer="0.3"/>
  <pageSetup orientation="portrait" r:id="rId1"/>
  <headerFooter>
    <oddHeader xml:space="preserve">&amp;R
</oddHeader>
    <oddFooter>&amp;L&amp;8Prepared by Palmer Ball
Palmer Ball Consulting, LLC&amp;C&amp;D&amp;RPage &amp;P</oddFooter>
  </headerFooter>
  <rowBreaks count="1" manualBreakCount="1">
    <brk id="76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pane ySplit="2" topLeftCell="A3" activePane="bottomLeft" state="frozen"/>
      <selection pane="bottomLeft" activeCell="J52" sqref="J52"/>
    </sheetView>
  </sheetViews>
  <sheetFormatPr defaultRowHeight="13.2" x14ac:dyDescent="0.25"/>
  <cols>
    <col min="1" max="1" width="3.109375" customWidth="1"/>
    <col min="2" max="2" width="3.5546875" customWidth="1"/>
    <col min="5" max="5" width="10.33203125" bestFit="1" customWidth="1"/>
    <col min="9" max="9" width="10.44140625" style="31" customWidth="1"/>
  </cols>
  <sheetData>
    <row r="1" spans="1:9" x14ac:dyDescent="0.25">
      <c r="A1" t="str">
        <f>'Cost Effectiveness'!A1</f>
        <v>Sample School</v>
      </c>
    </row>
    <row r="2" spans="1:9" x14ac:dyDescent="0.25">
      <c r="A2" t="s">
        <v>140</v>
      </c>
    </row>
    <row r="4" spans="1:9" x14ac:dyDescent="0.25">
      <c r="A4" t="s">
        <v>141</v>
      </c>
    </row>
    <row r="5" spans="1:9" x14ac:dyDescent="0.25">
      <c r="A5" t="s">
        <v>145</v>
      </c>
      <c r="B5" t="s">
        <v>146</v>
      </c>
      <c r="I5" s="31">
        <f>'Cost Effectiveness'!F39</f>
        <v>1028358.455872084</v>
      </c>
    </row>
    <row r="7" spans="1:9" x14ac:dyDescent="0.25">
      <c r="A7" t="s">
        <v>142</v>
      </c>
      <c r="I7" s="31">
        <f>'Data to be Gathered'!T32</f>
        <v>7</v>
      </c>
    </row>
    <row r="9" spans="1:9" x14ac:dyDescent="0.25">
      <c r="A9" t="s">
        <v>143</v>
      </c>
      <c r="I9" s="31">
        <f>I5/I7</f>
        <v>146908.35083886914</v>
      </c>
    </row>
    <row r="11" spans="1:9" x14ac:dyDescent="0.25">
      <c r="A11" t="s">
        <v>147</v>
      </c>
    </row>
    <row r="13" spans="1:9" x14ac:dyDescent="0.25">
      <c r="B13" t="s">
        <v>144</v>
      </c>
      <c r="I13" s="31">
        <f>'Data to be Gathered'!M44</f>
        <v>16573.731707317074</v>
      </c>
    </row>
    <row r="15" spans="1:9" x14ac:dyDescent="0.25">
      <c r="B15" s="18" t="s">
        <v>148</v>
      </c>
    </row>
    <row r="17" spans="3:9" s="35" customFormat="1" x14ac:dyDescent="0.25">
      <c r="E17" s="35" t="s">
        <v>150</v>
      </c>
      <c r="G17" s="35" t="s">
        <v>153</v>
      </c>
      <c r="I17" s="51"/>
    </row>
    <row r="18" spans="3:9" s="35" customFormat="1" x14ac:dyDescent="0.25">
      <c r="C18" s="35" t="s">
        <v>122</v>
      </c>
      <c r="E18" s="35" t="s">
        <v>151</v>
      </c>
      <c r="G18" s="35" t="s">
        <v>154</v>
      </c>
      <c r="I18" s="51" t="s">
        <v>156</v>
      </c>
    </row>
    <row r="19" spans="3:9" s="35" customFormat="1" x14ac:dyDescent="0.25">
      <c r="C19" s="37" t="s">
        <v>149</v>
      </c>
      <c r="E19" s="37" t="s">
        <v>152</v>
      </c>
      <c r="G19" s="37" t="s">
        <v>155</v>
      </c>
      <c r="I19" s="48" t="s">
        <v>157</v>
      </c>
    </row>
    <row r="21" spans="3:9" x14ac:dyDescent="0.25">
      <c r="C21">
        <v>5</v>
      </c>
      <c r="E21" s="25">
        <f>C21*$I$13</f>
        <v>82868.658536585368</v>
      </c>
      <c r="G21" s="25">
        <f>$I$9</f>
        <v>146908.35083886914</v>
      </c>
      <c r="I21" s="31">
        <f>E21-G21</f>
        <v>-64039.692302283773</v>
      </c>
    </row>
    <row r="22" spans="3:9" x14ac:dyDescent="0.25">
      <c r="C22">
        <v>6</v>
      </c>
      <c r="E22" s="25">
        <f t="shared" ref="E22:E29" si="0">C22*$I$13</f>
        <v>99442.390243902453</v>
      </c>
      <c r="G22" s="25">
        <f t="shared" ref="G22:G29" si="1">$I$9</f>
        <v>146908.35083886914</v>
      </c>
      <c r="I22" s="31">
        <f t="shared" ref="I22:I29" si="2">E22-G22</f>
        <v>-47465.960594966687</v>
      </c>
    </row>
    <row r="23" spans="3:9" x14ac:dyDescent="0.25">
      <c r="C23">
        <v>7</v>
      </c>
      <c r="E23" s="25">
        <f t="shared" si="0"/>
        <v>116016.12195121952</v>
      </c>
      <c r="G23" s="25">
        <f t="shared" si="1"/>
        <v>146908.35083886914</v>
      </c>
      <c r="I23" s="31">
        <f t="shared" si="2"/>
        <v>-30892.228887649617</v>
      </c>
    </row>
    <row r="24" spans="3:9" x14ac:dyDescent="0.25">
      <c r="C24">
        <v>8</v>
      </c>
      <c r="E24" s="25">
        <f t="shared" si="0"/>
        <v>132589.85365853659</v>
      </c>
      <c r="G24" s="25">
        <f t="shared" si="1"/>
        <v>146908.35083886914</v>
      </c>
      <c r="I24" s="31">
        <f t="shared" si="2"/>
        <v>-14318.497180332546</v>
      </c>
    </row>
    <row r="25" spans="3:9" x14ac:dyDescent="0.25">
      <c r="C25">
        <v>9</v>
      </c>
      <c r="E25" s="25">
        <f t="shared" si="0"/>
        <v>149163.58536585368</v>
      </c>
      <c r="G25" s="25">
        <f t="shared" si="1"/>
        <v>146908.35083886914</v>
      </c>
      <c r="I25" s="31">
        <f t="shared" si="2"/>
        <v>2255.2345269845391</v>
      </c>
    </row>
    <row r="26" spans="3:9" x14ac:dyDescent="0.25">
      <c r="C26">
        <v>10</v>
      </c>
      <c r="E26" s="25">
        <f t="shared" si="0"/>
        <v>165737.31707317074</v>
      </c>
      <c r="G26" s="25">
        <f t="shared" si="1"/>
        <v>146908.35083886914</v>
      </c>
      <c r="I26" s="31">
        <f t="shared" si="2"/>
        <v>18828.966234301595</v>
      </c>
    </row>
    <row r="27" spans="3:9" x14ac:dyDescent="0.25">
      <c r="C27">
        <v>11</v>
      </c>
      <c r="E27" s="25">
        <f t="shared" si="0"/>
        <v>182311.04878048782</v>
      </c>
      <c r="G27" s="25">
        <f t="shared" si="1"/>
        <v>146908.35083886914</v>
      </c>
      <c r="I27" s="31">
        <f t="shared" si="2"/>
        <v>35402.69794161868</v>
      </c>
    </row>
    <row r="28" spans="3:9" x14ac:dyDescent="0.25">
      <c r="C28">
        <v>12</v>
      </c>
      <c r="E28" s="25">
        <f t="shared" si="0"/>
        <v>198884.78048780491</v>
      </c>
      <c r="G28" s="25">
        <f t="shared" si="1"/>
        <v>146908.35083886914</v>
      </c>
      <c r="I28" s="31">
        <f t="shared" si="2"/>
        <v>51976.429648935766</v>
      </c>
    </row>
    <row r="29" spans="3:9" x14ac:dyDescent="0.25">
      <c r="C29">
        <v>13</v>
      </c>
      <c r="E29" s="25">
        <f t="shared" si="0"/>
        <v>215458.51219512196</v>
      </c>
      <c r="G29" s="25">
        <f t="shared" si="1"/>
        <v>146908.35083886914</v>
      </c>
      <c r="I29" s="31">
        <f t="shared" si="2"/>
        <v>68550.161356252822</v>
      </c>
    </row>
    <row r="31" spans="3:9" s="67" customFormat="1" ht="11.4" x14ac:dyDescent="0.2">
      <c r="C31" s="75" t="s">
        <v>158</v>
      </c>
      <c r="I31" s="74"/>
    </row>
    <row r="32" spans="3:9" s="67" customFormat="1" ht="11.4" x14ac:dyDescent="0.2">
      <c r="C32" s="75" t="s">
        <v>159</v>
      </c>
      <c r="I32" s="74"/>
    </row>
    <row r="34" spans="3:3" x14ac:dyDescent="0.25">
      <c r="C34" s="1" t="s">
        <v>182</v>
      </c>
    </row>
    <row r="35" spans="3:3" x14ac:dyDescent="0.25">
      <c r="C35" s="1" t="s">
        <v>167</v>
      </c>
    </row>
    <row r="36" spans="3:3" x14ac:dyDescent="0.25">
      <c r="C36" s="1" t="s">
        <v>160</v>
      </c>
    </row>
    <row r="37" spans="3:3" x14ac:dyDescent="0.25">
      <c r="C37" s="1" t="s">
        <v>161</v>
      </c>
    </row>
    <row r="39" spans="3:3" x14ac:dyDescent="0.25">
      <c r="C39" s="1" t="s">
        <v>162</v>
      </c>
    </row>
    <row r="40" spans="3:3" x14ac:dyDescent="0.25">
      <c r="C40" s="1" t="s">
        <v>163</v>
      </c>
    </row>
    <row r="41" spans="3:3" x14ac:dyDescent="0.25">
      <c r="C41" s="1" t="s">
        <v>164</v>
      </c>
    </row>
    <row r="42" spans="3:3" x14ac:dyDescent="0.25">
      <c r="C42" s="1" t="s">
        <v>168</v>
      </c>
    </row>
    <row r="43" spans="3:3" x14ac:dyDescent="0.25">
      <c r="C43" s="1" t="s">
        <v>169</v>
      </c>
    </row>
    <row r="44" spans="3:3" x14ac:dyDescent="0.25">
      <c r="C44" s="1" t="s">
        <v>170</v>
      </c>
    </row>
    <row r="45" spans="3:3" x14ac:dyDescent="0.25">
      <c r="C45" s="1" t="s">
        <v>171</v>
      </c>
    </row>
    <row r="46" spans="3:3" x14ac:dyDescent="0.25">
      <c r="C46" s="1" t="s">
        <v>172</v>
      </c>
    </row>
    <row r="48" spans="3:3" x14ac:dyDescent="0.25">
      <c r="C48" s="18" t="s">
        <v>177</v>
      </c>
    </row>
    <row r="49" spans="3:3" x14ac:dyDescent="0.25">
      <c r="C49" s="18" t="s">
        <v>178</v>
      </c>
    </row>
  </sheetData>
  <pageMargins left="0.7" right="0.7" top="0.75" bottom="0.75" header="0.3" footer="0.3"/>
  <pageSetup orientation="portrait" r:id="rId1"/>
  <headerFooter>
    <oddFooter>&amp;L&amp;8Prepared by Palmer Ball
Palmer Ball Consulting, LLC&amp;R&amp;D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 to be Gathered</vt:lpstr>
      <vt:lpstr>Cost Effectiveness</vt:lpstr>
      <vt:lpstr>Class Size Breakeven</vt:lpstr>
      <vt:lpstr>Sheet1</vt:lpstr>
      <vt:lpstr>Sheet2</vt:lpstr>
      <vt:lpstr>'Cost Effectiveness'!Print_Area</vt:lpstr>
      <vt:lpstr>'Cost Effectiveness'!Print_Titles</vt:lpstr>
      <vt:lpstr>'Data to be Gathered'!Print_Titles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palmerball</dc:creator>
  <cp:lastModifiedBy>Palmer Ball</cp:lastModifiedBy>
  <cp:lastPrinted>2019-04-23T00:08:12Z</cp:lastPrinted>
  <dcterms:created xsi:type="dcterms:W3CDTF">2016-09-11T01:27:28Z</dcterms:created>
  <dcterms:modified xsi:type="dcterms:W3CDTF">2021-08-28T01:18:03Z</dcterms:modified>
</cp:coreProperties>
</file>