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https://d.docs.live.net/238178de8b721771/MVHOA/Financials/"/>
    </mc:Choice>
  </mc:AlternateContent>
  <xr:revisionPtr revIDLastSave="0" documentId="8_{30A0E22A-6716-7141-91BE-958C41436431}" xr6:coauthVersionLast="47" xr6:coauthVersionMax="47" xr10:uidLastSave="{00000000-0000-0000-0000-000000000000}"/>
  <bookViews>
    <workbookView xWindow="-100" yWindow="600" windowWidth="13960" windowHeight="28200" firstSheet="6" activeTab="10" xr2:uid="{00000000-000D-0000-FFFF-FFFF00000000}"/>
  </bookViews>
  <sheets>
    <sheet name="P &amp;L Chart" sheetId="19" r:id="rId1"/>
    <sheet name="Revenue Chart " sheetId="21" r:id="rId2"/>
    <sheet name="Income Chart" sheetId="18" r:id="rId3"/>
    <sheet name="Expense Chart " sheetId="17" r:id="rId4"/>
    <sheet name="Expanded P&amp;L Chart " sheetId="26" r:id="rId5"/>
    <sheet name="Capital Expense Chart" sheetId="28" r:id="rId6"/>
    <sheet name="Sheet3" sheetId="15" r:id="rId7"/>
    <sheet name="Loan-150,000 " sheetId="29" r:id="rId8"/>
    <sheet name="Loan-150,000 prepay" sheetId="24" r:id="rId9"/>
    <sheet name="Abbreviate P&amp;L" sheetId="25" r:id="rId10"/>
    <sheet name="8 Yr Forecast LT Adj Assump" sheetId="23" r:id="rId11"/>
    <sheet name="Cap Ex fcst" sheetId="27" r:id="rId12"/>
  </sheets>
  <definedNames>
    <definedName name="_xlnm.Print_Area" localSheetId="10">'8 Yr Forecast LT Adj Assump'!$A$1:$U$95</definedName>
    <definedName name="_xlnm.Print_Area" localSheetId="9">'Abbreviate P&amp;L'!$A$1:$I$37</definedName>
    <definedName name="_xlnm.Print_Titles" localSheetId="10">'8 Yr Forecast LT Adj Assump'!$A:$B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23" l="1"/>
  <c r="G64" i="23"/>
  <c r="G66" i="23" s="1"/>
  <c r="G58" i="23"/>
  <c r="G43" i="23"/>
  <c r="G47" i="23" s="1"/>
  <c r="G51" i="23" s="1"/>
  <c r="G41" i="23"/>
  <c r="G39" i="23"/>
  <c r="G33" i="23"/>
  <c r="G27" i="23"/>
  <c r="G23" i="23"/>
  <c r="G14" i="23"/>
  <c r="G11" i="23"/>
  <c r="G72" i="23" l="1"/>
  <c r="G74" i="23" s="1"/>
  <c r="O19" i="27" l="1"/>
  <c r="O18" i="27"/>
  <c r="D37" i="27" s="1"/>
  <c r="O17" i="27"/>
  <c r="O16" i="27"/>
  <c r="D38" i="27" s="1"/>
  <c r="O15" i="27"/>
  <c r="O14" i="27"/>
  <c r="O13" i="27"/>
  <c r="O12" i="27"/>
  <c r="O11" i="27"/>
  <c r="D34" i="27" s="1"/>
  <c r="O10" i="27"/>
  <c r="D36" i="27" s="1"/>
  <c r="O9" i="27"/>
  <c r="D35" i="27" s="1"/>
  <c r="O8" i="27"/>
  <c r="I31" i="23"/>
  <c r="O5" i="15"/>
  <c r="N5" i="15"/>
  <c r="M5" i="15"/>
  <c r="L5" i="15"/>
  <c r="K5" i="15"/>
  <c r="J5" i="15"/>
  <c r="I5" i="15"/>
  <c r="O21" i="27" l="1"/>
  <c r="D43" i="27" s="1"/>
  <c r="E36" i="27" s="1"/>
  <c r="D39" i="27"/>
  <c r="D40" i="27" s="1"/>
  <c r="E35" i="27" l="1"/>
  <c r="E38" i="27"/>
  <c r="E34" i="27"/>
  <c r="E37" i="27"/>
  <c r="E40" i="27"/>
  <c r="D41" i="27"/>
  <c r="D31" i="27"/>
  <c r="D30" i="27"/>
  <c r="E39" i="27" l="1"/>
  <c r="E41" i="27" s="1"/>
  <c r="G116" i="23"/>
  <c r="E113" i="23"/>
  <c r="E112" i="23"/>
  <c r="E114" i="23" s="1"/>
  <c r="G114" i="23" s="1"/>
  <c r="C114" i="23"/>
  <c r="M25" i="27"/>
  <c r="M24" i="27"/>
  <c r="M23" i="27"/>
  <c r="M21" i="27"/>
  <c r="K31" i="23"/>
  <c r="M26" i="27" l="1"/>
  <c r="C103" i="23" l="1"/>
  <c r="L21" i="27"/>
  <c r="K21" i="27"/>
  <c r="J21" i="27"/>
  <c r="I21" i="27"/>
  <c r="H21" i="27"/>
  <c r="G21" i="27"/>
  <c r="F21" i="27"/>
  <c r="E21" i="27"/>
  <c r="D21" i="27"/>
  <c r="K111" i="24"/>
  <c r="M89" i="23" s="1"/>
  <c r="C111" i="29"/>
  <c r="F91" i="29"/>
  <c r="F92" i="29" s="1"/>
  <c r="F93" i="29" s="1"/>
  <c r="F94" i="29" s="1"/>
  <c r="F95" i="29" s="1"/>
  <c r="F96" i="29" s="1"/>
  <c r="F97" i="29" s="1"/>
  <c r="F98" i="29" s="1"/>
  <c r="F99" i="29" s="1"/>
  <c r="F100" i="29" s="1"/>
  <c r="F101" i="29" s="1"/>
  <c r="F102" i="29" s="1"/>
  <c r="F103" i="29" s="1"/>
  <c r="F104" i="29" s="1"/>
  <c r="F105" i="29" s="1"/>
  <c r="F106" i="29" s="1"/>
  <c r="F107" i="29" s="1"/>
  <c r="F108" i="29" s="1"/>
  <c r="I29" i="29"/>
  <c r="I30" i="29" s="1"/>
  <c r="I31" i="29" s="1"/>
  <c r="I32" i="29" s="1"/>
  <c r="I33" i="29" s="1"/>
  <c r="I34" i="29" s="1"/>
  <c r="I35" i="29" s="1"/>
  <c r="I36" i="29" s="1"/>
  <c r="I37" i="29" s="1"/>
  <c r="I38" i="29" s="1"/>
  <c r="I39" i="29" s="1"/>
  <c r="I40" i="29" s="1"/>
  <c r="I41" i="29" s="1"/>
  <c r="I42" i="29" s="1"/>
  <c r="I43" i="29" s="1"/>
  <c r="I44" i="29" s="1"/>
  <c r="I45" i="29" s="1"/>
  <c r="I46" i="29" s="1"/>
  <c r="I47" i="29" s="1"/>
  <c r="I48" i="29" s="1"/>
  <c r="I49" i="29" s="1"/>
  <c r="I50" i="29" s="1"/>
  <c r="I51" i="29" s="1"/>
  <c r="I52" i="29" s="1"/>
  <c r="I53" i="29" s="1"/>
  <c r="I54" i="29" s="1"/>
  <c r="I55" i="29" s="1"/>
  <c r="I56" i="29" s="1"/>
  <c r="I57" i="29" s="1"/>
  <c r="I58" i="29" s="1"/>
  <c r="I59" i="29" s="1"/>
  <c r="I60" i="29" s="1"/>
  <c r="I61" i="29" s="1"/>
  <c r="I62" i="29" s="1"/>
  <c r="I63" i="29" s="1"/>
  <c r="I64" i="29" s="1"/>
  <c r="I65" i="29" s="1"/>
  <c r="I66" i="29" s="1"/>
  <c r="I67" i="29" s="1"/>
  <c r="I68" i="29" s="1"/>
  <c r="I69" i="29" s="1"/>
  <c r="I70" i="29" s="1"/>
  <c r="I71" i="29" s="1"/>
  <c r="I72" i="29" s="1"/>
  <c r="I73" i="29" s="1"/>
  <c r="I74" i="29" s="1"/>
  <c r="I75" i="29" s="1"/>
  <c r="I76" i="29" s="1"/>
  <c r="I77" i="29" s="1"/>
  <c r="I78" i="29" s="1"/>
  <c r="I79" i="29" s="1"/>
  <c r="I80" i="29" s="1"/>
  <c r="I81" i="29" s="1"/>
  <c r="I82" i="29" s="1"/>
  <c r="I83" i="29" s="1"/>
  <c r="I84" i="29" s="1"/>
  <c r="I85" i="29" s="1"/>
  <c r="I86" i="29" s="1"/>
  <c r="I87" i="29" s="1"/>
  <c r="I88" i="29" s="1"/>
  <c r="I89" i="29" s="1"/>
  <c r="I90" i="29" s="1"/>
  <c r="I91" i="29" s="1"/>
  <c r="I92" i="29" s="1"/>
  <c r="I93" i="29" s="1"/>
  <c r="I94" i="29" s="1"/>
  <c r="I95" i="29" s="1"/>
  <c r="I96" i="29" s="1"/>
  <c r="I97" i="29" s="1"/>
  <c r="I98" i="29" s="1"/>
  <c r="I99" i="29" s="1"/>
  <c r="I100" i="29" s="1"/>
  <c r="I101" i="29" s="1"/>
  <c r="I102" i="29" s="1"/>
  <c r="I103" i="29" s="1"/>
  <c r="I104" i="29" s="1"/>
  <c r="I105" i="29" s="1"/>
  <c r="I106" i="29" s="1"/>
  <c r="I107" i="29" s="1"/>
  <c r="I108" i="29" s="1"/>
  <c r="I109" i="29" s="1"/>
  <c r="I110" i="29" s="1"/>
  <c r="I111" i="29" s="1"/>
  <c r="F29" i="29"/>
  <c r="F30" i="29" s="1"/>
  <c r="F31" i="29" s="1"/>
  <c r="F32" i="29" s="1"/>
  <c r="F33" i="29" s="1"/>
  <c r="F34" i="29" s="1"/>
  <c r="F35" i="29" s="1"/>
  <c r="F36" i="29" s="1"/>
  <c r="F37" i="29" s="1"/>
  <c r="F38" i="29" s="1"/>
  <c r="F39" i="29" s="1"/>
  <c r="F40" i="29" s="1"/>
  <c r="F41" i="29" s="1"/>
  <c r="F42" i="29" s="1"/>
  <c r="F43" i="29" s="1"/>
  <c r="F44" i="29" s="1"/>
  <c r="F45" i="29" s="1"/>
  <c r="F46" i="29" s="1"/>
  <c r="F47" i="29" s="1"/>
  <c r="F48" i="29" s="1"/>
  <c r="F49" i="29" s="1"/>
  <c r="F50" i="29" s="1"/>
  <c r="F51" i="29" s="1"/>
  <c r="F52" i="29" s="1"/>
  <c r="F53" i="29" s="1"/>
  <c r="F54" i="29" s="1"/>
  <c r="F55" i="29" s="1"/>
  <c r="F56" i="29" s="1"/>
  <c r="F57" i="29" s="1"/>
  <c r="F58" i="29" s="1"/>
  <c r="F59" i="29" s="1"/>
  <c r="F60" i="29" s="1"/>
  <c r="F61" i="29" s="1"/>
  <c r="F62" i="29" s="1"/>
  <c r="F63" i="29" s="1"/>
  <c r="F64" i="29" s="1"/>
  <c r="F65" i="29" s="1"/>
  <c r="F66" i="29" s="1"/>
  <c r="F67" i="29" s="1"/>
  <c r="F68" i="29" s="1"/>
  <c r="F69" i="29" s="1"/>
  <c r="F70" i="29" s="1"/>
  <c r="F71" i="29" s="1"/>
  <c r="F72" i="29" s="1"/>
  <c r="F73" i="29" s="1"/>
  <c r="F74" i="29" s="1"/>
  <c r="F75" i="29" s="1"/>
  <c r="F76" i="29" s="1"/>
  <c r="F77" i="29" s="1"/>
  <c r="F78" i="29" s="1"/>
  <c r="F79" i="29" s="1"/>
  <c r="F80" i="29" s="1"/>
  <c r="F81" i="29" s="1"/>
  <c r="F82" i="29" s="1"/>
  <c r="F83" i="29" s="1"/>
  <c r="F84" i="29" s="1"/>
  <c r="F85" i="29" s="1"/>
  <c r="F86" i="29" s="1"/>
  <c r="F87" i="29" s="1"/>
  <c r="F88" i="29" s="1"/>
  <c r="F89" i="29" s="1"/>
  <c r="G28" i="29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G51" i="29" s="1"/>
  <c r="G52" i="29" s="1"/>
  <c r="G53" i="29" s="1"/>
  <c r="G54" i="29" s="1"/>
  <c r="G55" i="29" s="1"/>
  <c r="G56" i="29" s="1"/>
  <c r="G57" i="29" s="1"/>
  <c r="G58" i="29" s="1"/>
  <c r="G59" i="29" s="1"/>
  <c r="G60" i="29" s="1"/>
  <c r="G61" i="29" s="1"/>
  <c r="G62" i="29" s="1"/>
  <c r="G63" i="29" s="1"/>
  <c r="G64" i="29" s="1"/>
  <c r="G65" i="29" s="1"/>
  <c r="G66" i="29" s="1"/>
  <c r="G67" i="29" s="1"/>
  <c r="G68" i="29" s="1"/>
  <c r="G69" i="29" s="1"/>
  <c r="G70" i="29" s="1"/>
  <c r="G71" i="29" s="1"/>
  <c r="G72" i="29" s="1"/>
  <c r="G73" i="29" s="1"/>
  <c r="G74" i="29" s="1"/>
  <c r="G75" i="29" s="1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6" i="29" s="1"/>
  <c r="G87" i="29" s="1"/>
  <c r="G88" i="29" s="1"/>
  <c r="G89" i="29" s="1"/>
  <c r="G90" i="29" s="1"/>
  <c r="G91" i="29" s="1"/>
  <c r="G92" i="29" s="1"/>
  <c r="G93" i="29" s="1"/>
  <c r="G94" i="29" s="1"/>
  <c r="G95" i="29" s="1"/>
  <c r="G96" i="29" s="1"/>
  <c r="G97" i="29" s="1"/>
  <c r="G98" i="29" s="1"/>
  <c r="G99" i="29" s="1"/>
  <c r="G100" i="29" s="1"/>
  <c r="G101" i="29" s="1"/>
  <c r="G102" i="29" s="1"/>
  <c r="G103" i="29" s="1"/>
  <c r="G104" i="29" s="1"/>
  <c r="G105" i="29" s="1"/>
  <c r="G106" i="29" s="1"/>
  <c r="G107" i="29" s="1"/>
  <c r="G108" i="29" s="1"/>
  <c r="G109" i="29" s="1"/>
  <c r="G110" i="29" s="1"/>
  <c r="G111" i="29" s="1"/>
  <c r="A28" i="29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G27" i="29"/>
  <c r="C27" i="29"/>
  <c r="D11" i="29"/>
  <c r="D27" i="29" s="1"/>
  <c r="E27" i="29" s="1"/>
  <c r="H27" i="29" s="1"/>
  <c r="B28" i="29" s="1"/>
  <c r="O73" i="23"/>
  <c r="D15" i="29" l="1"/>
  <c r="D28" i="29"/>
  <c r="C28" i="29" l="1"/>
  <c r="D21" i="29"/>
  <c r="D23" i="29" s="1"/>
  <c r="E28" i="29" l="1"/>
  <c r="H28" i="29" s="1"/>
  <c r="B29" i="29" s="1"/>
  <c r="C29" i="29"/>
  <c r="G111" i="23"/>
  <c r="C30" i="29" l="1"/>
  <c r="D29" i="29"/>
  <c r="E29" i="29" s="1"/>
  <c r="H29" i="29" s="1"/>
  <c r="B30" i="29" s="1"/>
  <c r="C78" i="23"/>
  <c r="O48" i="15"/>
  <c r="N48" i="15"/>
  <c r="M48" i="15"/>
  <c r="L48" i="15"/>
  <c r="K48" i="15"/>
  <c r="J48" i="15"/>
  <c r="I48" i="15"/>
  <c r="H48" i="15"/>
  <c r="G48" i="15"/>
  <c r="F48" i="15"/>
  <c r="D30" i="29" l="1"/>
  <c r="E30" i="29"/>
  <c r="H30" i="29" s="1"/>
  <c r="B31" i="29" s="1"/>
  <c r="C31" i="29"/>
  <c r="E9" i="25"/>
  <c r="D31" i="29" l="1"/>
  <c r="E31" i="29"/>
  <c r="H31" i="29" s="1"/>
  <c r="B32" i="29" s="1"/>
  <c r="C32" i="29"/>
  <c r="M73" i="23"/>
  <c r="C93" i="23"/>
  <c r="Q73" i="23"/>
  <c r="D32" i="29" l="1"/>
  <c r="E32" i="29"/>
  <c r="H32" i="29" s="1"/>
  <c r="B33" i="29" s="1"/>
  <c r="C33" i="29"/>
  <c r="D33" i="29" l="1"/>
  <c r="C34" i="29"/>
  <c r="E33" i="29"/>
  <c r="H33" i="29" s="1"/>
  <c r="B34" i="29" s="1"/>
  <c r="L25" i="27"/>
  <c r="U63" i="23" s="1"/>
  <c r="K25" i="27"/>
  <c r="S63" i="23" s="1"/>
  <c r="J25" i="27"/>
  <c r="Q63" i="23" s="1"/>
  <c r="I25" i="27"/>
  <c r="O63" i="23" s="1"/>
  <c r="H25" i="27"/>
  <c r="M63" i="23" s="1"/>
  <c r="G25" i="27"/>
  <c r="K63" i="23" s="1"/>
  <c r="F25" i="27"/>
  <c r="E25" i="27"/>
  <c r="L24" i="27"/>
  <c r="U62" i="23" s="1"/>
  <c r="K24" i="27"/>
  <c r="S62" i="23" s="1"/>
  <c r="J24" i="27"/>
  <c r="Q62" i="23" s="1"/>
  <c r="I24" i="27"/>
  <c r="O62" i="23" s="1"/>
  <c r="H24" i="27"/>
  <c r="M62" i="23" s="1"/>
  <c r="G24" i="27"/>
  <c r="K62" i="23" s="1"/>
  <c r="F24" i="27"/>
  <c r="E24" i="27"/>
  <c r="L23" i="27"/>
  <c r="U61" i="23" s="1"/>
  <c r="K23" i="27"/>
  <c r="S61" i="23" s="1"/>
  <c r="J23" i="27"/>
  <c r="I23" i="27"/>
  <c r="O61" i="23" s="1"/>
  <c r="H23" i="27"/>
  <c r="M61" i="23" s="1"/>
  <c r="G23" i="27"/>
  <c r="K61" i="23" s="1"/>
  <c r="F23" i="27"/>
  <c r="E23" i="27"/>
  <c r="D25" i="27"/>
  <c r="D24" i="27"/>
  <c r="D23" i="27"/>
  <c r="I61" i="23" l="1"/>
  <c r="N23" i="27"/>
  <c r="I62" i="23"/>
  <c r="N24" i="27"/>
  <c r="I63" i="23"/>
  <c r="N25" i="27"/>
  <c r="J26" i="27"/>
  <c r="Q61" i="23"/>
  <c r="D34" i="29"/>
  <c r="E34" i="29"/>
  <c r="H34" i="29" s="1"/>
  <c r="B35" i="29" s="1"/>
  <c r="C35" i="29"/>
  <c r="L26" i="27"/>
  <c r="K26" i="27"/>
  <c r="I26" i="27"/>
  <c r="H26" i="27"/>
  <c r="G26" i="27"/>
  <c r="F26" i="27"/>
  <c r="E26" i="27"/>
  <c r="O36" i="15"/>
  <c r="N26" i="27" l="1"/>
  <c r="N27" i="27"/>
  <c r="H35" i="15"/>
  <c r="E78" i="23"/>
  <c r="D35" i="29"/>
  <c r="E35" i="29"/>
  <c r="H35" i="29" s="1"/>
  <c r="B36" i="29" s="1"/>
  <c r="C36" i="29"/>
  <c r="E21" i="25"/>
  <c r="E43" i="25" s="1"/>
  <c r="S22" i="25"/>
  <c r="G35" i="15"/>
  <c r="E26" i="25"/>
  <c r="E48" i="25" s="1"/>
  <c r="C22" i="25"/>
  <c r="F36" i="15" s="1"/>
  <c r="E15" i="25"/>
  <c r="E14" i="25"/>
  <c r="E13" i="25"/>
  <c r="E12" i="25"/>
  <c r="E8" i="25"/>
  <c r="E7" i="25"/>
  <c r="G10" i="15" s="1"/>
  <c r="E6" i="25"/>
  <c r="U4" i="25"/>
  <c r="S4" i="25"/>
  <c r="Q4" i="25"/>
  <c r="O4" i="25"/>
  <c r="M4" i="25"/>
  <c r="K4" i="25"/>
  <c r="I4" i="25"/>
  <c r="G4" i="25"/>
  <c r="E4" i="25"/>
  <c r="C4" i="25"/>
  <c r="G20" i="15"/>
  <c r="F20" i="15"/>
  <c r="G19" i="15"/>
  <c r="G18" i="15"/>
  <c r="G17" i="15"/>
  <c r="G16" i="15"/>
  <c r="G9" i="15"/>
  <c r="G8" i="15"/>
  <c r="G7" i="15"/>
  <c r="E30" i="27" l="1"/>
  <c r="E31" i="27"/>
  <c r="G26" i="15"/>
  <c r="D36" i="29"/>
  <c r="E36" i="29"/>
  <c r="H36" i="29" s="1"/>
  <c r="B37" i="29" s="1"/>
  <c r="C37" i="29"/>
  <c r="E10" i="25"/>
  <c r="G33" i="15" s="1"/>
  <c r="E17" i="25"/>
  <c r="G34" i="15" s="1"/>
  <c r="C44" i="25"/>
  <c r="G11" i="15"/>
  <c r="G29" i="15" s="1"/>
  <c r="G21" i="15"/>
  <c r="G30" i="15" s="1"/>
  <c r="D37" i="29" l="1"/>
  <c r="C38" i="29"/>
  <c r="E37" i="29"/>
  <c r="H37" i="29" s="1"/>
  <c r="B38" i="29" s="1"/>
  <c r="E36" i="25"/>
  <c r="E39" i="25"/>
  <c r="E19" i="25"/>
  <c r="F5" i="15"/>
  <c r="E109" i="23"/>
  <c r="S8" i="23" l="1"/>
  <c r="I8" i="23"/>
  <c r="K8" i="23"/>
  <c r="D38" i="29"/>
  <c r="C39" i="29"/>
  <c r="E38" i="29"/>
  <c r="H38" i="29" s="1"/>
  <c r="B39" i="29" s="1"/>
  <c r="K38" i="29"/>
  <c r="O8" i="23"/>
  <c r="Q8" i="23"/>
  <c r="U8" i="23"/>
  <c r="M8" i="23"/>
  <c r="D39" i="29" l="1"/>
  <c r="C40" i="29"/>
  <c r="E39" i="29"/>
  <c r="H39" i="29" s="1"/>
  <c r="B40" i="29" s="1"/>
  <c r="I38" i="23"/>
  <c r="K38" i="23" s="1"/>
  <c r="M38" i="23" s="1"/>
  <c r="O38" i="23" s="1"/>
  <c r="Q38" i="23" s="1"/>
  <c r="S38" i="23" s="1"/>
  <c r="I32" i="23"/>
  <c r="K32" i="23" s="1"/>
  <c r="M32" i="23" s="1"/>
  <c r="O32" i="23" s="1"/>
  <c r="Q32" i="23" s="1"/>
  <c r="S32" i="23" s="1"/>
  <c r="I22" i="23"/>
  <c r="K22" i="23" s="1"/>
  <c r="M22" i="23" s="1"/>
  <c r="O22" i="23" s="1"/>
  <c r="Q22" i="23" s="1"/>
  <c r="S22" i="23" s="1"/>
  <c r="S70" i="23"/>
  <c r="Q70" i="23"/>
  <c r="O70" i="23"/>
  <c r="M70" i="23"/>
  <c r="K70" i="23"/>
  <c r="I70" i="23"/>
  <c r="I37" i="23"/>
  <c r="K37" i="23" s="1"/>
  <c r="M37" i="23" s="1"/>
  <c r="O37" i="23" s="1"/>
  <c r="Q37" i="23" s="1"/>
  <c r="S37" i="23" s="1"/>
  <c r="I36" i="23"/>
  <c r="K36" i="23" s="1"/>
  <c r="M36" i="23" s="1"/>
  <c r="O36" i="23" s="1"/>
  <c r="Q36" i="23" s="1"/>
  <c r="S36" i="23" s="1"/>
  <c r="I35" i="23"/>
  <c r="M31" i="23"/>
  <c r="O31" i="23" s="1"/>
  <c r="Q31" i="23" s="1"/>
  <c r="S31" i="23" s="1"/>
  <c r="I30" i="23"/>
  <c r="K30" i="23" s="1"/>
  <c r="M30" i="23" s="1"/>
  <c r="O30" i="23" s="1"/>
  <c r="Q30" i="23" s="1"/>
  <c r="S30" i="23" s="1"/>
  <c r="I26" i="23"/>
  <c r="K26" i="23" s="1"/>
  <c r="M26" i="23" s="1"/>
  <c r="O26" i="23" s="1"/>
  <c r="Q26" i="23" s="1"/>
  <c r="S26" i="23" s="1"/>
  <c r="I25" i="23"/>
  <c r="I21" i="23"/>
  <c r="K21" i="23" s="1"/>
  <c r="M21" i="23" s="1"/>
  <c r="O21" i="23" s="1"/>
  <c r="Q21" i="23" s="1"/>
  <c r="S21" i="23" s="1"/>
  <c r="I20" i="23"/>
  <c r="K20" i="23" s="1"/>
  <c r="M20" i="23" s="1"/>
  <c r="O20" i="23" s="1"/>
  <c r="Q20" i="23" s="1"/>
  <c r="S20" i="23" s="1"/>
  <c r="I19" i="23"/>
  <c r="K19" i="23" s="1"/>
  <c r="M19" i="23" s="1"/>
  <c r="O19" i="23" s="1"/>
  <c r="Q19" i="23" s="1"/>
  <c r="S19" i="23" s="1"/>
  <c r="K18" i="23"/>
  <c r="M18" i="23" s="1"/>
  <c r="O18" i="23" s="1"/>
  <c r="Q18" i="23" s="1"/>
  <c r="S18" i="23" s="1"/>
  <c r="D40" i="29" l="1"/>
  <c r="E40" i="29"/>
  <c r="H40" i="29" s="1"/>
  <c r="B41" i="29" s="1"/>
  <c r="C41" i="29"/>
  <c r="O64" i="23"/>
  <c r="L35" i="15" s="1"/>
  <c r="I64" i="23"/>
  <c r="I35" i="15" s="1"/>
  <c r="K64" i="23"/>
  <c r="J35" i="15" s="1"/>
  <c r="M64" i="23"/>
  <c r="K35" i="15" s="1"/>
  <c r="Q64" i="23"/>
  <c r="M35" i="15" s="1"/>
  <c r="D26" i="27"/>
  <c r="I27" i="23"/>
  <c r="K25" i="23"/>
  <c r="K35" i="23"/>
  <c r="I39" i="23"/>
  <c r="I29" i="23"/>
  <c r="I17" i="23"/>
  <c r="D41" i="29" l="1"/>
  <c r="C42" i="29"/>
  <c r="E41" i="29"/>
  <c r="H41" i="29" s="1"/>
  <c r="B42" i="29" s="1"/>
  <c r="L20" i="15"/>
  <c r="O21" i="25"/>
  <c r="Q21" i="25"/>
  <c r="M20" i="15"/>
  <c r="K20" i="15"/>
  <c r="M21" i="25"/>
  <c r="I20" i="15"/>
  <c r="I21" i="25"/>
  <c r="J20" i="15"/>
  <c r="K21" i="25"/>
  <c r="Q72" i="23"/>
  <c r="O72" i="23"/>
  <c r="M72" i="23"/>
  <c r="K72" i="23"/>
  <c r="I72" i="23"/>
  <c r="K39" i="23"/>
  <c r="M35" i="23"/>
  <c r="K17" i="23"/>
  <c r="I23" i="23"/>
  <c r="K27" i="23"/>
  <c r="M25" i="23"/>
  <c r="K29" i="23"/>
  <c r="I33" i="23"/>
  <c r="D42" i="29" l="1"/>
  <c r="E42" i="29"/>
  <c r="H42" i="29" s="1"/>
  <c r="B43" i="29" s="1"/>
  <c r="C43" i="29"/>
  <c r="I41" i="23"/>
  <c r="M27" i="23"/>
  <c r="O25" i="23"/>
  <c r="M17" i="23"/>
  <c r="K23" i="23"/>
  <c r="M29" i="23"/>
  <c r="K33" i="23"/>
  <c r="M39" i="23"/>
  <c r="O35" i="23"/>
  <c r="D43" i="29" l="1"/>
  <c r="E43" i="29"/>
  <c r="H43" i="29" s="1"/>
  <c r="B44" i="29" s="1"/>
  <c r="C44" i="29"/>
  <c r="K41" i="23"/>
  <c r="O39" i="23"/>
  <c r="Q35" i="23"/>
  <c r="M23" i="23"/>
  <c r="O17" i="23"/>
  <c r="O27" i="23"/>
  <c r="Q25" i="23"/>
  <c r="O29" i="23"/>
  <c r="M33" i="23"/>
  <c r="D44" i="29" l="1"/>
  <c r="C45" i="29"/>
  <c r="E44" i="29"/>
  <c r="H44" i="29" s="1"/>
  <c r="B45" i="29" s="1"/>
  <c r="O23" i="23"/>
  <c r="Q17" i="23"/>
  <c r="Q39" i="23"/>
  <c r="S35" i="23"/>
  <c r="S39" i="23" s="1"/>
  <c r="Q29" i="23"/>
  <c r="O33" i="23"/>
  <c r="S25" i="23"/>
  <c r="S27" i="23" s="1"/>
  <c r="Q27" i="23"/>
  <c r="M41" i="23"/>
  <c r="D45" i="29" l="1"/>
  <c r="C46" i="29"/>
  <c r="E45" i="29"/>
  <c r="H45" i="29" s="1"/>
  <c r="B46" i="29" s="1"/>
  <c r="Q23" i="23"/>
  <c r="S17" i="23"/>
  <c r="S23" i="23" s="1"/>
  <c r="O41" i="23"/>
  <c r="Q33" i="23"/>
  <c r="S29" i="23"/>
  <c r="S33" i="23" s="1"/>
  <c r="D46" i="29" l="1"/>
  <c r="C47" i="29"/>
  <c r="E46" i="29"/>
  <c r="H46" i="29" s="1"/>
  <c r="B47" i="29" s="1"/>
  <c r="S41" i="23"/>
  <c r="Q41" i="23"/>
  <c r="D47" i="29" l="1"/>
  <c r="E47" i="29"/>
  <c r="H47" i="29" s="1"/>
  <c r="B48" i="29" s="1"/>
  <c r="C48" i="29"/>
  <c r="U38" i="23"/>
  <c r="U37" i="23"/>
  <c r="U36" i="23"/>
  <c r="U29" i="23"/>
  <c r="U19" i="23"/>
  <c r="D48" i="29" l="1"/>
  <c r="E48" i="29"/>
  <c r="H48" i="29" s="1"/>
  <c r="B49" i="29" s="1"/>
  <c r="C49" i="29"/>
  <c r="U20" i="23"/>
  <c r="U32" i="23"/>
  <c r="U22" i="23"/>
  <c r="U21" i="23"/>
  <c r="U26" i="23"/>
  <c r="U30" i="23"/>
  <c r="U18" i="23"/>
  <c r="U17" i="23"/>
  <c r="D49" i="29" l="1"/>
  <c r="C50" i="29"/>
  <c r="E49" i="29"/>
  <c r="H49" i="29" s="1"/>
  <c r="B50" i="29" s="1"/>
  <c r="U23" i="23"/>
  <c r="D50" i="29" l="1"/>
  <c r="C51" i="29"/>
  <c r="E50" i="29"/>
  <c r="H50" i="29" s="1"/>
  <c r="B51" i="29" s="1"/>
  <c r="K50" i="29"/>
  <c r="U31" i="23"/>
  <c r="U33" i="23" s="1"/>
  <c r="D51" i="29" l="1"/>
  <c r="C52" i="29"/>
  <c r="E51" i="29"/>
  <c r="H51" i="29" s="1"/>
  <c r="B52" i="29" s="1"/>
  <c r="U25" i="23"/>
  <c r="U27" i="23" s="1"/>
  <c r="U35" i="23"/>
  <c r="U39" i="23" s="1"/>
  <c r="D52" i="29" l="1"/>
  <c r="E52" i="29" s="1"/>
  <c r="H52" i="29" s="1"/>
  <c r="B53" i="29" s="1"/>
  <c r="C53" i="29"/>
  <c r="O8" i="15"/>
  <c r="N8" i="15"/>
  <c r="M8" i="15"/>
  <c r="L8" i="15"/>
  <c r="K8" i="15"/>
  <c r="J8" i="15"/>
  <c r="I8" i="15"/>
  <c r="H8" i="15"/>
  <c r="F8" i="15"/>
  <c r="E107" i="23"/>
  <c r="C26" i="25"/>
  <c r="C48" i="25" s="1"/>
  <c r="U8" i="25"/>
  <c r="S8" i="25"/>
  <c r="Q8" i="25"/>
  <c r="O8" i="25"/>
  <c r="M8" i="25"/>
  <c r="K8" i="25"/>
  <c r="I8" i="25"/>
  <c r="G8" i="25"/>
  <c r="C8" i="25"/>
  <c r="D53" i="29" l="1"/>
  <c r="C54" i="29"/>
  <c r="E53" i="29"/>
  <c r="H53" i="29" s="1"/>
  <c r="B54" i="29" s="1"/>
  <c r="Q11" i="23"/>
  <c r="Q14" i="23" s="1"/>
  <c r="Q43" i="23" s="1"/>
  <c r="M11" i="23"/>
  <c r="M14" i="23" s="1"/>
  <c r="M43" i="23" s="1"/>
  <c r="K11" i="23"/>
  <c r="K14" i="23" s="1"/>
  <c r="K43" i="23" s="1"/>
  <c r="I11" i="23"/>
  <c r="I14" i="23" s="1"/>
  <c r="I43" i="23" s="1"/>
  <c r="S11" i="23"/>
  <c r="S14" i="23" s="1"/>
  <c r="S43" i="23" s="1"/>
  <c r="O11" i="23"/>
  <c r="O14" i="23" s="1"/>
  <c r="O43" i="23" s="1"/>
  <c r="D54" i="29" l="1"/>
  <c r="E54" i="29"/>
  <c r="H54" i="29" s="1"/>
  <c r="B55" i="29" s="1"/>
  <c r="C55" i="29"/>
  <c r="O47" i="23"/>
  <c r="S47" i="23"/>
  <c r="K47" i="23"/>
  <c r="I46" i="23"/>
  <c r="M47" i="23"/>
  <c r="I47" i="23"/>
  <c r="Q47" i="23"/>
  <c r="U64" i="23"/>
  <c r="O35" i="15" s="1"/>
  <c r="D55" i="29" l="1"/>
  <c r="E55" i="29"/>
  <c r="H55" i="29" s="1"/>
  <c r="B56" i="29" s="1"/>
  <c r="C56" i="29"/>
  <c r="U72" i="23"/>
  <c r="O20" i="15"/>
  <c r="U21" i="25"/>
  <c r="I51" i="23"/>
  <c r="K46" i="23" s="1"/>
  <c r="K51" i="23" s="1"/>
  <c r="M46" i="23" s="1"/>
  <c r="M51" i="23" s="1"/>
  <c r="O46" i="23" s="1"/>
  <c r="O51" i="23" s="1"/>
  <c r="Q46" i="23" s="1"/>
  <c r="Q51" i="23" s="1"/>
  <c r="S46" i="23" s="1"/>
  <c r="S51" i="23" s="1"/>
  <c r="D56" i="29" l="1"/>
  <c r="C57" i="29"/>
  <c r="E56" i="29"/>
  <c r="H56" i="29" s="1"/>
  <c r="B57" i="29" s="1"/>
  <c r="D57" i="29" l="1"/>
  <c r="E57" i="29"/>
  <c r="H57" i="29" s="1"/>
  <c r="B58" i="29" s="1"/>
  <c r="C58" i="29"/>
  <c r="C21" i="25"/>
  <c r="C43" i="25" s="1"/>
  <c r="F35" i="15"/>
  <c r="D58" i="29" l="1"/>
  <c r="E58" i="29" s="1"/>
  <c r="H58" i="29" s="1"/>
  <c r="B59" i="29" s="1"/>
  <c r="C59" i="29"/>
  <c r="E82" i="23"/>
  <c r="D59" i="29" l="1"/>
  <c r="C60" i="29"/>
  <c r="E59" i="29"/>
  <c r="H59" i="29" s="1"/>
  <c r="B60" i="29" s="1"/>
  <c r="S64" i="23"/>
  <c r="N35" i="15" s="1"/>
  <c r="D60" i="29" l="1"/>
  <c r="E60" i="29"/>
  <c r="H60" i="29" s="1"/>
  <c r="B61" i="29" s="1"/>
  <c r="C61" i="29"/>
  <c r="S21" i="25"/>
  <c r="N20" i="15"/>
  <c r="S72" i="23"/>
  <c r="D61" i="29" l="1"/>
  <c r="E61" i="29"/>
  <c r="H61" i="29" s="1"/>
  <c r="B62" i="29" s="1"/>
  <c r="C62" i="29"/>
  <c r="G15" i="25"/>
  <c r="H17" i="15"/>
  <c r="M43" i="25"/>
  <c r="O9" i="15"/>
  <c r="S89" i="23"/>
  <c r="U73" i="23" s="1"/>
  <c r="U22" i="25" s="1"/>
  <c r="U70" i="23"/>
  <c r="C13" i="25"/>
  <c r="C7" i="25"/>
  <c r="G27" i="24"/>
  <c r="C27" i="24"/>
  <c r="C90" i="23"/>
  <c r="D11" i="24"/>
  <c r="D27" i="24" s="1"/>
  <c r="E27" i="24" s="1"/>
  <c r="H27" i="24" s="1"/>
  <c r="B28" i="24" s="1"/>
  <c r="F9" i="15"/>
  <c r="C6" i="25"/>
  <c r="N9" i="15"/>
  <c r="M9" i="15"/>
  <c r="F91" i="24"/>
  <c r="F92" i="24"/>
  <c r="F93" i="24" s="1"/>
  <c r="F94" i="24" s="1"/>
  <c r="F95" i="24" s="1"/>
  <c r="F96" i="24" s="1"/>
  <c r="F97" i="24" s="1"/>
  <c r="F98" i="24" s="1"/>
  <c r="F99" i="24" s="1"/>
  <c r="F100" i="24" s="1"/>
  <c r="F101" i="24" s="1"/>
  <c r="F102" i="24" s="1"/>
  <c r="F103" i="24" s="1"/>
  <c r="F104" i="24" s="1"/>
  <c r="F105" i="24" s="1"/>
  <c r="F106" i="24" s="1"/>
  <c r="F107" i="24" s="1"/>
  <c r="F108" i="24" s="1"/>
  <c r="I29" i="24"/>
  <c r="I30" i="24" s="1"/>
  <c r="I31" i="24" s="1"/>
  <c r="I32" i="24" s="1"/>
  <c r="I33" i="24" s="1"/>
  <c r="I34" i="24" s="1"/>
  <c r="I35" i="24" s="1"/>
  <c r="I36" i="24" s="1"/>
  <c r="I37" i="24" s="1"/>
  <c r="I38" i="24" s="1"/>
  <c r="I39" i="24" s="1"/>
  <c r="I40" i="24" s="1"/>
  <c r="I41" i="24" s="1"/>
  <c r="I42" i="24" s="1"/>
  <c r="I43" i="24" s="1"/>
  <c r="I44" i="24" s="1"/>
  <c r="I45" i="24" s="1"/>
  <c r="I46" i="24" s="1"/>
  <c r="I47" i="24" s="1"/>
  <c r="I48" i="24" s="1"/>
  <c r="I49" i="24" s="1"/>
  <c r="I50" i="24" s="1"/>
  <c r="I51" i="24" s="1"/>
  <c r="I52" i="24" s="1"/>
  <c r="I53" i="24" s="1"/>
  <c r="I54" i="24" s="1"/>
  <c r="I55" i="24" s="1"/>
  <c r="I56" i="24" s="1"/>
  <c r="I57" i="24" s="1"/>
  <c r="I58" i="24" s="1"/>
  <c r="I59" i="24" s="1"/>
  <c r="I60" i="24" s="1"/>
  <c r="I61" i="24" s="1"/>
  <c r="I62" i="24" s="1"/>
  <c r="I63" i="24" s="1"/>
  <c r="I64" i="24" s="1"/>
  <c r="I65" i="24" s="1"/>
  <c r="I66" i="24" s="1"/>
  <c r="I67" i="24" s="1"/>
  <c r="I68" i="24" s="1"/>
  <c r="I69" i="24" s="1"/>
  <c r="I70" i="24" s="1"/>
  <c r="I71" i="24" s="1"/>
  <c r="I72" i="24" s="1"/>
  <c r="I73" i="24" s="1"/>
  <c r="I74" i="24" s="1"/>
  <c r="I75" i="24" s="1"/>
  <c r="I76" i="24" s="1"/>
  <c r="I77" i="24" s="1"/>
  <c r="I78" i="24" s="1"/>
  <c r="I79" i="24" s="1"/>
  <c r="I80" i="24" s="1"/>
  <c r="I81" i="24" s="1"/>
  <c r="I82" i="24" s="1"/>
  <c r="I83" i="24" s="1"/>
  <c r="I84" i="24" s="1"/>
  <c r="I85" i="24" s="1"/>
  <c r="I86" i="24" s="1"/>
  <c r="I87" i="24" s="1"/>
  <c r="I88" i="24" s="1"/>
  <c r="I89" i="24" s="1"/>
  <c r="I90" i="24" s="1"/>
  <c r="I91" i="24" s="1"/>
  <c r="I92" i="24" s="1"/>
  <c r="I93" i="24" s="1"/>
  <c r="I94" i="24" s="1"/>
  <c r="I95" i="24" s="1"/>
  <c r="I96" i="24" s="1"/>
  <c r="I97" i="24" s="1"/>
  <c r="I98" i="24" s="1"/>
  <c r="I99" i="24" s="1"/>
  <c r="I100" i="24" s="1"/>
  <c r="I101" i="24" s="1"/>
  <c r="I102" i="24" s="1"/>
  <c r="I103" i="24" s="1"/>
  <c r="I104" i="24" s="1"/>
  <c r="I105" i="24" s="1"/>
  <c r="I106" i="24" s="1"/>
  <c r="I107" i="24" s="1"/>
  <c r="I108" i="24" s="1"/>
  <c r="I109" i="24" s="1"/>
  <c r="I110" i="24" s="1"/>
  <c r="I111" i="24" s="1"/>
  <c r="G28" i="24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G98" i="24" s="1"/>
  <c r="G99" i="24" s="1"/>
  <c r="G100" i="24" s="1"/>
  <c r="G101" i="24" s="1"/>
  <c r="G102" i="24" s="1"/>
  <c r="G103" i="24" s="1"/>
  <c r="G104" i="24" s="1"/>
  <c r="G105" i="24" s="1"/>
  <c r="G106" i="24" s="1"/>
  <c r="G107" i="24" s="1"/>
  <c r="G108" i="24" s="1"/>
  <c r="G109" i="24" s="1"/>
  <c r="G110" i="24" s="1"/>
  <c r="G111" i="24" s="1"/>
  <c r="F29" i="24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F62" i="24" s="1"/>
  <c r="F63" i="24" s="1"/>
  <c r="F64" i="24" s="1"/>
  <c r="F65" i="24" s="1"/>
  <c r="F66" i="24" s="1"/>
  <c r="F67" i="24" s="1"/>
  <c r="F68" i="24" s="1"/>
  <c r="F69" i="24" s="1"/>
  <c r="F70" i="24" s="1"/>
  <c r="F71" i="24" s="1"/>
  <c r="F72" i="24" s="1"/>
  <c r="F73" i="24" s="1"/>
  <c r="F74" i="24" s="1"/>
  <c r="F75" i="24" s="1"/>
  <c r="F76" i="24" s="1"/>
  <c r="F77" i="24" s="1"/>
  <c r="F78" i="24" s="1"/>
  <c r="F79" i="24" s="1"/>
  <c r="F80" i="24" s="1"/>
  <c r="F81" i="24" s="1"/>
  <c r="F82" i="24" s="1"/>
  <c r="F83" i="24" s="1"/>
  <c r="F84" i="24" s="1"/>
  <c r="F85" i="24" s="1"/>
  <c r="F86" i="24" s="1"/>
  <c r="F87" i="24" s="1"/>
  <c r="F88" i="24" s="1"/>
  <c r="F89" i="24" s="1"/>
  <c r="A28" i="24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C88" i="23"/>
  <c r="L9" i="15"/>
  <c r="K9" i="15"/>
  <c r="J9" i="15"/>
  <c r="I9" i="15"/>
  <c r="H9" i="15"/>
  <c r="K105" i="23"/>
  <c r="C104" i="23"/>
  <c r="C100" i="23"/>
  <c r="F60" i="15"/>
  <c r="F59" i="15"/>
  <c r="F58" i="15"/>
  <c r="F62" i="15" s="1"/>
  <c r="F7" i="15"/>
  <c r="F19" i="15"/>
  <c r="C15" i="25"/>
  <c r="E83" i="23"/>
  <c r="C14" i="25"/>
  <c r="F18" i="15"/>
  <c r="C12" i="25"/>
  <c r="F16" i="15"/>
  <c r="G6" i="25"/>
  <c r="F17" i="15"/>
  <c r="J7" i="15"/>
  <c r="I56" i="23" l="1"/>
  <c r="D62" i="29"/>
  <c r="E62" i="29" s="1"/>
  <c r="H62" i="29" s="1"/>
  <c r="B63" i="29" s="1"/>
  <c r="C63" i="29"/>
  <c r="K62" i="29"/>
  <c r="D15" i="24"/>
  <c r="C28" i="24" s="1"/>
  <c r="C29" i="24" s="1"/>
  <c r="F10" i="15"/>
  <c r="F11" i="15" s="1"/>
  <c r="F29" i="15" s="1"/>
  <c r="Q22" i="25"/>
  <c r="M36" i="15" s="1"/>
  <c r="N36" i="15"/>
  <c r="C10" i="25"/>
  <c r="I13" i="25"/>
  <c r="H19" i="15"/>
  <c r="U43" i="25"/>
  <c r="Q43" i="25"/>
  <c r="I18" i="15"/>
  <c r="C17" i="25"/>
  <c r="H16" i="15"/>
  <c r="K6" i="25"/>
  <c r="D28" i="24"/>
  <c r="I7" i="25"/>
  <c r="I10" i="15" s="1"/>
  <c r="H7" i="15"/>
  <c r="G13" i="25"/>
  <c r="G12" i="25"/>
  <c r="F21" i="15"/>
  <c r="F30" i="15" s="1"/>
  <c r="G14" i="25"/>
  <c r="H18" i="15"/>
  <c r="K56" i="23" l="1"/>
  <c r="I58" i="23"/>
  <c r="D63" i="29"/>
  <c r="C64" i="29"/>
  <c r="E63" i="29"/>
  <c r="H63" i="29" s="1"/>
  <c r="B64" i="29" s="1"/>
  <c r="E28" i="24"/>
  <c r="H28" i="24" s="1"/>
  <c r="B29" i="24" s="1"/>
  <c r="D29" i="24" s="1"/>
  <c r="E29" i="24" s="1"/>
  <c r="H29" i="24" s="1"/>
  <c r="B30" i="24" s="1"/>
  <c r="D21" i="24"/>
  <c r="D23" i="24" s="1"/>
  <c r="F33" i="15"/>
  <c r="C36" i="25"/>
  <c r="F34" i="15"/>
  <c r="C39" i="25"/>
  <c r="U44" i="25"/>
  <c r="S44" i="25"/>
  <c r="I17" i="15"/>
  <c r="C19" i="25"/>
  <c r="C24" i="25" s="1"/>
  <c r="I14" i="25"/>
  <c r="S43" i="25"/>
  <c r="O43" i="25"/>
  <c r="I43" i="25"/>
  <c r="G17" i="25"/>
  <c r="G39" i="25" s="1"/>
  <c r="J16" i="15"/>
  <c r="K12" i="25"/>
  <c r="I16" i="15"/>
  <c r="I12" i="25"/>
  <c r="C30" i="24"/>
  <c r="G7" i="25"/>
  <c r="K7" i="25"/>
  <c r="I19" i="15"/>
  <c r="I15" i="25"/>
  <c r="K43" i="25"/>
  <c r="J17" i="15"/>
  <c r="K13" i="25"/>
  <c r="J18" i="15"/>
  <c r="K14" i="25"/>
  <c r="I71" i="23" l="1"/>
  <c r="I66" i="23"/>
  <c r="M56" i="23"/>
  <c r="K58" i="23"/>
  <c r="D64" i="29"/>
  <c r="E64" i="29"/>
  <c r="H64" i="29" s="1"/>
  <c r="B65" i="29" s="1"/>
  <c r="C65" i="29"/>
  <c r="C41" i="25"/>
  <c r="C46" i="25" s="1"/>
  <c r="C50" i="25" s="1"/>
  <c r="K10" i="25"/>
  <c r="J33" i="15" s="1"/>
  <c r="J10" i="15"/>
  <c r="J11" i="15" s="1"/>
  <c r="J29" i="15" s="1"/>
  <c r="G10" i="25"/>
  <c r="G36" i="25" s="1"/>
  <c r="G41" i="25" s="1"/>
  <c r="H10" i="15"/>
  <c r="H11" i="15" s="1"/>
  <c r="H29" i="15" s="1"/>
  <c r="E41" i="25"/>
  <c r="C28" i="25"/>
  <c r="F38" i="15" s="1"/>
  <c r="F25" i="15"/>
  <c r="F37" i="15"/>
  <c r="H34" i="15"/>
  <c r="I17" i="25"/>
  <c r="I39" i="25" s="1"/>
  <c r="D30" i="24"/>
  <c r="J19" i="15"/>
  <c r="J21" i="15" s="1"/>
  <c r="J30" i="15" s="1"/>
  <c r="K15" i="25"/>
  <c r="K17" i="25" s="1"/>
  <c r="M7" i="25"/>
  <c r="K10" i="15" s="1"/>
  <c r="M6" i="25"/>
  <c r="K7" i="15"/>
  <c r="I7" i="15"/>
  <c r="I11" i="15" s="1"/>
  <c r="I6" i="25"/>
  <c r="I10" i="25" s="1"/>
  <c r="K17" i="15"/>
  <c r="M13" i="25"/>
  <c r="E30" i="24"/>
  <c r="H30" i="24" s="1"/>
  <c r="B31" i="24" s="1"/>
  <c r="C31" i="24"/>
  <c r="M12" i="25"/>
  <c r="K16" i="15"/>
  <c r="I21" i="15"/>
  <c r="I30" i="15" s="1"/>
  <c r="K18" i="15"/>
  <c r="M14" i="25"/>
  <c r="K71" i="23" l="1"/>
  <c r="K66" i="23"/>
  <c r="M58" i="23"/>
  <c r="O56" i="23"/>
  <c r="D65" i="29"/>
  <c r="E65" i="29"/>
  <c r="H65" i="29" s="1"/>
  <c r="B66" i="29" s="1"/>
  <c r="C66" i="29"/>
  <c r="K11" i="15"/>
  <c r="K29" i="15" s="1"/>
  <c r="H33" i="15"/>
  <c r="K36" i="25"/>
  <c r="G19" i="25"/>
  <c r="I34" i="15"/>
  <c r="M10" i="25"/>
  <c r="M36" i="25" s="1"/>
  <c r="D31" i="24"/>
  <c r="E31" i="24" s="1"/>
  <c r="H31" i="24" s="1"/>
  <c r="B32" i="24" s="1"/>
  <c r="K39" i="25"/>
  <c r="K19" i="25"/>
  <c r="J34" i="15"/>
  <c r="I29" i="15"/>
  <c r="O6" i="25"/>
  <c r="L7" i="15"/>
  <c r="I36" i="25"/>
  <c r="I41" i="25" s="1"/>
  <c r="I33" i="15"/>
  <c r="I19" i="25"/>
  <c r="O13" i="25"/>
  <c r="L17" i="15"/>
  <c r="O12" i="25"/>
  <c r="L16" i="15"/>
  <c r="C32" i="24"/>
  <c r="O7" i="25"/>
  <c r="L10" i="15" s="1"/>
  <c r="M15" i="25"/>
  <c r="M17" i="25" s="1"/>
  <c r="K19" i="15"/>
  <c r="K21" i="15" s="1"/>
  <c r="K30" i="15" s="1"/>
  <c r="F31" i="15"/>
  <c r="E84" i="23"/>
  <c r="O14" i="25"/>
  <c r="L18" i="15"/>
  <c r="M71" i="23" l="1"/>
  <c r="M66" i="23"/>
  <c r="Q56" i="23"/>
  <c r="Q7" i="25" s="1"/>
  <c r="M10" i="15" s="1"/>
  <c r="O58" i="23"/>
  <c r="D66" i="29"/>
  <c r="C67" i="29"/>
  <c r="E66" i="29"/>
  <c r="H66" i="29" s="1"/>
  <c r="B67" i="29" s="1"/>
  <c r="L11" i="15"/>
  <c r="L29" i="15" s="1"/>
  <c r="K41" i="25"/>
  <c r="K33" i="15"/>
  <c r="D32" i="24"/>
  <c r="E32" i="24" s="1"/>
  <c r="H32" i="24" s="1"/>
  <c r="B33" i="24" s="1"/>
  <c r="M19" i="25"/>
  <c r="K34" i="15"/>
  <c r="M39" i="25"/>
  <c r="M41" i="25" s="1"/>
  <c r="O15" i="25"/>
  <c r="O17" i="25" s="1"/>
  <c r="L19" i="15"/>
  <c r="L21" i="15" s="1"/>
  <c r="L30" i="15" s="1"/>
  <c r="F26" i="15"/>
  <c r="S6" i="25"/>
  <c r="N7" i="15"/>
  <c r="M17" i="15"/>
  <c r="Q13" i="25"/>
  <c r="O10" i="25"/>
  <c r="M16" i="15"/>
  <c r="Q12" i="25"/>
  <c r="C33" i="24"/>
  <c r="Q6" i="25"/>
  <c r="M7" i="15"/>
  <c r="Q14" i="25"/>
  <c r="M18" i="15"/>
  <c r="S56" i="23" l="1"/>
  <c r="Q58" i="23"/>
  <c r="O71" i="23"/>
  <c r="O66" i="23"/>
  <c r="D67" i="29"/>
  <c r="E67" i="29"/>
  <c r="H67" i="29" s="1"/>
  <c r="B68" i="29" s="1"/>
  <c r="C68" i="29"/>
  <c r="M11" i="15"/>
  <c r="M29" i="15" s="1"/>
  <c r="Q10" i="25"/>
  <c r="M33" i="15" s="1"/>
  <c r="L34" i="15"/>
  <c r="O39" i="25"/>
  <c r="O19" i="25"/>
  <c r="D33" i="24"/>
  <c r="E33" i="24" s="1"/>
  <c r="H33" i="24" s="1"/>
  <c r="B34" i="24" s="1"/>
  <c r="O7" i="15"/>
  <c r="U11" i="23"/>
  <c r="U6" i="25"/>
  <c r="U12" i="25"/>
  <c r="O16" i="15"/>
  <c r="S12" i="25"/>
  <c r="N16" i="15"/>
  <c r="L33" i="15"/>
  <c r="O36" i="25"/>
  <c r="M19" i="15"/>
  <c r="M21" i="15" s="1"/>
  <c r="M30" i="15" s="1"/>
  <c r="Q15" i="25"/>
  <c r="Q17" i="25" s="1"/>
  <c r="S13" i="25"/>
  <c r="N17" i="15"/>
  <c r="C34" i="24"/>
  <c r="U13" i="25"/>
  <c r="O17" i="15"/>
  <c r="N18" i="15"/>
  <c r="S14" i="25"/>
  <c r="U14" i="25"/>
  <c r="O18" i="15"/>
  <c r="U56" i="23" l="1"/>
  <c r="S58" i="23"/>
  <c r="S66" i="23" s="1"/>
  <c r="S78" i="23" s="1"/>
  <c r="S71" i="23"/>
  <c r="S7" i="25"/>
  <c r="Q71" i="23"/>
  <c r="Q66" i="23"/>
  <c r="Q78" i="23" s="1"/>
  <c r="D68" i="29"/>
  <c r="E68" i="29"/>
  <c r="H68" i="29" s="1"/>
  <c r="B69" i="29" s="1"/>
  <c r="C69" i="29"/>
  <c r="Q36" i="25"/>
  <c r="Q39" i="25"/>
  <c r="Q19" i="25"/>
  <c r="Q24" i="25" s="1"/>
  <c r="M34" i="15"/>
  <c r="D34" i="24"/>
  <c r="E34" i="24" s="1"/>
  <c r="H34" i="24" s="1"/>
  <c r="B35" i="24" s="1"/>
  <c r="S15" i="25"/>
  <c r="S17" i="25" s="1"/>
  <c r="N19" i="15"/>
  <c r="N21" i="15" s="1"/>
  <c r="N30" i="15" s="1"/>
  <c r="O19" i="15"/>
  <c r="O21" i="15" s="1"/>
  <c r="O30" i="15" s="1"/>
  <c r="U15" i="25"/>
  <c r="U17" i="25" s="1"/>
  <c r="C35" i="24"/>
  <c r="U14" i="23"/>
  <c r="U41" i="23"/>
  <c r="O41" i="25"/>
  <c r="N10" i="15" l="1"/>
  <c r="N11" i="15" s="1"/>
  <c r="N29" i="15" s="1"/>
  <c r="S10" i="25"/>
  <c r="S19" i="25" s="1"/>
  <c r="S24" i="25" s="1"/>
  <c r="N37" i="15" s="1"/>
  <c r="U71" i="23"/>
  <c r="U58" i="23"/>
  <c r="U66" i="23" s="1"/>
  <c r="U7" i="25"/>
  <c r="D69" i="29"/>
  <c r="E69" i="29"/>
  <c r="H69" i="29" s="1"/>
  <c r="B70" i="29" s="1"/>
  <c r="C70" i="29"/>
  <c r="Q41" i="25"/>
  <c r="U43" i="23"/>
  <c r="N34" i="15"/>
  <c r="D35" i="24"/>
  <c r="E35" i="24" s="1"/>
  <c r="H35" i="24" s="1"/>
  <c r="B36" i="24" s="1"/>
  <c r="U39" i="25"/>
  <c r="O34" i="15"/>
  <c r="C36" i="24"/>
  <c r="S39" i="25"/>
  <c r="N25" i="15" l="1"/>
  <c r="N31" i="15" s="1"/>
  <c r="U78" i="23"/>
  <c r="O10" i="15"/>
  <c r="O11" i="15" s="1"/>
  <c r="O29" i="15" s="1"/>
  <c r="U10" i="25"/>
  <c r="N33" i="15"/>
  <c r="S36" i="25"/>
  <c r="S41" i="25" s="1"/>
  <c r="S46" i="25" s="1"/>
  <c r="D70" i="29"/>
  <c r="E70" i="29"/>
  <c r="H70" i="29" s="1"/>
  <c r="B71" i="29" s="1"/>
  <c r="C71" i="29"/>
  <c r="U47" i="23"/>
  <c r="D36" i="24"/>
  <c r="E36" i="24" s="1"/>
  <c r="H36" i="24" s="1"/>
  <c r="B37" i="24" s="1"/>
  <c r="C37" i="24"/>
  <c r="O33" i="15" l="1"/>
  <c r="U36" i="25"/>
  <c r="U41" i="25" s="1"/>
  <c r="U46" i="25" s="1"/>
  <c r="U19" i="25"/>
  <c r="U24" i="25" s="1"/>
  <c r="D71" i="29"/>
  <c r="C72" i="29"/>
  <c r="E71" i="29"/>
  <c r="H71" i="29" s="1"/>
  <c r="B72" i="29" s="1"/>
  <c r="D37" i="24"/>
  <c r="E37" i="24" s="1"/>
  <c r="H37" i="24" s="1"/>
  <c r="B38" i="24" s="1"/>
  <c r="C38" i="24"/>
  <c r="O37" i="15" l="1"/>
  <c r="O25" i="15"/>
  <c r="O31" i="15" s="1"/>
  <c r="D72" i="29"/>
  <c r="C73" i="29"/>
  <c r="E72" i="29"/>
  <c r="H72" i="29" s="1"/>
  <c r="B73" i="29" s="1"/>
  <c r="D38" i="24"/>
  <c r="E38" i="24" s="1"/>
  <c r="H38" i="24" s="1"/>
  <c r="B39" i="24" s="1"/>
  <c r="C39" i="24"/>
  <c r="K38" i="24"/>
  <c r="D73" i="29" l="1"/>
  <c r="E73" i="29"/>
  <c r="H73" i="29" s="1"/>
  <c r="B74" i="29" s="1"/>
  <c r="C74" i="29"/>
  <c r="D39" i="24"/>
  <c r="C40" i="24"/>
  <c r="E39" i="24"/>
  <c r="H39" i="24" s="1"/>
  <c r="D74" i="29" l="1"/>
  <c r="E74" i="29"/>
  <c r="H74" i="29" s="1"/>
  <c r="B75" i="29" s="1"/>
  <c r="C75" i="29"/>
  <c r="K74" i="29"/>
  <c r="B40" i="24"/>
  <c r="C41" i="24"/>
  <c r="D75" i="29" l="1"/>
  <c r="E75" i="29"/>
  <c r="H75" i="29" s="1"/>
  <c r="B76" i="29" s="1"/>
  <c r="C76" i="29"/>
  <c r="C42" i="24"/>
  <c r="D40" i="24"/>
  <c r="E40" i="24" s="1"/>
  <c r="H40" i="24" s="1"/>
  <c r="B41" i="24" s="1"/>
  <c r="D76" i="29" l="1"/>
  <c r="E76" i="29"/>
  <c r="H76" i="29" s="1"/>
  <c r="B77" i="29" s="1"/>
  <c r="C77" i="29"/>
  <c r="D41" i="24"/>
  <c r="E41" i="24" s="1"/>
  <c r="H41" i="24" s="1"/>
  <c r="B42" i="24" s="1"/>
  <c r="C43" i="24"/>
  <c r="D77" i="29" l="1"/>
  <c r="E77" i="29"/>
  <c r="H77" i="29" s="1"/>
  <c r="B78" i="29" s="1"/>
  <c r="C78" i="29"/>
  <c r="D42" i="24"/>
  <c r="E42" i="24" s="1"/>
  <c r="H42" i="24" s="1"/>
  <c r="B43" i="24" s="1"/>
  <c r="C44" i="24"/>
  <c r="U46" i="23"/>
  <c r="D78" i="29" l="1"/>
  <c r="C79" i="29"/>
  <c r="E78" i="29"/>
  <c r="H78" i="29" s="1"/>
  <c r="B79" i="29" s="1"/>
  <c r="D43" i="24"/>
  <c r="E43" i="24" s="1"/>
  <c r="H43" i="24" s="1"/>
  <c r="B44" i="24" s="1"/>
  <c r="C45" i="24"/>
  <c r="U51" i="23"/>
  <c r="D79" i="29" l="1"/>
  <c r="E79" i="29" s="1"/>
  <c r="H79" i="29" s="1"/>
  <c r="B80" i="29" s="1"/>
  <c r="C80" i="29"/>
  <c r="D44" i="24"/>
  <c r="E44" i="24" s="1"/>
  <c r="H44" i="24" s="1"/>
  <c r="B45" i="24" s="1"/>
  <c r="C46" i="24"/>
  <c r="D80" i="29" l="1"/>
  <c r="E80" i="29"/>
  <c r="H80" i="29" s="1"/>
  <c r="B81" i="29" s="1"/>
  <c r="C81" i="29"/>
  <c r="D45" i="24"/>
  <c r="E45" i="24" s="1"/>
  <c r="H45" i="24" s="1"/>
  <c r="B46" i="24" s="1"/>
  <c r="C47" i="24"/>
  <c r="D81" i="29" l="1"/>
  <c r="C82" i="29"/>
  <c r="E81" i="29"/>
  <c r="H81" i="29" s="1"/>
  <c r="B82" i="29" s="1"/>
  <c r="D46" i="24"/>
  <c r="E46" i="24" s="1"/>
  <c r="H46" i="24" s="1"/>
  <c r="B47" i="24" s="1"/>
  <c r="C48" i="24"/>
  <c r="D82" i="29" l="1"/>
  <c r="E82" i="29"/>
  <c r="H82" i="29" s="1"/>
  <c r="B83" i="29" s="1"/>
  <c r="C83" i="29"/>
  <c r="D47" i="24"/>
  <c r="E47" i="24" s="1"/>
  <c r="H47" i="24" s="1"/>
  <c r="B48" i="24" s="1"/>
  <c r="C49" i="24"/>
  <c r="D83" i="29" l="1"/>
  <c r="E83" i="29"/>
  <c r="H83" i="29" s="1"/>
  <c r="B84" i="29" s="1"/>
  <c r="C84" i="29"/>
  <c r="D48" i="24"/>
  <c r="E48" i="24" s="1"/>
  <c r="H48" i="24" s="1"/>
  <c r="B49" i="24" s="1"/>
  <c r="C50" i="24"/>
  <c r="D84" i="29" l="1"/>
  <c r="E84" i="29"/>
  <c r="H84" i="29" s="1"/>
  <c r="B85" i="29" s="1"/>
  <c r="C85" i="29"/>
  <c r="D49" i="24"/>
  <c r="E49" i="24" s="1"/>
  <c r="H49" i="24" s="1"/>
  <c r="B50" i="24" s="1"/>
  <c r="C51" i="24"/>
  <c r="K50" i="24"/>
  <c r="D85" i="29" l="1"/>
  <c r="E85" i="29"/>
  <c r="H85" i="29" s="1"/>
  <c r="B86" i="29" s="1"/>
  <c r="C86" i="29"/>
  <c r="D50" i="24"/>
  <c r="E50" i="24" s="1"/>
  <c r="H50" i="24" s="1"/>
  <c r="B51" i="24" s="1"/>
  <c r="C52" i="24"/>
  <c r="D86" i="29" l="1"/>
  <c r="C87" i="29"/>
  <c r="E86" i="29"/>
  <c r="H86" i="29" s="1"/>
  <c r="B87" i="29" s="1"/>
  <c r="K86" i="29"/>
  <c r="D51" i="24"/>
  <c r="E51" i="24" s="1"/>
  <c r="H51" i="24" s="1"/>
  <c r="C53" i="24"/>
  <c r="D87" i="29" l="1"/>
  <c r="E87" i="29"/>
  <c r="H87" i="29" s="1"/>
  <c r="B88" i="29" s="1"/>
  <c r="C88" i="29"/>
  <c r="E22" i="25"/>
  <c r="C54" i="24"/>
  <c r="E93" i="23"/>
  <c r="B52" i="24"/>
  <c r="D88" i="29" l="1"/>
  <c r="C89" i="29"/>
  <c r="E88" i="29"/>
  <c r="H88" i="29" s="1"/>
  <c r="B89" i="29" s="1"/>
  <c r="G36" i="15"/>
  <c r="E44" i="25"/>
  <c r="E46" i="25" s="1"/>
  <c r="E50" i="25" s="1"/>
  <c r="E24" i="25"/>
  <c r="D52" i="24"/>
  <c r="E52" i="24" s="1"/>
  <c r="H52" i="24" s="1"/>
  <c r="B53" i="24" s="1"/>
  <c r="C55" i="24"/>
  <c r="G44" i="25"/>
  <c r="D89" i="29" l="1"/>
  <c r="E89" i="29"/>
  <c r="H89" i="29" s="1"/>
  <c r="B90" i="29" s="1"/>
  <c r="C90" i="29"/>
  <c r="G25" i="15"/>
  <c r="G31" i="15" s="1"/>
  <c r="E28" i="25"/>
  <c r="G38" i="15" s="1"/>
  <c r="G37" i="15"/>
  <c r="D53" i="24"/>
  <c r="E53" i="24" s="1"/>
  <c r="H53" i="24" s="1"/>
  <c r="B54" i="24" s="1"/>
  <c r="C56" i="24"/>
  <c r="D90" i="29" l="1"/>
  <c r="E90" i="29"/>
  <c r="H90" i="29" s="1"/>
  <c r="B91" i="29" s="1"/>
  <c r="C91" i="29"/>
  <c r="D54" i="24"/>
  <c r="E54" i="24" s="1"/>
  <c r="H54" i="24" s="1"/>
  <c r="B55" i="24" s="1"/>
  <c r="C57" i="24"/>
  <c r="D91" i="29" l="1"/>
  <c r="E91" i="29"/>
  <c r="H91" i="29" s="1"/>
  <c r="B92" i="29" s="1"/>
  <c r="C92" i="29"/>
  <c r="D55" i="24"/>
  <c r="E55" i="24" s="1"/>
  <c r="H55" i="24" s="1"/>
  <c r="B56" i="24" s="1"/>
  <c r="C58" i="24"/>
  <c r="D92" i="29" l="1"/>
  <c r="C93" i="29"/>
  <c r="E92" i="29"/>
  <c r="H92" i="29" s="1"/>
  <c r="B93" i="29" s="1"/>
  <c r="D56" i="24"/>
  <c r="E56" i="24" s="1"/>
  <c r="H56" i="24" s="1"/>
  <c r="B57" i="24" s="1"/>
  <c r="C59" i="24"/>
  <c r="D93" i="29" l="1"/>
  <c r="E93" i="29"/>
  <c r="H93" i="29" s="1"/>
  <c r="B94" i="29" s="1"/>
  <c r="C94" i="29"/>
  <c r="D57" i="24"/>
  <c r="E57" i="24" s="1"/>
  <c r="H57" i="24" s="1"/>
  <c r="B58" i="24" s="1"/>
  <c r="C60" i="24"/>
  <c r="D94" i="29" l="1"/>
  <c r="C95" i="29"/>
  <c r="E94" i="29"/>
  <c r="H94" i="29" s="1"/>
  <c r="B95" i="29" s="1"/>
  <c r="D58" i="24"/>
  <c r="E58" i="24" s="1"/>
  <c r="H58" i="24" s="1"/>
  <c r="B59" i="24" s="1"/>
  <c r="C61" i="24"/>
  <c r="D95" i="29" l="1"/>
  <c r="E95" i="29"/>
  <c r="H95" i="29" s="1"/>
  <c r="B96" i="29" s="1"/>
  <c r="C96" i="29"/>
  <c r="D59" i="24"/>
  <c r="E59" i="24" s="1"/>
  <c r="H59" i="24" s="1"/>
  <c r="B60" i="24" s="1"/>
  <c r="C62" i="24"/>
  <c r="D96" i="29" l="1"/>
  <c r="E96" i="29"/>
  <c r="H96" i="29" s="1"/>
  <c r="B97" i="29" s="1"/>
  <c r="C97" i="29"/>
  <c r="D60" i="24"/>
  <c r="E60" i="24" s="1"/>
  <c r="H60" i="24" s="1"/>
  <c r="B61" i="24" s="1"/>
  <c r="C63" i="24"/>
  <c r="K62" i="24"/>
  <c r="D97" i="29" l="1"/>
  <c r="E97" i="29"/>
  <c r="H97" i="29" s="1"/>
  <c r="B98" i="29" s="1"/>
  <c r="C98" i="29"/>
  <c r="D61" i="24"/>
  <c r="E61" i="24" s="1"/>
  <c r="H61" i="24"/>
  <c r="B62" i="24" s="1"/>
  <c r="C64" i="24"/>
  <c r="E89" i="23"/>
  <c r="D98" i="29" l="1"/>
  <c r="C99" i="29"/>
  <c r="E98" i="29"/>
  <c r="H98" i="29" s="1"/>
  <c r="B99" i="29" s="1"/>
  <c r="K98" i="29"/>
  <c r="D62" i="24"/>
  <c r="E62" i="24" s="1"/>
  <c r="H62" i="24" s="1"/>
  <c r="B63" i="24" s="1"/>
  <c r="C65" i="24"/>
  <c r="D99" i="29" l="1"/>
  <c r="C100" i="29"/>
  <c r="E99" i="29"/>
  <c r="H99" i="29" s="1"/>
  <c r="B100" i="29" s="1"/>
  <c r="D63" i="24"/>
  <c r="E63" i="24" s="1"/>
  <c r="H63" i="24" s="1"/>
  <c r="C66" i="24"/>
  <c r="D100" i="29" l="1"/>
  <c r="E100" i="29"/>
  <c r="H100" i="29" s="1"/>
  <c r="B101" i="29" s="1"/>
  <c r="C101" i="29"/>
  <c r="G93" i="23"/>
  <c r="B64" i="24"/>
  <c r="C67" i="24"/>
  <c r="D101" i="29" l="1"/>
  <c r="C102" i="29"/>
  <c r="E101" i="29"/>
  <c r="H101" i="29" s="1"/>
  <c r="B102" i="29" s="1"/>
  <c r="C68" i="24"/>
  <c r="D64" i="24"/>
  <c r="E64" i="24" s="1"/>
  <c r="H64" i="24" s="1"/>
  <c r="B65" i="24" s="1"/>
  <c r="D102" i="29" l="1"/>
  <c r="E102" i="29"/>
  <c r="H102" i="29" s="1"/>
  <c r="B103" i="29" s="1"/>
  <c r="C103" i="29"/>
  <c r="D65" i="24"/>
  <c r="E65" i="24" s="1"/>
  <c r="H65" i="24" s="1"/>
  <c r="B66" i="24" s="1"/>
  <c r="C69" i="24"/>
  <c r="D103" i="29" l="1"/>
  <c r="E103" i="29"/>
  <c r="H103" i="29" s="1"/>
  <c r="B104" i="29" s="1"/>
  <c r="C104" i="29"/>
  <c r="D66" i="24"/>
  <c r="E66" i="24" s="1"/>
  <c r="H66" i="24" s="1"/>
  <c r="B67" i="24" s="1"/>
  <c r="C70" i="24"/>
  <c r="D104" i="29" l="1"/>
  <c r="E104" i="29"/>
  <c r="H104" i="29" s="1"/>
  <c r="B105" i="29" s="1"/>
  <c r="C105" i="29"/>
  <c r="D67" i="24"/>
  <c r="E67" i="24" s="1"/>
  <c r="H67" i="24" s="1"/>
  <c r="B68" i="24" s="1"/>
  <c r="C71" i="24"/>
  <c r="D105" i="29" l="1"/>
  <c r="C106" i="29"/>
  <c r="E105" i="29"/>
  <c r="H105" i="29" s="1"/>
  <c r="B106" i="29" s="1"/>
  <c r="D68" i="24"/>
  <c r="E68" i="24" s="1"/>
  <c r="H68" i="24" s="1"/>
  <c r="B69" i="24" s="1"/>
  <c r="C72" i="24"/>
  <c r="D106" i="29" l="1"/>
  <c r="E106" i="29"/>
  <c r="H106" i="29" s="1"/>
  <c r="B107" i="29" s="1"/>
  <c r="C107" i="29"/>
  <c r="D69" i="24"/>
  <c r="E69" i="24" s="1"/>
  <c r="H69" i="24" s="1"/>
  <c r="B70" i="24" s="1"/>
  <c r="C73" i="24"/>
  <c r="D107" i="29" l="1"/>
  <c r="C108" i="29"/>
  <c r="E107" i="29"/>
  <c r="H107" i="29" s="1"/>
  <c r="B108" i="29" s="1"/>
  <c r="D70" i="24"/>
  <c r="E70" i="24" s="1"/>
  <c r="H70" i="24" s="1"/>
  <c r="B71" i="24" s="1"/>
  <c r="C74" i="24"/>
  <c r="C75" i="24" l="1"/>
  <c r="C76" i="24"/>
  <c r="D108" i="29"/>
  <c r="E108" i="29"/>
  <c r="H108" i="29" s="1"/>
  <c r="B109" i="29" s="1"/>
  <c r="C109" i="29"/>
  <c r="D71" i="24"/>
  <c r="E71" i="24" s="1"/>
  <c r="H71" i="24" s="1"/>
  <c r="B72" i="24" s="1"/>
  <c r="K74" i="24"/>
  <c r="D109" i="29" l="1"/>
  <c r="E109" i="29"/>
  <c r="H109" i="29" s="1"/>
  <c r="B110" i="29" s="1"/>
  <c r="C110" i="29"/>
  <c r="D72" i="24"/>
  <c r="E72" i="24" s="1"/>
  <c r="H72" i="24" s="1"/>
  <c r="B73" i="24" s="1"/>
  <c r="G89" i="23"/>
  <c r="D110" i="29" l="1"/>
  <c r="E110" i="29"/>
  <c r="H110" i="29" s="1"/>
  <c r="B111" i="29" s="1"/>
  <c r="K110" i="29"/>
  <c r="K113" i="29" s="1"/>
  <c r="D73" i="24"/>
  <c r="E73" i="24" s="1"/>
  <c r="H73" i="24" s="1"/>
  <c r="B74" i="24" s="1"/>
  <c r="C77" i="24"/>
  <c r="D111" i="29" l="1"/>
  <c r="C78" i="24"/>
  <c r="D74" i="24"/>
  <c r="E74" i="24" s="1"/>
  <c r="H74" i="24" s="1"/>
  <c r="B75" i="24" s="1"/>
  <c r="E111" i="29" l="1"/>
  <c r="H111" i="29" s="1"/>
  <c r="K115" i="29"/>
  <c r="D75" i="24"/>
  <c r="E75" i="24" s="1"/>
  <c r="H75" i="24" s="1"/>
  <c r="C79" i="24"/>
  <c r="I93" i="23" l="1"/>
  <c r="B76" i="24"/>
  <c r="C80" i="24"/>
  <c r="C81" i="24" l="1"/>
  <c r="D76" i="24"/>
  <c r="E76" i="24" l="1"/>
  <c r="H76" i="24" s="1"/>
  <c r="B77" i="24" s="1"/>
  <c r="D77" i="24"/>
  <c r="E77" i="24" s="1"/>
  <c r="H77" i="24" s="1"/>
  <c r="B78" i="24" s="1"/>
  <c r="C82" i="24"/>
  <c r="D78" i="24" l="1"/>
  <c r="C83" i="24"/>
  <c r="E78" i="24" l="1"/>
  <c r="H78" i="24" s="1"/>
  <c r="B79" i="24" s="1"/>
  <c r="C84" i="24"/>
  <c r="D79" i="24"/>
  <c r="E79" i="24" s="1"/>
  <c r="H79" i="24" s="1"/>
  <c r="B80" i="24" s="1"/>
  <c r="D80" i="24" l="1"/>
  <c r="E80" i="24" s="1"/>
  <c r="H80" i="24" s="1"/>
  <c r="B81" i="24" s="1"/>
  <c r="C85" i="24"/>
  <c r="D81" i="24" l="1"/>
  <c r="E81" i="24" s="1"/>
  <c r="H81" i="24" s="1"/>
  <c r="B82" i="24" s="1"/>
  <c r="C86" i="24"/>
  <c r="K86" i="24" s="1"/>
  <c r="D82" i="24" l="1"/>
  <c r="E82" i="24" s="1"/>
  <c r="H82" i="24" s="1"/>
  <c r="B83" i="24" s="1"/>
  <c r="C87" i="24"/>
  <c r="I89" i="23" l="1"/>
  <c r="D83" i="24"/>
  <c r="E83" i="24" s="1"/>
  <c r="H83" i="24" s="1"/>
  <c r="B84" i="24" s="1"/>
  <c r="C88" i="24"/>
  <c r="I73" i="23" l="1"/>
  <c r="C89" i="24"/>
  <c r="D84" i="24"/>
  <c r="E84" i="24" s="1"/>
  <c r="H84" i="24" s="1"/>
  <c r="B85" i="24" s="1"/>
  <c r="I78" i="23" l="1"/>
  <c r="I22" i="25"/>
  <c r="D85" i="24"/>
  <c r="E85" i="24" s="1"/>
  <c r="H85" i="24" s="1"/>
  <c r="B86" i="24" s="1"/>
  <c r="C90" i="24"/>
  <c r="I24" i="25" l="1"/>
  <c r="K44" i="25"/>
  <c r="K46" i="25" s="1"/>
  <c r="I36" i="15"/>
  <c r="C91" i="24"/>
  <c r="D86" i="24"/>
  <c r="E86" i="24" s="1"/>
  <c r="H86" i="24" s="1"/>
  <c r="B87" i="24" s="1"/>
  <c r="I25" i="15" l="1"/>
  <c r="I31" i="15" s="1"/>
  <c r="I37" i="15"/>
  <c r="D87" i="24"/>
  <c r="E87" i="24" s="1"/>
  <c r="H87" i="24" s="1"/>
  <c r="C92" i="24"/>
  <c r="C93" i="24" l="1"/>
  <c r="K93" i="23"/>
  <c r="B88" i="24"/>
  <c r="D88" i="24" l="1"/>
  <c r="E88" i="24" s="1"/>
  <c r="H88" i="24" s="1"/>
  <c r="B89" i="24" s="1"/>
  <c r="C94" i="24"/>
  <c r="D89" i="24" l="1"/>
  <c r="E89" i="24" s="1"/>
  <c r="H89" i="24" s="1"/>
  <c r="B90" i="24" s="1"/>
  <c r="C95" i="24"/>
  <c r="D90" i="24" l="1"/>
  <c r="E90" i="24" s="1"/>
  <c r="H90" i="24" s="1"/>
  <c r="B91" i="24" s="1"/>
  <c r="C96" i="24"/>
  <c r="D91" i="24" l="1"/>
  <c r="E91" i="24" s="1"/>
  <c r="H91" i="24" s="1"/>
  <c r="B92" i="24" s="1"/>
  <c r="C97" i="24"/>
  <c r="C98" i="24" l="1"/>
  <c r="D92" i="24"/>
  <c r="E92" i="24" s="1"/>
  <c r="H92" i="24" s="1"/>
  <c r="B93" i="24" s="1"/>
  <c r="C99" i="24" l="1"/>
  <c r="K98" i="24"/>
  <c r="K89" i="23" s="1"/>
  <c r="D93" i="24"/>
  <c r="E93" i="24" s="1"/>
  <c r="H93" i="24" s="1"/>
  <c r="B94" i="24" s="1"/>
  <c r="M78" i="23" l="1"/>
  <c r="K73" i="23"/>
  <c r="D94" i="24"/>
  <c r="E94" i="24" s="1"/>
  <c r="H94" i="24" s="1"/>
  <c r="B95" i="24" s="1"/>
  <c r="M22" i="25"/>
  <c r="C100" i="24"/>
  <c r="K78" i="23" l="1"/>
  <c r="K22" i="25"/>
  <c r="K36" i="15"/>
  <c r="M24" i="25"/>
  <c r="D95" i="24"/>
  <c r="E95" i="24" s="1"/>
  <c r="H95" i="24" s="1"/>
  <c r="B96" i="24" s="1"/>
  <c r="O44" i="25"/>
  <c r="O46" i="25" s="1"/>
  <c r="C101" i="24"/>
  <c r="K24" i="25" l="1"/>
  <c r="J36" i="15"/>
  <c r="M44" i="25"/>
  <c r="M46" i="25" s="1"/>
  <c r="K25" i="15"/>
  <c r="K31" i="15" s="1"/>
  <c r="K37" i="15"/>
  <c r="D96" i="24"/>
  <c r="E96" i="24" s="1"/>
  <c r="H96" i="24" s="1"/>
  <c r="B97" i="24" s="1"/>
  <c r="C102" i="24"/>
  <c r="J37" i="15" l="1"/>
  <c r="J25" i="15"/>
  <c r="J31" i="15" s="1"/>
  <c r="D97" i="24"/>
  <c r="E97" i="24" s="1"/>
  <c r="H97" i="24" s="1"/>
  <c r="B98" i="24" s="1"/>
  <c r="C103" i="24"/>
  <c r="D98" i="24" l="1"/>
  <c r="E98" i="24" s="1"/>
  <c r="H98" i="24" s="1"/>
  <c r="B99" i="24" s="1"/>
  <c r="C104" i="24"/>
  <c r="C105" i="24" l="1"/>
  <c r="D99" i="24"/>
  <c r="E99" i="24" s="1"/>
  <c r="H99" i="24" s="1"/>
  <c r="B100" i="24" l="1"/>
  <c r="C106" i="24"/>
  <c r="C107" i="24" l="1"/>
  <c r="D100" i="24"/>
  <c r="E100" i="24" s="1"/>
  <c r="H100" i="24" s="1"/>
  <c r="B101" i="24" s="1"/>
  <c r="D101" i="24" l="1"/>
  <c r="E101" i="24" s="1"/>
  <c r="H101" i="24" s="1"/>
  <c r="B102" i="24" s="1"/>
  <c r="C108" i="24"/>
  <c r="D102" i="24" l="1"/>
  <c r="E102" i="24" s="1"/>
  <c r="H102" i="24" s="1"/>
  <c r="B103" i="24" s="1"/>
  <c r="C109" i="24"/>
  <c r="D103" i="24" l="1"/>
  <c r="E103" i="24" s="1"/>
  <c r="H103" i="24" s="1"/>
  <c r="B104" i="24" s="1"/>
  <c r="C110" i="24"/>
  <c r="D104" i="24" l="1"/>
  <c r="E104" i="24" s="1"/>
  <c r="H104" i="24" s="1"/>
  <c r="B105" i="24" s="1"/>
  <c r="K110" i="24"/>
  <c r="D105" i="24" l="1"/>
  <c r="E105" i="24" s="1"/>
  <c r="H105" i="24" s="1"/>
  <c r="B106" i="24" s="1"/>
  <c r="O78" i="23"/>
  <c r="K113" i="24"/>
  <c r="W89" i="23" l="1"/>
  <c r="D106" i="24"/>
  <c r="E106" i="24" s="1"/>
  <c r="H106" i="24" s="1"/>
  <c r="B107" i="24" s="1"/>
  <c r="D107" i="24" l="1"/>
  <c r="E107" i="24" s="1"/>
  <c r="H107" i="24" s="1"/>
  <c r="B108" i="24" s="1"/>
  <c r="O22" i="25"/>
  <c r="L36" i="15" l="1"/>
  <c r="O24" i="25"/>
  <c r="Q44" i="25"/>
  <c r="Q46" i="25" s="1"/>
  <c r="M25" i="15"/>
  <c r="M31" i="15" s="1"/>
  <c r="D108" i="24"/>
  <c r="E108" i="24" s="1"/>
  <c r="H108" i="24" s="1"/>
  <c r="B109" i="24" s="1"/>
  <c r="L25" i="15" l="1"/>
  <c r="L31" i="15" s="1"/>
  <c r="L37" i="15"/>
  <c r="D109" i="24"/>
  <c r="E109" i="24" s="1"/>
  <c r="H109" i="24"/>
  <c r="B110" i="24" s="1"/>
  <c r="M37" i="15"/>
  <c r="D110" i="24" l="1"/>
  <c r="E110" i="24" s="1"/>
  <c r="H110" i="24" s="1"/>
  <c r="B111" i="24" l="1"/>
  <c r="D111" i="24" s="1"/>
  <c r="M93" i="23"/>
  <c r="E111" i="24" l="1"/>
  <c r="H111" i="24" s="1"/>
  <c r="O93" i="23" s="1"/>
  <c r="K115" i="24"/>
  <c r="G26" i="25"/>
  <c r="G48" i="25" l="1"/>
  <c r="G21" i="25" l="1"/>
  <c r="G43" i="25" s="1"/>
  <c r="G46" i="25" s="1"/>
  <c r="G50" i="25" s="1"/>
  <c r="H20" i="15"/>
  <c r="H21" i="15"/>
  <c r="H30" i="15" s="1"/>
  <c r="G22" i="25" l="1"/>
  <c r="I44" i="25" s="1"/>
  <c r="I46" i="25" s="1"/>
  <c r="H36" i="15" l="1"/>
  <c r="E92" i="23"/>
  <c r="H26" i="15"/>
  <c r="G24" i="25"/>
  <c r="I69" i="23"/>
  <c r="I26" i="25" l="1"/>
  <c r="I74" i="23"/>
  <c r="G28" i="25"/>
  <c r="H38" i="15" s="1"/>
  <c r="H25" i="15"/>
  <c r="H31" i="15" s="1"/>
  <c r="H37" i="15"/>
  <c r="K69" i="23" l="1"/>
  <c r="I76" i="23"/>
  <c r="I48" i="25"/>
  <c r="I50" i="25" s="1"/>
  <c r="I28" i="25"/>
  <c r="I38" i="15" s="1"/>
  <c r="I26" i="15" l="1"/>
  <c r="G92" i="23"/>
  <c r="K26" i="25"/>
  <c r="K74" i="23"/>
  <c r="M69" i="23" l="1"/>
  <c r="K76" i="23"/>
  <c r="K28" i="25"/>
  <c r="J38" i="15" s="1"/>
  <c r="K48" i="25"/>
  <c r="K50" i="25" s="1"/>
  <c r="I92" i="23" l="1"/>
  <c r="J26" i="15"/>
  <c r="M26" i="25"/>
  <c r="M74" i="23"/>
  <c r="M28" i="25" l="1"/>
  <c r="K38" i="15" s="1"/>
  <c r="M48" i="25"/>
  <c r="M50" i="25" s="1"/>
  <c r="M76" i="23"/>
  <c r="O69" i="23"/>
  <c r="K92" i="23" l="1"/>
  <c r="K26" i="15"/>
  <c r="O26" i="25"/>
  <c r="O74" i="23"/>
  <c r="O76" i="23" l="1"/>
  <c r="Q69" i="23"/>
  <c r="O48" i="25"/>
  <c r="O50" i="25" s="1"/>
  <c r="O28" i="25"/>
  <c r="L38" i="15" s="1"/>
  <c r="Q26" i="25" l="1"/>
  <c r="Q74" i="23"/>
  <c r="M92" i="23"/>
  <c r="L26" i="15"/>
  <c r="Q76" i="23" l="1"/>
  <c r="S69" i="23"/>
  <c r="Q28" i="25"/>
  <c r="M38" i="15" s="1"/>
  <c r="Q48" i="25"/>
  <c r="Q50" i="25" s="1"/>
  <c r="S74" i="23" l="1"/>
  <c r="S26" i="25"/>
  <c r="O92" i="23"/>
  <c r="M26" i="15"/>
  <c r="S48" i="25" l="1"/>
  <c r="S50" i="25" s="1"/>
  <c r="S28" i="25"/>
  <c r="N38" i="15" s="1"/>
  <c r="U69" i="23"/>
  <c r="S76" i="23"/>
  <c r="N26" i="15" l="1"/>
  <c r="Y89" i="23"/>
  <c r="Q92" i="23"/>
  <c r="U26" i="25"/>
  <c r="U74" i="23"/>
  <c r="U76" i="23" s="1"/>
  <c r="S92" i="23" l="1"/>
  <c r="O26" i="15"/>
  <c r="U28" i="25"/>
  <c r="O38" i="15" s="1"/>
  <c r="U48" i="25"/>
  <c r="U50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 Tassin</author>
  </authors>
  <commentList>
    <comment ref="E69" authorId="0" shapeId="0" xr:uid="{A7E3D5AC-7DDB-4D51-B370-EB135EE1265D}">
      <text>
        <r>
          <rPr>
            <b/>
            <sz val="9"/>
            <color indexed="81"/>
            <rFont val="Tahoma"/>
            <family val="2"/>
          </rPr>
          <t>Lorra Tassin:</t>
        </r>
        <r>
          <rPr>
            <sz val="9"/>
            <color indexed="81"/>
            <rFont val="Tahoma"/>
            <family val="2"/>
          </rPr>
          <t xml:space="preserve">
Subtracted lprior year oan repayment here, line item would need to be added for loan repayment</t>
        </r>
      </text>
    </comment>
    <comment ref="I69" authorId="0" shapeId="0" xr:uid="{86067B30-E7C8-4E8F-87F0-80068FA58968}">
      <text>
        <r>
          <rPr>
            <b/>
            <sz val="9"/>
            <color indexed="81"/>
            <rFont val="Tahoma"/>
            <family val="2"/>
          </rPr>
          <t>Lorra Tassin:</t>
        </r>
        <r>
          <rPr>
            <sz val="9"/>
            <color indexed="81"/>
            <rFont val="Tahoma"/>
            <family val="2"/>
          </rPr>
          <t xml:space="preserve">
Subtracted lprior year oan repayment here, line item would need to be added for loan repayment</t>
        </r>
      </text>
    </comment>
    <comment ref="K69" authorId="0" shapeId="0" xr:uid="{831CC148-C594-4FA2-B1C8-F6ABDC71ABFF}">
      <text>
        <r>
          <rPr>
            <b/>
            <sz val="9"/>
            <color indexed="81"/>
            <rFont val="Tahoma"/>
            <family val="2"/>
          </rPr>
          <t>Lorra Tassin:</t>
        </r>
        <r>
          <rPr>
            <sz val="9"/>
            <color indexed="81"/>
            <rFont val="Tahoma"/>
            <family val="2"/>
          </rPr>
          <t xml:space="preserve">
Subtracted lprior year oan repayment here, line item would need to be added for loan repayment</t>
        </r>
      </text>
    </comment>
    <comment ref="M69" authorId="0" shapeId="0" xr:uid="{8DA30E87-B2D1-41AE-99D9-C9D4B31D9072}">
      <text>
        <r>
          <rPr>
            <b/>
            <sz val="9"/>
            <color indexed="81"/>
            <rFont val="Tahoma"/>
            <family val="2"/>
          </rPr>
          <t>Lorra Tassin:</t>
        </r>
        <r>
          <rPr>
            <sz val="9"/>
            <color indexed="81"/>
            <rFont val="Tahoma"/>
            <family val="2"/>
          </rPr>
          <t xml:space="preserve">
Subtracted lprior year oan repayment here, line item would need to be added for loan repayment</t>
        </r>
      </text>
    </comment>
    <comment ref="O69" authorId="0" shapeId="0" xr:uid="{8F0C7C81-AA0E-4881-93DD-1D4229B8AC6B}">
      <text>
        <r>
          <rPr>
            <b/>
            <sz val="9"/>
            <color indexed="81"/>
            <rFont val="Tahoma"/>
            <family val="2"/>
          </rPr>
          <t>Lorra Tassin:</t>
        </r>
        <r>
          <rPr>
            <sz val="9"/>
            <color indexed="81"/>
            <rFont val="Tahoma"/>
            <family val="2"/>
          </rPr>
          <t xml:space="preserve">
Subtracted lprior year oan repayment here, line item would need to be added for loan repayment</t>
        </r>
      </text>
    </comment>
    <comment ref="Q69" authorId="0" shapeId="0" xr:uid="{37187D55-E296-42E7-ACA5-264C41B7AFE4}">
      <text>
        <r>
          <rPr>
            <b/>
            <sz val="9"/>
            <color indexed="81"/>
            <rFont val="Tahoma"/>
            <family val="2"/>
          </rPr>
          <t>Lorra Tassin:</t>
        </r>
        <r>
          <rPr>
            <sz val="9"/>
            <color indexed="81"/>
            <rFont val="Tahoma"/>
            <family val="2"/>
          </rPr>
          <t xml:space="preserve">
Subtracted lprior year oan repayment here, line item would need to be added for loan repayment</t>
        </r>
      </text>
    </comment>
    <comment ref="S69" authorId="0" shapeId="0" xr:uid="{C1748AAD-1EAE-448D-BAD6-26C71FDD9FD7}">
      <text>
        <r>
          <rPr>
            <b/>
            <sz val="9"/>
            <color indexed="81"/>
            <rFont val="Tahoma"/>
            <family val="2"/>
          </rPr>
          <t>Lorra Tassin:</t>
        </r>
        <r>
          <rPr>
            <sz val="9"/>
            <color indexed="81"/>
            <rFont val="Tahoma"/>
            <family val="2"/>
          </rPr>
          <t xml:space="preserve">
Subtracted lprior year oan repayment here, line item would need to be added for loan repayment</t>
        </r>
      </text>
    </comment>
    <comment ref="U69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Lorra Tassin:</t>
        </r>
        <r>
          <rPr>
            <sz val="9"/>
            <color indexed="81"/>
            <rFont val="Tahoma"/>
            <family val="2"/>
          </rPr>
          <t xml:space="preserve">
Subtracted lprior year oan repayment here, line item would need to be added for loan repayment</t>
        </r>
      </text>
    </comment>
  </commentList>
</comments>
</file>

<file path=xl/sharedStrings.xml><?xml version="1.0" encoding="utf-8"?>
<sst xmlns="http://schemas.openxmlformats.org/spreadsheetml/2006/main" count="281" uniqueCount="179">
  <si>
    <t>Income</t>
  </si>
  <si>
    <t>Regime Fees</t>
  </si>
  <si>
    <t>Total Income</t>
  </si>
  <si>
    <t>Expenses</t>
  </si>
  <si>
    <t>Management Fees</t>
  </si>
  <si>
    <t>Legal Fees/Prof. Service</t>
  </si>
  <si>
    <t>Postage/Copy/Admin</t>
  </si>
  <si>
    <t>Insurance</t>
  </si>
  <si>
    <t>Taxes</t>
  </si>
  <si>
    <t>Total Gen. and Admin.</t>
  </si>
  <si>
    <t>Electricity</t>
  </si>
  <si>
    <t>Water</t>
  </si>
  <si>
    <t>Total Utilities</t>
  </si>
  <si>
    <t>Grounds Improvements</t>
  </si>
  <si>
    <t>Gutter/Glass Cleaning</t>
  </si>
  <si>
    <t>Repairs</t>
  </si>
  <si>
    <t>Irrigation Maintenance</t>
  </si>
  <si>
    <t>Total Maintenance</t>
  </si>
  <si>
    <t>Grounds Contract</t>
  </si>
  <si>
    <t xml:space="preserve">Trash Removal </t>
  </si>
  <si>
    <t>Pest Control</t>
  </si>
  <si>
    <t>Termite Bond</t>
  </si>
  <si>
    <t>Total Contracts</t>
  </si>
  <si>
    <t>Subtotal Expenses</t>
  </si>
  <si>
    <t>General Reserve Contribution</t>
  </si>
  <si>
    <t>Less Prepaids</t>
  </si>
  <si>
    <t>Operating Account:</t>
  </si>
  <si>
    <t>Beginning Balance</t>
  </si>
  <si>
    <t>Plus:  Surplus/(Deficit)</t>
  </si>
  <si>
    <t>Ending Balance</t>
  </si>
  <si>
    <t>Reserve Accts:</t>
  </si>
  <si>
    <t>Transfer Fees</t>
  </si>
  <si>
    <t>Transfer (to) Reserve Acct</t>
  </si>
  <si>
    <t>Transfer From Reserve Acct</t>
  </si>
  <si>
    <t>Total Cash Funds</t>
  </si>
  <si>
    <t xml:space="preserve">Inflation Target </t>
  </si>
  <si>
    <t>Units</t>
  </si>
  <si>
    <t>Current Fee</t>
  </si>
  <si>
    <t>FY 2022</t>
  </si>
  <si>
    <t>FY 2023</t>
  </si>
  <si>
    <t>FY 2024</t>
  </si>
  <si>
    <t>Data</t>
  </si>
  <si>
    <t>Reserve Assessment</t>
  </si>
  <si>
    <t>Other Income</t>
  </si>
  <si>
    <t>Total</t>
  </si>
  <si>
    <t>Expenses:</t>
  </si>
  <si>
    <t xml:space="preserve">G&amp;A </t>
  </si>
  <si>
    <t>Utilities</t>
  </si>
  <si>
    <t>Maintenance</t>
  </si>
  <si>
    <t>Contracts</t>
  </si>
  <si>
    <t>Totl Expenses</t>
  </si>
  <si>
    <t>Net Surplus</t>
  </si>
  <si>
    <t>Net Cash Funds</t>
  </si>
  <si>
    <t>Total Revenue</t>
  </si>
  <si>
    <t>Net Surplus/Deficit</t>
  </si>
  <si>
    <t>Total Capital Expenses</t>
  </si>
  <si>
    <t>Net Suplus/Deficit</t>
  </si>
  <si>
    <t>FY 2025</t>
  </si>
  <si>
    <t>FY 2026</t>
  </si>
  <si>
    <t>FY 2027</t>
  </si>
  <si>
    <t xml:space="preserve"> </t>
  </si>
  <si>
    <t>Quarterly fee</t>
  </si>
  <si>
    <t>Quarters</t>
  </si>
  <si>
    <t>Cash Funds After loan repayment</t>
  </si>
  <si>
    <t>Loan Balance</t>
  </si>
  <si>
    <t xml:space="preserve">Maintenance expenses have never been under $30K since 2012 - mostly in the mid $40K's and above.  We are making significant assumptions on spending a lot less. </t>
  </si>
  <si>
    <t>FY 2028</t>
  </si>
  <si>
    <t>Social &amp; Other Expenses</t>
  </si>
  <si>
    <t xml:space="preserve">Loan </t>
  </si>
  <si>
    <t>Rate</t>
  </si>
  <si>
    <t>Tenure</t>
  </si>
  <si>
    <t>Payment per month</t>
  </si>
  <si>
    <t>Loan  Starts October 1st 2020</t>
  </si>
  <si>
    <t>Net Borrowing</t>
  </si>
  <si>
    <t>Assessments</t>
  </si>
  <si>
    <t>Interest Rate</t>
  </si>
  <si>
    <t>Months</t>
  </si>
  <si>
    <t>Interest &amp; Principal/month</t>
  </si>
  <si>
    <t xml:space="preserve">Payment </t>
  </si>
  <si>
    <t>Gross Payment (incl. Principal)</t>
  </si>
  <si>
    <t>Payment</t>
  </si>
  <si>
    <t xml:space="preserve">Interest </t>
  </si>
  <si>
    <t>Principal</t>
  </si>
  <si>
    <t xml:space="preserve">Escrow </t>
  </si>
  <si>
    <t>Cash Balance before Cap Exp</t>
  </si>
  <si>
    <t>Loan Proceeds less Payments</t>
  </si>
  <si>
    <t>Net deficit before Loan/Assessment</t>
  </si>
  <si>
    <t>2020 forecasted cash balance less operating surplus add back original $5,000 in cap ex</t>
  </si>
  <si>
    <t>$330,000 less operating surplus</t>
  </si>
  <si>
    <t>Other income</t>
  </si>
  <si>
    <t>Gross Surplus/(Deficit)</t>
  </si>
  <si>
    <t>Beginning Cash Balance</t>
  </si>
  <si>
    <t>Ending Cash Balance</t>
  </si>
  <si>
    <t>Reserve Charges/Loan Payment</t>
  </si>
  <si>
    <t>Operating Expenses</t>
  </si>
  <si>
    <t>Loan Payments/Other</t>
  </si>
  <si>
    <t>2021-2028 Marina Villas Income Statement</t>
  </si>
  <si>
    <t>83 equal payments of $1,522.66 with backend payment of $53,051.95 in month 84</t>
  </si>
  <si>
    <t>Effective interest rate</t>
  </si>
  <si>
    <t>$150,000 loan proceeds less 11 months loan payments</t>
  </si>
  <si>
    <t>FY 2029</t>
  </si>
  <si>
    <t>Project</t>
  </si>
  <si>
    <t>Chimney chases</t>
  </si>
  <si>
    <t>total of 13 that need to be rebuilt</t>
  </si>
  <si>
    <t>estimated</t>
  </si>
  <si>
    <t>Landscape</t>
  </si>
  <si>
    <t>Gutter Replacement</t>
  </si>
  <si>
    <t>Painting</t>
  </si>
  <si>
    <t>Paving</t>
  </si>
  <si>
    <t xml:space="preserve">Total </t>
  </si>
  <si>
    <t>Operating Budget/P&amp;L</t>
  </si>
  <si>
    <t>Operating Fees</t>
  </si>
  <si>
    <t>Capital Improvement Budget/P&amp;L</t>
  </si>
  <si>
    <t>Capital Improvement Income:</t>
  </si>
  <si>
    <t>Capital Improvement Fees</t>
  </si>
  <si>
    <t>Capital Improvement Assessment</t>
  </si>
  <si>
    <t>Total Capital Income</t>
  </si>
  <si>
    <t>Capital Improvement Expenses:</t>
  </si>
  <si>
    <t>Building Improvements</t>
  </si>
  <si>
    <t>Landscaping Improvements</t>
  </si>
  <si>
    <t>Infrastructure Improvements</t>
  </si>
  <si>
    <t>Capital Income</t>
  </si>
  <si>
    <t>Capital Project Expense</t>
  </si>
  <si>
    <t>Other/Interest/Loan activity</t>
  </si>
  <si>
    <t>Capital Suplus/Deficit</t>
  </si>
  <si>
    <t>Other</t>
  </si>
  <si>
    <t>Total Net Surplus/Deficit</t>
  </si>
  <si>
    <t>Capital Improvements</t>
  </si>
  <si>
    <t>Total Capital Improvements</t>
  </si>
  <si>
    <t>2021 Actual</t>
  </si>
  <si>
    <t>FY 2030</t>
  </si>
  <si>
    <t>Fix Cap Ex</t>
  </si>
  <si>
    <t>8 year Capital Improvement Plan</t>
  </si>
  <si>
    <t>2022 Actual</t>
  </si>
  <si>
    <t>Staggered Painting schedule</t>
  </si>
  <si>
    <t>2023 F</t>
  </si>
  <si>
    <t>2024 Budget</t>
  </si>
  <si>
    <t>FY 2031</t>
  </si>
  <si>
    <t>2022-2031 Marina Villas Income Statement</t>
  </si>
  <si>
    <t>Budget</t>
  </si>
  <si>
    <t xml:space="preserve">Other/Irrigation </t>
  </si>
  <si>
    <t>Year End Total Cash</t>
  </si>
  <si>
    <t>Drainage</t>
  </si>
  <si>
    <t>Tree Work</t>
  </si>
  <si>
    <t>Landscaping/Irrigation</t>
  </si>
  <si>
    <t xml:space="preserve">Chimney Rebuilds etc. </t>
  </si>
  <si>
    <t>2025 Marina Villas Long Term Capital Income Statement</t>
  </si>
  <si>
    <t>FY 2032</t>
  </si>
  <si>
    <t>Jan 25 - Jan 28 Interest</t>
  </si>
  <si>
    <t>Lights etc.</t>
  </si>
  <si>
    <t>Anticipated Landscaping Plan</t>
  </si>
  <si>
    <t>Capitol Charge Annually</t>
  </si>
  <si>
    <t>Operating Charge Quarterly</t>
  </si>
  <si>
    <t>Operating Charge Annually</t>
  </si>
  <si>
    <t>Tree trim/Removal/Replace</t>
  </si>
  <si>
    <t>Moat Stair replacement</t>
  </si>
  <si>
    <t>Erosion/310 retaining wall</t>
  </si>
  <si>
    <t>Drainage/River Rock/etc.</t>
  </si>
  <si>
    <r>
      <rPr>
        <sz val="12"/>
        <color rgb="FFFF0000"/>
        <rFont val="Arial"/>
        <family val="2"/>
        <scheme val="minor"/>
      </rPr>
      <t>Siding</t>
    </r>
    <r>
      <rPr>
        <sz val="12"/>
        <color theme="1"/>
        <rFont val="Arial"/>
        <family val="2"/>
        <scheme val="minor"/>
      </rPr>
      <t xml:space="preserve"> &amp; </t>
    </r>
    <r>
      <rPr>
        <sz val="12"/>
        <color theme="4" tint="-0.499984740745262"/>
        <rFont val="Arial"/>
        <family val="2"/>
        <scheme val="minor"/>
      </rPr>
      <t>Decks</t>
    </r>
  </si>
  <si>
    <t>Other/Black Algae</t>
  </si>
  <si>
    <t>Capital Charge</t>
  </si>
  <si>
    <t>Annual Fees</t>
  </si>
  <si>
    <t>Operating Fee</t>
  </si>
  <si>
    <t>Capital Fee</t>
  </si>
  <si>
    <t>Total fees</t>
  </si>
  <si>
    <t>Main Cap Ex components:</t>
  </si>
  <si>
    <t>Siding &amp; Decks</t>
  </si>
  <si>
    <t>$'s</t>
  </si>
  <si>
    <t>% of Total</t>
  </si>
  <si>
    <t>Actual</t>
  </si>
  <si>
    <t>2025 B</t>
  </si>
  <si>
    <t>2025 F</t>
  </si>
  <si>
    <t>Capital Projects</t>
  </si>
  <si>
    <t>$</t>
  </si>
  <si>
    <t>%</t>
  </si>
  <si>
    <t>Gutters</t>
  </si>
  <si>
    <t>Siding/Decks</t>
  </si>
  <si>
    <t>Tree removal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</si>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</sst>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_(&quot;$&quot;* #,##0.000_);_(&quot;$&quot;* \(#,##0.000\);_(&quot;$&quot;* &quot;-&quot;???_);_(@_)"/>
    <numFmt numFmtId="169" formatCode="[$-409]mmm\-yy;@"/>
    <numFmt numFmtId="170" formatCode="&quot;$&quot;#,##0"/>
  </numFmts>
  <fonts count="3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4"/>
      <name val="Arial"/>
      <family val="2"/>
    </font>
    <font>
      <sz val="12"/>
      <name val="Arial (Body)"/>
    </font>
    <font>
      <sz val="12"/>
      <color rgb="FFFF0000"/>
      <name val="Arial"/>
      <family val="2"/>
      <scheme val="minor"/>
    </font>
    <font>
      <sz val="12"/>
      <color theme="4" tint="-0.499984740745262"/>
      <name val="Arial"/>
      <family val="2"/>
      <scheme val="minor"/>
    </font>
    <font>
      <u/>
      <sz val="10"/>
      <name val="Arial"/>
      <family val="2"/>
    </font>
    <font>
      <b/>
      <u val="singleAccounting"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gray1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gray125">
        <fgColor indexed="9"/>
        <bgColor theme="0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9"/>
      </patternFill>
    </fill>
    <fill>
      <patternFill patternType="solid">
        <fgColor rgb="FF92D05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</cellStyleXfs>
  <cellXfs count="485">
    <xf numFmtId="0" fontId="0" fillId="0" borderId="0" xfId="0"/>
    <xf numFmtId="3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0" fontId="0" fillId="4" borderId="0" xfId="0" applyFill="1"/>
    <xf numFmtId="0" fontId="4" fillId="0" borderId="0" xfId="0" applyFont="1"/>
    <xf numFmtId="0" fontId="8" fillId="0" borderId="0" xfId="0" applyFont="1" applyAlignment="1">
      <alignment horizontal="center"/>
    </xf>
    <xf numFmtId="44" fontId="3" fillId="0" borderId="0" xfId="2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Protection="1">
      <protection locked="0"/>
    </xf>
    <xf numFmtId="0" fontId="7" fillId="0" borderId="6" xfId="0" applyFont="1" applyBorder="1" applyAlignment="1" applyProtection="1">
      <alignment horizontal="centerContinuous"/>
      <protection locked="0"/>
    </xf>
    <xf numFmtId="3" fontId="1" fillId="0" borderId="6" xfId="0" applyNumberFormat="1" applyFont="1" applyBorder="1" applyProtection="1">
      <protection locked="0"/>
    </xf>
    <xf numFmtId="3" fontId="10" fillId="0" borderId="6" xfId="0" applyNumberFormat="1" applyFont="1" applyBorder="1" applyProtection="1">
      <protection locked="0"/>
    </xf>
    <xf numFmtId="3" fontId="0" fillId="0" borderId="6" xfId="0" applyNumberFormat="1" applyBorder="1" applyAlignment="1">
      <alignment horizontal="center"/>
    </xf>
    <xf numFmtId="0" fontId="0" fillId="0" borderId="7" xfId="0" applyBorder="1"/>
    <xf numFmtId="0" fontId="2" fillId="0" borderId="8" xfId="0" applyFont="1" applyBorder="1" applyAlignment="1" applyProtection="1">
      <alignment horizontal="left"/>
      <protection locked="0"/>
    </xf>
    <xf numFmtId="0" fontId="0" fillId="0" borderId="9" xfId="0" applyBorder="1"/>
    <xf numFmtId="0" fontId="3" fillId="0" borderId="1" xfId="0" applyFont="1" applyBorder="1" applyProtection="1">
      <protection locked="0"/>
    </xf>
    <xf numFmtId="0" fontId="3" fillId="3" borderId="10" xfId="0" applyFont="1" applyFill="1" applyBorder="1" applyProtection="1">
      <protection locked="0"/>
    </xf>
    <xf numFmtId="3" fontId="6" fillId="0" borderId="1" xfId="0" applyNumberFormat="1" applyFont="1" applyBorder="1" applyAlignment="1">
      <alignment horizontal="center"/>
    </xf>
    <xf numFmtId="44" fontId="3" fillId="0" borderId="1" xfId="2" applyFont="1" applyFill="1" applyBorder="1" applyAlignment="1" applyProtection="1">
      <alignment horizontal="center"/>
      <protection locked="0"/>
    </xf>
    <xf numFmtId="44" fontId="3" fillId="0" borderId="3" xfId="2" applyFont="1" applyFill="1" applyBorder="1" applyAlignment="1" applyProtection="1">
      <alignment horizontal="center"/>
      <protection locked="0"/>
    </xf>
    <xf numFmtId="44" fontId="9" fillId="0" borderId="4" xfId="2" applyFont="1" applyFill="1" applyBorder="1" applyAlignment="1" applyProtection="1">
      <alignment horizontal="center"/>
      <protection locked="0"/>
    </xf>
    <xf numFmtId="44" fontId="1" fillId="0" borderId="1" xfId="2" applyFont="1" applyFill="1" applyBorder="1" applyAlignment="1" applyProtection="1">
      <alignment horizontal="center"/>
      <protection locked="0"/>
    </xf>
    <xf numFmtId="44" fontId="3" fillId="0" borderId="10" xfId="2" applyFont="1" applyFill="1" applyBorder="1" applyAlignment="1" applyProtection="1">
      <alignment horizontal="center"/>
      <protection locked="0"/>
    </xf>
    <xf numFmtId="44" fontId="3" fillId="0" borderId="1" xfId="2" applyFont="1" applyFill="1" applyBorder="1"/>
    <xf numFmtId="44" fontId="3" fillId="0" borderId="1" xfId="2" applyFont="1" applyFill="1" applyBorder="1" applyAlignment="1" applyProtection="1">
      <protection locked="0"/>
    </xf>
    <xf numFmtId="0" fontId="3" fillId="3" borderId="11" xfId="0" applyFont="1" applyFill="1" applyBorder="1" applyProtection="1">
      <protection locked="0"/>
    </xf>
    <xf numFmtId="44" fontId="3" fillId="4" borderId="1" xfId="2" applyFont="1" applyFill="1" applyBorder="1" applyAlignment="1" applyProtection="1">
      <alignment horizontal="center"/>
      <protection locked="0"/>
    </xf>
    <xf numFmtId="44" fontId="3" fillId="0" borderId="11" xfId="2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9" fontId="0" fillId="0" borderId="0" xfId="0" applyNumberFormat="1"/>
    <xf numFmtId="3" fontId="3" fillId="6" borderId="0" xfId="0" applyNumberFormat="1" applyFont="1" applyFill="1" applyAlignment="1" applyProtection="1">
      <alignment horizontal="center"/>
      <protection locked="0"/>
    </xf>
    <xf numFmtId="0" fontId="0" fillId="0" borderId="6" xfId="0" applyBorder="1"/>
    <xf numFmtId="0" fontId="0" fillId="0" borderId="1" xfId="0" applyBorder="1"/>
    <xf numFmtId="44" fontId="3" fillId="0" borderId="12" xfId="2" applyFont="1" applyFill="1" applyBorder="1" applyAlignment="1" applyProtection="1">
      <alignment horizontal="center"/>
      <protection locked="0"/>
    </xf>
    <xf numFmtId="44" fontId="3" fillId="0" borderId="12" xfId="2" applyFont="1" applyFill="1" applyBorder="1" applyAlignment="1">
      <alignment horizont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/>
    <xf numFmtId="44" fontId="11" fillId="0" borderId="12" xfId="2" applyFont="1" applyFill="1" applyBorder="1" applyAlignment="1">
      <alignment horizontal="center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44" fontId="3" fillId="0" borderId="12" xfId="2" applyFont="1" applyFill="1" applyBorder="1"/>
    <xf numFmtId="0" fontId="0" fillId="0" borderId="14" xfId="0" applyBorder="1"/>
    <xf numFmtId="0" fontId="5" fillId="0" borderId="0" xfId="0" applyFont="1"/>
    <xf numFmtId="0" fontId="5" fillId="0" borderId="0" xfId="5"/>
    <xf numFmtId="0" fontId="3" fillId="0" borderId="0" xfId="5" applyFont="1"/>
    <xf numFmtId="165" fontId="3" fillId="0" borderId="0" xfId="3" applyNumberFormat="1" applyFont="1"/>
    <xf numFmtId="165" fontId="3" fillId="0" borderId="0" xfId="5" applyNumberFormat="1" applyFont="1"/>
    <xf numFmtId="165" fontId="3" fillId="0" borderId="0" xfId="3" applyNumberFormat="1" applyFont="1" applyFill="1" applyBorder="1" applyAlignment="1" applyProtection="1">
      <alignment horizontal="center"/>
      <protection locked="0"/>
    </xf>
    <xf numFmtId="165" fontId="5" fillId="0" borderId="0" xfId="5" applyNumberFormat="1"/>
    <xf numFmtId="165" fontId="3" fillId="0" borderId="15" xfId="3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Protection="1">
      <protection locked="0"/>
    </xf>
    <xf numFmtId="44" fontId="3" fillId="0" borderId="17" xfId="3" applyFont="1" applyBorder="1" applyAlignment="1">
      <alignment horizontal="center"/>
    </xf>
    <xf numFmtId="0" fontId="0" fillId="0" borderId="10" xfId="0" applyBorder="1"/>
    <xf numFmtId="0" fontId="3" fillId="3" borderId="20" xfId="0" applyFont="1" applyFill="1" applyBorder="1" applyAlignment="1" applyProtection="1">
      <alignment horizontal="right"/>
      <protection locked="0"/>
    </xf>
    <xf numFmtId="0" fontId="3" fillId="3" borderId="14" xfId="0" applyFont="1" applyFill="1" applyBorder="1" applyProtection="1">
      <protection locked="0"/>
    </xf>
    <xf numFmtId="44" fontId="3" fillId="0" borderId="21" xfId="2" applyFont="1" applyFill="1" applyBorder="1" applyAlignment="1" applyProtection="1">
      <alignment horizontal="center"/>
      <protection locked="0"/>
    </xf>
    <xf numFmtId="0" fontId="0" fillId="0" borderId="17" xfId="0" applyBorder="1"/>
    <xf numFmtId="44" fontId="3" fillId="0" borderId="18" xfId="2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 applyProtection="1">
      <alignment horizontal="right"/>
      <protection locked="0"/>
    </xf>
    <xf numFmtId="0" fontId="3" fillId="7" borderId="10" xfId="0" applyFont="1" applyFill="1" applyBorder="1" applyAlignment="1" applyProtection="1">
      <alignment horizontal="left" vertical="top" wrapText="1"/>
      <protection locked="0"/>
    </xf>
    <xf numFmtId="44" fontId="3" fillId="7" borderId="10" xfId="2" applyFont="1" applyFill="1" applyBorder="1" applyAlignment="1" applyProtection="1">
      <alignment horizontal="center"/>
      <protection locked="0"/>
    </xf>
    <xf numFmtId="44" fontId="3" fillId="0" borderId="22" xfId="2" applyFont="1" applyFill="1" applyBorder="1"/>
    <xf numFmtId="0" fontId="3" fillId="8" borderId="23" xfId="0" applyFont="1" applyFill="1" applyBorder="1" applyAlignment="1" applyProtection="1">
      <alignment horizontal="right" vertical="top" wrapText="1"/>
      <protection locked="0"/>
    </xf>
    <xf numFmtId="0" fontId="3" fillId="0" borderId="0" xfId="5" applyFont="1" applyAlignment="1">
      <alignment horizontal="right"/>
    </xf>
    <xf numFmtId="0" fontId="1" fillId="3" borderId="11" xfId="0" applyFont="1" applyFill="1" applyBorder="1" applyProtection="1">
      <protection locked="0"/>
    </xf>
    <xf numFmtId="9" fontId="0" fillId="9" borderId="0" xfId="0" applyNumberFormat="1" applyFill="1"/>
    <xf numFmtId="0" fontId="0" fillId="9" borderId="0" xfId="0" applyFill="1"/>
    <xf numFmtId="0" fontId="3" fillId="9" borderId="0" xfId="0" applyFont="1" applyFill="1" applyAlignment="1">
      <alignment horizontal="center"/>
    </xf>
    <xf numFmtId="166" fontId="0" fillId="9" borderId="0" xfId="0" applyNumberFormat="1" applyFill="1"/>
    <xf numFmtId="0" fontId="3" fillId="10" borderId="0" xfId="0" applyFont="1" applyFill="1"/>
    <xf numFmtId="3" fontId="3" fillId="11" borderId="0" xfId="0" applyNumberFormat="1" applyFont="1" applyFill="1" applyAlignment="1">
      <alignment horizontal="center"/>
    </xf>
    <xf numFmtId="3" fontId="3" fillId="11" borderId="0" xfId="0" applyNumberFormat="1" applyFont="1" applyFill="1" applyAlignment="1">
      <alignment horizontal="left"/>
    </xf>
    <xf numFmtId="0" fontId="3" fillId="11" borderId="0" xfId="0" applyFont="1" applyFill="1" applyAlignment="1">
      <alignment horizontal="center"/>
    </xf>
    <xf numFmtId="0" fontId="3" fillId="13" borderId="16" xfId="0" applyFont="1" applyFill="1" applyBorder="1" applyAlignment="1" applyProtection="1">
      <alignment horizontal="right" vertical="top" wrapText="1"/>
      <protection locked="0"/>
    </xf>
    <xf numFmtId="0" fontId="0" fillId="12" borderId="17" xfId="0" applyFill="1" applyBorder="1"/>
    <xf numFmtId="0" fontId="3" fillId="12" borderId="19" xfId="0" applyFont="1" applyFill="1" applyBorder="1" applyAlignment="1">
      <alignment horizontal="right"/>
    </xf>
    <xf numFmtId="0" fontId="0" fillId="12" borderId="1" xfId="0" applyFill="1" applyBorder="1"/>
    <xf numFmtId="0" fontId="3" fillId="12" borderId="1" xfId="0" applyFont="1" applyFill="1" applyBorder="1"/>
    <xf numFmtId="0" fontId="3" fillId="12" borderId="19" xfId="0" applyFont="1" applyFill="1" applyBorder="1"/>
    <xf numFmtId="0" fontId="3" fillId="12" borderId="25" xfId="0" applyFont="1" applyFill="1" applyBorder="1"/>
    <xf numFmtId="0" fontId="3" fillId="12" borderId="14" xfId="0" applyFont="1" applyFill="1" applyBorder="1"/>
    <xf numFmtId="0" fontId="3" fillId="0" borderId="0" xfId="0" applyFont="1"/>
    <xf numFmtId="0" fontId="3" fillId="12" borderId="19" xfId="0" quotePrefix="1" applyFont="1" applyFill="1" applyBorder="1"/>
    <xf numFmtId="0" fontId="3" fillId="0" borderId="0" xfId="5" applyFont="1" applyAlignment="1">
      <alignment horizontal="center"/>
    </xf>
    <xf numFmtId="44" fontId="3" fillId="0" borderId="0" xfId="3" applyFont="1"/>
    <xf numFmtId="44" fontId="14" fillId="0" borderId="0" xfId="3" applyFont="1"/>
    <xf numFmtId="10" fontId="0" fillId="0" borderId="0" xfId="7" applyNumberFormat="1" applyFont="1"/>
    <xf numFmtId="44" fontId="15" fillId="0" borderId="0" xfId="3" applyFont="1"/>
    <xf numFmtId="167" fontId="3" fillId="0" borderId="0" xfId="7" applyNumberFormat="1" applyFont="1"/>
    <xf numFmtId="8" fontId="3" fillId="0" borderId="0" xfId="5" applyNumberFormat="1" applyFont="1"/>
    <xf numFmtId="168" fontId="3" fillId="0" borderId="0" xfId="5" applyNumberFormat="1" applyFont="1"/>
    <xf numFmtId="44" fontId="3" fillId="0" borderId="0" xfId="5" applyNumberFormat="1" applyFont="1"/>
    <xf numFmtId="0" fontId="3" fillId="0" borderId="0" xfId="5" applyFont="1" applyAlignment="1">
      <alignment horizontal="center" wrapText="1"/>
    </xf>
    <xf numFmtId="0" fontId="5" fillId="0" borderId="0" xfId="5" applyAlignment="1">
      <alignment horizontal="center" wrapText="1"/>
    </xf>
    <xf numFmtId="0" fontId="5" fillId="0" borderId="0" xfId="5" applyAlignment="1">
      <alignment horizontal="center"/>
    </xf>
    <xf numFmtId="169" fontId="3" fillId="0" borderId="0" xfId="5" applyNumberFormat="1" applyFont="1"/>
    <xf numFmtId="44" fontId="5" fillId="0" borderId="0" xfId="5" applyNumberFormat="1"/>
    <xf numFmtId="169" fontId="5" fillId="0" borderId="0" xfId="5" applyNumberFormat="1"/>
    <xf numFmtId="44" fontId="0" fillId="0" borderId="0" xfId="3" applyFont="1"/>
    <xf numFmtId="44" fontId="0" fillId="0" borderId="0" xfId="0" applyNumberFormat="1"/>
    <xf numFmtId="0" fontId="8" fillId="0" borderId="16" xfId="0" applyFont="1" applyBorder="1" applyAlignment="1" applyProtection="1">
      <alignment horizontal="left"/>
      <protection locked="0"/>
    </xf>
    <xf numFmtId="0" fontId="0" fillId="0" borderId="17" xfId="0" applyBorder="1" applyAlignment="1">
      <alignment horizontal="center"/>
    </xf>
    <xf numFmtId="0" fontId="0" fillId="0" borderId="18" xfId="0" applyBorder="1"/>
    <xf numFmtId="0" fontId="1" fillId="0" borderId="19" xfId="0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/>
      <protection locked="0"/>
    </xf>
    <xf numFmtId="3" fontId="6" fillId="0" borderId="2" xfId="0" applyNumberFormat="1" applyFont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9" xfId="0" applyFont="1" applyBorder="1" applyAlignment="1" applyProtection="1">
      <alignment horizontal="right" vertical="top" wrapText="1"/>
      <protection locked="0"/>
    </xf>
    <xf numFmtId="0" fontId="3" fillId="4" borderId="19" xfId="0" applyFont="1" applyFill="1" applyBorder="1" applyAlignment="1" applyProtection="1">
      <alignment horizontal="right" vertical="top" wrapText="1"/>
      <protection locked="0"/>
    </xf>
    <xf numFmtId="44" fontId="3" fillId="0" borderId="1" xfId="2" applyFont="1" applyFill="1" applyBorder="1" applyAlignment="1">
      <alignment horizontal="center"/>
    </xf>
    <xf numFmtId="0" fontId="3" fillId="0" borderId="27" xfId="0" applyFont="1" applyBorder="1" applyAlignment="1" applyProtection="1">
      <alignment horizontal="right" vertical="top" wrapText="1"/>
      <protection locked="0"/>
    </xf>
    <xf numFmtId="44" fontId="9" fillId="0" borderId="4" xfId="3" applyFont="1" applyFill="1" applyBorder="1" applyAlignment="1" applyProtection="1">
      <alignment horizontal="center"/>
      <protection locked="0"/>
    </xf>
    <xf numFmtId="44" fontId="9" fillId="0" borderId="28" xfId="3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Alignment="1" applyProtection="1">
      <alignment horizontal="right" vertical="top" wrapText="1"/>
      <protection locked="0"/>
    </xf>
    <xf numFmtId="44" fontId="9" fillId="0" borderId="28" xfId="2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right" vertical="top" wrapText="1"/>
      <protection locked="0"/>
    </xf>
    <xf numFmtId="44" fontId="11" fillId="0" borderId="1" xfId="2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right" vertical="top" wrapText="1"/>
      <protection locked="0"/>
    </xf>
    <xf numFmtId="0" fontId="3" fillId="3" borderId="27" xfId="0" applyFont="1" applyFill="1" applyBorder="1" applyAlignment="1" applyProtection="1">
      <alignment horizontal="right" vertical="top" wrapText="1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3" fillId="3" borderId="23" xfId="0" applyFont="1" applyFill="1" applyBorder="1" applyAlignment="1" applyProtection="1">
      <alignment horizontal="center"/>
      <protection locked="0"/>
    </xf>
    <xf numFmtId="44" fontId="3" fillId="0" borderId="24" xfId="2" applyFont="1" applyFill="1" applyBorder="1" applyAlignment="1" applyProtection="1">
      <alignment horizontal="center"/>
      <protection locked="0"/>
    </xf>
    <xf numFmtId="44" fontId="3" fillId="0" borderId="14" xfId="2" applyFont="1" applyFill="1" applyBorder="1" applyAlignment="1" applyProtection="1">
      <alignment horizontal="center"/>
      <protection locked="0"/>
    </xf>
    <xf numFmtId="44" fontId="3" fillId="0" borderId="17" xfId="2" applyFont="1" applyFill="1" applyBorder="1" applyAlignment="1" applyProtection="1">
      <alignment horizontal="center"/>
      <protection locked="0"/>
    </xf>
    <xf numFmtId="0" fontId="3" fillId="3" borderId="27" xfId="0" applyFont="1" applyFill="1" applyBorder="1" applyAlignment="1" applyProtection="1">
      <alignment horizontal="right"/>
      <protection locked="0"/>
    </xf>
    <xf numFmtId="3" fontId="1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44" fontId="9" fillId="11" borderId="1" xfId="4" applyFont="1" applyFill="1" applyBorder="1" applyAlignment="1" applyProtection="1">
      <alignment horizontal="center"/>
      <protection locked="0"/>
    </xf>
    <xf numFmtId="44" fontId="9" fillId="7" borderId="1" xfId="4" applyFont="1" applyFill="1" applyBorder="1" applyAlignment="1" applyProtection="1">
      <alignment horizontal="center"/>
      <protection locked="0"/>
    </xf>
    <xf numFmtId="0" fontId="3" fillId="0" borderId="17" xfId="0" applyFont="1" applyBorder="1" applyProtection="1">
      <protection locked="0"/>
    </xf>
    <xf numFmtId="0" fontId="14" fillId="0" borderId="17" xfId="0" applyFont="1" applyBorder="1" applyProtection="1">
      <protection locked="0"/>
    </xf>
    <xf numFmtId="0" fontId="16" fillId="0" borderId="17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6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44" fontId="3" fillId="0" borderId="1" xfId="4" applyFont="1" applyFill="1" applyBorder="1" applyAlignment="1" applyProtection="1">
      <protection locked="0"/>
    </xf>
    <xf numFmtId="0" fontId="3" fillId="0" borderId="30" xfId="0" applyFont="1" applyBorder="1" applyAlignment="1" applyProtection="1">
      <alignment horizontal="right"/>
      <protection locked="0"/>
    </xf>
    <xf numFmtId="0" fontId="9" fillId="0" borderId="31" xfId="0" applyFont="1" applyBorder="1" applyProtection="1">
      <protection locked="0"/>
    </xf>
    <xf numFmtId="0" fontId="3" fillId="0" borderId="29" xfId="0" applyFont="1" applyBorder="1" applyAlignment="1" applyProtection="1">
      <alignment horizontal="right" vertical="top" wrapText="1"/>
      <protection locked="0"/>
    </xf>
    <xf numFmtId="44" fontId="9" fillId="14" borderId="1" xfId="4" applyFont="1" applyFill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left"/>
      <protection locked="0"/>
    </xf>
    <xf numFmtId="3" fontId="3" fillId="11" borderId="2" xfId="0" applyNumberFormat="1" applyFont="1" applyFill="1" applyBorder="1" applyAlignment="1">
      <alignment horizontal="center"/>
    </xf>
    <xf numFmtId="3" fontId="3" fillId="7" borderId="2" xfId="0" applyNumberFormat="1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17" fillId="0" borderId="19" xfId="0" applyFont="1" applyBorder="1" applyAlignment="1" applyProtection="1">
      <alignment horizontal="left"/>
      <protection locked="0"/>
    </xf>
    <xf numFmtId="3" fontId="6" fillId="11" borderId="1" xfId="0" applyNumberFormat="1" applyFont="1" applyFill="1" applyBorder="1" applyAlignment="1">
      <alignment horizontal="center"/>
    </xf>
    <xf numFmtId="3" fontId="6" fillId="7" borderId="1" xfId="0" applyNumberFormat="1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44" fontId="2" fillId="11" borderId="1" xfId="4" applyFont="1" applyFill="1" applyBorder="1" applyAlignment="1" applyProtection="1">
      <alignment horizontal="center"/>
      <protection locked="0"/>
    </xf>
    <xf numFmtId="44" fontId="2" fillId="7" borderId="1" xfId="4" applyFont="1" applyFill="1" applyBorder="1" applyAlignment="1" applyProtection="1">
      <alignment horizontal="center"/>
      <protection locked="0"/>
    </xf>
    <xf numFmtId="44" fontId="2" fillId="14" borderId="1" xfId="4" applyFont="1" applyFill="1" applyBorder="1" applyAlignment="1" applyProtection="1">
      <alignment horizontal="center"/>
      <protection locked="0"/>
    </xf>
    <xf numFmtId="44" fontId="2" fillId="14" borderId="12" xfId="4" applyFont="1" applyFill="1" applyBorder="1" applyAlignment="1" applyProtection="1">
      <alignment horizontal="center"/>
      <protection locked="0"/>
    </xf>
    <xf numFmtId="44" fontId="3" fillId="11" borderId="1" xfId="4" applyFont="1" applyFill="1" applyBorder="1" applyAlignment="1" applyProtection="1">
      <alignment horizontal="center"/>
      <protection locked="0"/>
    </xf>
    <xf numFmtId="44" fontId="3" fillId="7" borderId="1" xfId="4" applyFont="1" applyFill="1" applyBorder="1" applyAlignment="1" applyProtection="1">
      <alignment horizontal="center"/>
      <protection locked="0"/>
    </xf>
    <xf numFmtId="44" fontId="3" fillId="14" borderId="1" xfId="4" applyFont="1" applyFill="1" applyBorder="1" applyAlignment="1" applyProtection="1">
      <alignment horizontal="center"/>
      <protection locked="0"/>
    </xf>
    <xf numFmtId="44" fontId="3" fillId="14" borderId="12" xfId="4" applyFont="1" applyFill="1" applyBorder="1" applyAlignment="1" applyProtection="1">
      <alignment horizontal="center"/>
      <protection locked="0"/>
    </xf>
    <xf numFmtId="44" fontId="9" fillId="11" borderId="4" xfId="4" applyFont="1" applyFill="1" applyBorder="1" applyAlignment="1" applyProtection="1">
      <alignment horizontal="center"/>
      <protection locked="0"/>
    </xf>
    <xf numFmtId="44" fontId="9" fillId="7" borderId="4" xfId="4" applyFont="1" applyFill="1" applyBorder="1" applyAlignment="1" applyProtection="1">
      <alignment horizontal="center"/>
      <protection locked="0"/>
    </xf>
    <xf numFmtId="44" fontId="9" fillId="14" borderId="4" xfId="4" applyFont="1" applyFill="1" applyBorder="1" applyAlignment="1" applyProtection="1">
      <alignment horizontal="center"/>
      <protection locked="0"/>
    </xf>
    <xf numFmtId="44" fontId="9" fillId="14" borderId="28" xfId="4" applyFont="1" applyFill="1" applyBorder="1" applyAlignment="1" applyProtection="1">
      <alignment horizontal="center"/>
      <protection locked="0"/>
    </xf>
    <xf numFmtId="44" fontId="9" fillId="14" borderId="12" xfId="4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right"/>
      <protection locked="0"/>
    </xf>
    <xf numFmtId="44" fontId="16" fillId="11" borderId="17" xfId="4" applyFont="1" applyFill="1" applyBorder="1" applyAlignment="1" applyProtection="1">
      <alignment horizontal="center"/>
      <protection locked="0"/>
    </xf>
    <xf numFmtId="44" fontId="16" fillId="7" borderId="17" xfId="4" applyFont="1" applyFill="1" applyBorder="1" applyAlignment="1" applyProtection="1">
      <alignment horizontal="center"/>
      <protection locked="0"/>
    </xf>
    <xf numFmtId="44" fontId="16" fillId="14" borderId="17" xfId="4" applyFont="1" applyFill="1" applyBorder="1" applyAlignment="1" applyProtection="1">
      <alignment horizontal="center"/>
      <protection locked="0"/>
    </xf>
    <xf numFmtId="44" fontId="16" fillId="14" borderId="18" xfId="4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right"/>
      <protection locked="0"/>
    </xf>
    <xf numFmtId="44" fontId="16" fillId="11" borderId="10" xfId="4" applyFont="1" applyFill="1" applyBorder="1" applyAlignment="1" applyProtection="1">
      <alignment horizontal="center"/>
      <protection locked="0"/>
    </xf>
    <xf numFmtId="44" fontId="16" fillId="7" borderId="10" xfId="4" applyFont="1" applyFill="1" applyBorder="1" applyAlignment="1" applyProtection="1">
      <alignment horizontal="center"/>
      <protection locked="0"/>
    </xf>
    <xf numFmtId="44" fontId="16" fillId="14" borderId="10" xfId="4" applyFont="1" applyFill="1" applyBorder="1" applyAlignment="1" applyProtection="1">
      <alignment horizontal="center"/>
      <protection locked="0"/>
    </xf>
    <xf numFmtId="44" fontId="9" fillId="11" borderId="31" xfId="4" applyFont="1" applyFill="1" applyBorder="1" applyAlignment="1" applyProtection="1">
      <alignment horizontal="center"/>
      <protection locked="0"/>
    </xf>
    <xf numFmtId="44" fontId="9" fillId="7" borderId="31" xfId="4" applyFont="1" applyFill="1" applyBorder="1" applyAlignment="1" applyProtection="1">
      <alignment horizontal="center"/>
      <protection locked="0"/>
    </xf>
    <xf numFmtId="44" fontId="9" fillId="14" borderId="31" xfId="4" applyFont="1" applyFill="1" applyBorder="1" applyAlignment="1" applyProtection="1">
      <alignment horizontal="center"/>
      <protection locked="0"/>
    </xf>
    <xf numFmtId="44" fontId="9" fillId="14" borderId="32" xfId="4" applyFont="1" applyFill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right" vertical="center" wrapText="1"/>
      <protection locked="0"/>
    </xf>
    <xf numFmtId="3" fontId="3" fillId="14" borderId="2" xfId="0" applyNumberFormat="1" applyFont="1" applyFill="1" applyBorder="1" applyAlignment="1" applyProtection="1">
      <alignment horizontal="center"/>
      <protection locked="0"/>
    </xf>
    <xf numFmtId="3" fontId="3" fillId="14" borderId="2" xfId="0" applyNumberFormat="1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44" fontId="16" fillId="0" borderId="11" xfId="2" applyFont="1" applyFill="1" applyBorder="1" applyAlignment="1" applyProtection="1">
      <alignment horizontal="center"/>
      <protection locked="0"/>
    </xf>
    <xf numFmtId="0" fontId="16" fillId="0" borderId="11" xfId="0" applyFont="1" applyBorder="1" applyProtection="1">
      <protection locked="0"/>
    </xf>
    <xf numFmtId="0" fontId="19" fillId="0" borderId="11" xfId="0" applyFont="1" applyBorder="1"/>
    <xf numFmtId="44" fontId="16" fillId="0" borderId="33" xfId="2" applyFont="1" applyFill="1" applyBorder="1" applyAlignment="1" applyProtection="1">
      <alignment horizontal="center"/>
      <protection locked="0"/>
    </xf>
    <xf numFmtId="44" fontId="9" fillId="0" borderId="11" xfId="2" applyFont="1" applyFill="1" applyBorder="1" applyAlignment="1" applyProtection="1">
      <alignment horizontal="center"/>
      <protection locked="0"/>
    </xf>
    <xf numFmtId="44" fontId="9" fillId="0" borderId="33" xfId="2" applyFont="1" applyFill="1" applyBorder="1" applyAlignment="1" applyProtection="1">
      <alignment horizontal="center"/>
      <protection locked="0"/>
    </xf>
    <xf numFmtId="9" fontId="0" fillId="0" borderId="0" xfId="6" applyFont="1" applyBorder="1" applyAlignment="1">
      <alignment horizontal="center"/>
    </xf>
    <xf numFmtId="44" fontId="9" fillId="0" borderId="3" xfId="2" applyFont="1" applyFill="1" applyBorder="1" applyAlignment="1" applyProtection="1">
      <alignment horizontal="center"/>
      <protection locked="0"/>
    </xf>
    <xf numFmtId="44" fontId="9" fillId="0" borderId="13" xfId="2" applyFont="1" applyFill="1" applyBorder="1" applyAlignment="1" applyProtection="1">
      <alignment horizontal="center"/>
      <protection locked="0"/>
    </xf>
    <xf numFmtId="44" fontId="3" fillId="17" borderId="1" xfId="2" applyFont="1" applyFill="1" applyBorder="1" applyAlignment="1" applyProtection="1">
      <alignment horizontal="center"/>
      <protection locked="0"/>
    </xf>
    <xf numFmtId="3" fontId="0" fillId="12" borderId="1" xfId="0" applyNumberFormat="1" applyFill="1" applyBorder="1" applyAlignment="1">
      <alignment horizontal="center"/>
    </xf>
    <xf numFmtId="44" fontId="3" fillId="12" borderId="1" xfId="2" applyFont="1" applyFill="1" applyBorder="1" applyAlignment="1" applyProtection="1">
      <alignment horizontal="center"/>
      <protection locked="0"/>
    </xf>
    <xf numFmtId="44" fontId="3" fillId="12" borderId="1" xfId="2" applyFont="1" applyFill="1" applyBorder="1" applyAlignment="1">
      <alignment horizontal="center"/>
    </xf>
    <xf numFmtId="44" fontId="3" fillId="12" borderId="1" xfId="2" applyFont="1" applyFill="1" applyBorder="1"/>
    <xf numFmtId="0" fontId="1" fillId="0" borderId="0" xfId="8"/>
    <xf numFmtId="0" fontId="23" fillId="0" borderId="41" xfId="9" applyFont="1" applyBorder="1" applyAlignment="1">
      <alignment horizontal="center"/>
    </xf>
    <xf numFmtId="0" fontId="21" fillId="0" borderId="18" xfId="9" applyBorder="1"/>
    <xf numFmtId="0" fontId="3" fillId="0" borderId="16" xfId="8" applyFont="1" applyBorder="1"/>
    <xf numFmtId="0" fontId="0" fillId="17" borderId="1" xfId="0" applyFill="1" applyBorder="1"/>
    <xf numFmtId="44" fontId="3" fillId="17" borderId="12" xfId="2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3" borderId="25" xfId="0" applyFont="1" applyFill="1" applyBorder="1" applyAlignment="1" applyProtection="1">
      <alignment horizontal="right"/>
      <protection locked="0"/>
    </xf>
    <xf numFmtId="0" fontId="3" fillId="3" borderId="19" xfId="0" applyFont="1" applyFill="1" applyBorder="1" applyAlignment="1" applyProtection="1">
      <alignment horizontal="left"/>
      <protection locked="0"/>
    </xf>
    <xf numFmtId="0" fontId="3" fillId="19" borderId="19" xfId="0" applyFont="1" applyFill="1" applyBorder="1" applyAlignment="1" applyProtection="1">
      <alignment horizontal="right" wrapText="1"/>
      <protection locked="0"/>
    </xf>
    <xf numFmtId="0" fontId="2" fillId="3" borderId="16" xfId="0" applyFont="1" applyFill="1" applyBorder="1" applyAlignment="1" applyProtection="1">
      <alignment horizontal="right"/>
      <protection locked="0"/>
    </xf>
    <xf numFmtId="0" fontId="2" fillId="3" borderId="17" xfId="0" applyFont="1" applyFill="1" applyBorder="1" applyProtection="1">
      <protection locked="0"/>
    </xf>
    <xf numFmtId="0" fontId="8" fillId="3" borderId="10" xfId="0" applyFont="1" applyFill="1" applyBorder="1" applyProtection="1">
      <protection locked="0"/>
    </xf>
    <xf numFmtId="44" fontId="3" fillId="0" borderId="10" xfId="3" applyFont="1" applyBorder="1" applyAlignment="1">
      <alignment horizontal="center"/>
    </xf>
    <xf numFmtId="44" fontId="3" fillId="3" borderId="1" xfId="2" applyFont="1" applyFill="1" applyBorder="1" applyAlignment="1" applyProtection="1">
      <protection locked="0"/>
    </xf>
    <xf numFmtId="44" fontId="0" fillId="0" borderId="1" xfId="2" applyFont="1" applyFill="1" applyBorder="1"/>
    <xf numFmtId="44" fontId="3" fillId="3" borderId="10" xfId="2" applyFont="1" applyFill="1" applyBorder="1" applyAlignment="1" applyProtection="1">
      <protection locked="0"/>
    </xf>
    <xf numFmtId="44" fontId="3" fillId="0" borderId="10" xfId="2" applyFont="1" applyBorder="1" applyAlignment="1">
      <alignment horizontal="center"/>
    </xf>
    <xf numFmtId="0" fontId="3" fillId="2" borderId="25" xfId="0" applyFont="1" applyFill="1" applyBorder="1" applyAlignment="1" applyProtection="1">
      <alignment horizontal="right" vertical="top" wrapText="1"/>
      <protection locked="0"/>
    </xf>
    <xf numFmtId="0" fontId="3" fillId="3" borderId="16" xfId="0" applyFont="1" applyFill="1" applyBorder="1" applyAlignment="1" applyProtection="1">
      <alignment horizontal="right"/>
      <protection locked="0"/>
    </xf>
    <xf numFmtId="0" fontId="21" fillId="20" borderId="12" xfId="9" applyFill="1" applyBorder="1" applyAlignment="1">
      <alignment horizontal="left" indent="1"/>
    </xf>
    <xf numFmtId="170" fontId="21" fillId="21" borderId="12" xfId="9" applyNumberFormat="1" applyFill="1" applyBorder="1" applyAlignment="1">
      <alignment horizontal="left" indent="1"/>
    </xf>
    <xf numFmtId="0" fontId="21" fillId="21" borderId="12" xfId="9" applyFill="1" applyBorder="1" applyAlignment="1">
      <alignment horizontal="left" indent="1"/>
    </xf>
    <xf numFmtId="0" fontId="21" fillId="7" borderId="12" xfId="9" applyFill="1" applyBorder="1" applyAlignment="1">
      <alignment horizontal="left" indent="1"/>
    </xf>
    <xf numFmtId="0" fontId="3" fillId="19" borderId="16" xfId="0" applyFont="1" applyFill="1" applyBorder="1" applyAlignment="1" applyProtection="1">
      <alignment horizontal="right" wrapText="1"/>
      <protection locked="0"/>
    </xf>
    <xf numFmtId="0" fontId="3" fillId="7" borderId="19" xfId="0" applyFont="1" applyFill="1" applyBorder="1" applyAlignment="1" applyProtection="1">
      <alignment horizontal="right" vertical="top" wrapText="1"/>
      <protection locked="0"/>
    </xf>
    <xf numFmtId="0" fontId="2" fillId="3" borderId="30" xfId="0" applyFont="1" applyFill="1" applyBorder="1" applyAlignment="1" applyProtection="1">
      <alignment horizontal="right"/>
      <protection locked="0"/>
    </xf>
    <xf numFmtId="170" fontId="8" fillId="7" borderId="1" xfId="8" applyNumberFormat="1" applyFont="1" applyFill="1" applyBorder="1"/>
    <xf numFmtId="0" fontId="3" fillId="22" borderId="19" xfId="0" applyFont="1" applyFill="1" applyBorder="1" applyAlignment="1" applyProtection="1">
      <alignment horizontal="right"/>
      <protection locked="0"/>
    </xf>
    <xf numFmtId="170" fontId="8" fillId="20" borderId="1" xfId="8" applyNumberFormat="1" applyFont="1" applyFill="1" applyBorder="1"/>
    <xf numFmtId="170" fontId="8" fillId="19" borderId="17" xfId="8" applyNumberFormat="1" applyFont="1" applyFill="1" applyBorder="1"/>
    <xf numFmtId="0" fontId="1" fillId="0" borderId="0" xfId="5" applyFont="1"/>
    <xf numFmtId="0" fontId="3" fillId="8" borderId="16" xfId="0" applyFont="1" applyFill="1" applyBorder="1" applyAlignment="1" applyProtection="1">
      <alignment horizontal="right" vertical="top" wrapText="1"/>
      <protection locked="0"/>
    </xf>
    <xf numFmtId="0" fontId="3" fillId="7" borderId="17" xfId="0" applyFont="1" applyFill="1" applyBorder="1" applyAlignment="1" applyProtection="1">
      <alignment horizontal="left" vertical="top" wrapText="1"/>
      <protection locked="0"/>
    </xf>
    <xf numFmtId="44" fontId="3" fillId="7" borderId="17" xfId="2" applyFont="1" applyFill="1" applyBorder="1" applyAlignment="1" applyProtection="1">
      <alignment horizontal="center"/>
      <protection locked="0"/>
    </xf>
    <xf numFmtId="0" fontId="0" fillId="7" borderId="17" xfId="0" applyFill="1" applyBorder="1"/>
    <xf numFmtId="44" fontId="3" fillId="7" borderId="18" xfId="2" applyFont="1" applyFill="1" applyBorder="1" applyAlignment="1" applyProtection="1">
      <alignment horizontal="center"/>
      <protection locked="0"/>
    </xf>
    <xf numFmtId="0" fontId="3" fillId="8" borderId="19" xfId="0" applyFont="1" applyFill="1" applyBorder="1" applyAlignment="1" applyProtection="1">
      <alignment horizontal="right" vertical="top" wrapText="1"/>
      <protection locked="0"/>
    </xf>
    <xf numFmtId="0" fontId="3" fillId="7" borderId="1" xfId="0" applyFont="1" applyFill="1" applyBorder="1" applyAlignment="1" applyProtection="1">
      <alignment horizontal="left" vertical="top" wrapText="1"/>
      <protection locked="0"/>
    </xf>
    <xf numFmtId="44" fontId="3" fillId="7" borderId="1" xfId="2" applyFont="1" applyFill="1" applyBorder="1" applyAlignment="1" applyProtection="1">
      <alignment horizontal="center"/>
      <protection locked="0"/>
    </xf>
    <xf numFmtId="0" fontId="0" fillId="7" borderId="1" xfId="0" applyFill="1" applyBorder="1"/>
    <xf numFmtId="0" fontId="1" fillId="0" borderId="0" xfId="0" applyFont="1"/>
    <xf numFmtId="0" fontId="5" fillId="0" borderId="15" xfId="5" applyBorder="1"/>
    <xf numFmtId="165" fontId="3" fillId="0" borderId="15" xfId="5" applyNumberFormat="1" applyFont="1" applyBorder="1"/>
    <xf numFmtId="44" fontId="10" fillId="7" borderId="10" xfId="2" applyFont="1" applyFill="1" applyBorder="1" applyAlignment="1" applyProtection="1">
      <alignment horizontal="center"/>
      <protection locked="0"/>
    </xf>
    <xf numFmtId="0" fontId="10" fillId="7" borderId="10" xfId="0" applyFont="1" applyFill="1" applyBorder="1" applyAlignment="1" applyProtection="1">
      <alignment horizontal="left" vertical="top" wrapText="1"/>
      <protection locked="0"/>
    </xf>
    <xf numFmtId="0" fontId="24" fillId="7" borderId="10" xfId="0" applyFont="1" applyFill="1" applyBorder="1"/>
    <xf numFmtId="44" fontId="15" fillId="7" borderId="10" xfId="4" applyFont="1" applyFill="1" applyBorder="1" applyAlignment="1" applyProtection="1">
      <alignment horizontal="center"/>
      <protection locked="0"/>
    </xf>
    <xf numFmtId="44" fontId="15" fillId="7" borderId="24" xfId="4" applyFont="1" applyFill="1" applyBorder="1" applyAlignment="1" applyProtection="1">
      <alignment horizontal="center"/>
      <protection locked="0"/>
    </xf>
    <xf numFmtId="165" fontId="21" fillId="21" borderId="1" xfId="2" applyNumberFormat="1" applyFont="1" applyFill="1" applyBorder="1"/>
    <xf numFmtId="170" fontId="21" fillId="0" borderId="12" xfId="9" applyNumberFormat="1" applyBorder="1"/>
    <xf numFmtId="44" fontId="3" fillId="15" borderId="1" xfId="2" applyFont="1" applyFill="1" applyBorder="1" applyAlignment="1" applyProtection="1">
      <alignment horizontal="center"/>
      <protection locked="0"/>
    </xf>
    <xf numFmtId="0" fontId="0" fillId="4" borderId="1" xfId="0" applyFill="1" applyBorder="1"/>
    <xf numFmtId="44" fontId="9" fillId="15" borderId="3" xfId="2" applyFont="1" applyFill="1" applyBorder="1" applyAlignment="1" applyProtection="1">
      <alignment horizontal="center"/>
      <protection locked="0"/>
    </xf>
    <xf numFmtId="44" fontId="3" fillId="0" borderId="13" xfId="2" applyFont="1" applyFill="1" applyBorder="1" applyAlignment="1" applyProtection="1">
      <alignment horizontal="center"/>
      <protection locked="0"/>
    </xf>
    <xf numFmtId="44" fontId="3" fillId="0" borderId="12" xfId="2" applyFont="1" applyFill="1" applyBorder="1" applyAlignment="1" applyProtection="1">
      <protection locked="0"/>
    </xf>
    <xf numFmtId="0" fontId="8" fillId="3" borderId="16" xfId="0" applyFont="1" applyFill="1" applyBorder="1" applyAlignment="1" applyProtection="1">
      <alignment horizontal="left"/>
      <protection locked="0"/>
    </xf>
    <xf numFmtId="44" fontId="0" fillId="0" borderId="1" xfId="2" applyFont="1" applyBorder="1"/>
    <xf numFmtId="44" fontId="3" fillId="16" borderId="10" xfId="2" applyFont="1" applyFill="1" applyBorder="1" applyAlignment="1" applyProtection="1">
      <alignment horizontal="center"/>
      <protection locked="0"/>
    </xf>
    <xf numFmtId="44" fontId="3" fillId="0" borderId="24" xfId="2" applyFont="1" applyBorder="1" applyAlignment="1">
      <alignment horizontal="center"/>
    </xf>
    <xf numFmtId="0" fontId="3" fillId="13" borderId="19" xfId="0" applyFont="1" applyFill="1" applyBorder="1" applyAlignment="1" applyProtection="1">
      <alignment horizontal="right"/>
      <protection locked="0"/>
    </xf>
    <xf numFmtId="44" fontId="3" fillId="0" borderId="18" xfId="3" applyFont="1" applyBorder="1" applyAlignment="1">
      <alignment horizontal="center"/>
    </xf>
    <xf numFmtId="0" fontId="8" fillId="3" borderId="23" xfId="0" applyFont="1" applyFill="1" applyBorder="1" applyAlignment="1" applyProtection="1">
      <alignment horizontal="right"/>
      <protection locked="0"/>
    </xf>
    <xf numFmtId="44" fontId="3" fillId="0" borderId="24" xfId="3" applyFont="1" applyBorder="1" applyAlignment="1">
      <alignment horizontal="center"/>
    </xf>
    <xf numFmtId="44" fontId="3" fillId="0" borderId="2" xfId="2" applyFont="1" applyFill="1" applyBorder="1"/>
    <xf numFmtId="0" fontId="24" fillId="7" borderId="14" xfId="0" applyFont="1" applyFill="1" applyBorder="1"/>
    <xf numFmtId="44" fontId="3" fillId="7" borderId="12" xfId="2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right" vertical="top" wrapText="1"/>
      <protection locked="0"/>
    </xf>
    <xf numFmtId="44" fontId="3" fillId="7" borderId="1" xfId="2" applyFont="1" applyFill="1" applyBorder="1" applyAlignment="1" applyProtection="1">
      <alignment horizontal="left"/>
      <protection locked="0"/>
    </xf>
    <xf numFmtId="3" fontId="3" fillId="7" borderId="1" xfId="0" applyNumberFormat="1" applyFont="1" applyFill="1" applyBorder="1" applyAlignment="1" applyProtection="1">
      <alignment horizontal="left"/>
      <protection locked="0"/>
    </xf>
    <xf numFmtId="44" fontId="3" fillId="7" borderId="1" xfId="2" applyFont="1" applyFill="1" applyBorder="1"/>
    <xf numFmtId="0" fontId="0" fillId="7" borderId="12" xfId="0" applyFill="1" applyBorder="1"/>
    <xf numFmtId="0" fontId="3" fillId="7" borderId="1" xfId="0" applyFont="1" applyFill="1" applyBorder="1" applyAlignment="1" applyProtection="1">
      <alignment horizontal="right" vertical="top" wrapText="1"/>
      <protection locked="0"/>
    </xf>
    <xf numFmtId="44" fontId="3" fillId="7" borderId="31" xfId="0" applyNumberFormat="1" applyFont="1" applyFill="1" applyBorder="1"/>
    <xf numFmtId="3" fontId="1" fillId="7" borderId="1" xfId="0" applyNumberFormat="1" applyFont="1" applyFill="1" applyBorder="1" applyAlignment="1" applyProtection="1">
      <alignment horizontal="center"/>
      <protection locked="0"/>
    </xf>
    <xf numFmtId="0" fontId="0" fillId="12" borderId="18" xfId="0" applyFill="1" applyBorder="1"/>
    <xf numFmtId="3" fontId="1" fillId="12" borderId="1" xfId="0" applyNumberFormat="1" applyFont="1" applyFill="1" applyBorder="1" applyAlignment="1" applyProtection="1">
      <alignment horizontal="center"/>
      <protection locked="0"/>
    </xf>
    <xf numFmtId="0" fontId="0" fillId="12" borderId="12" xfId="0" applyFill="1" applyBorder="1"/>
    <xf numFmtId="10" fontId="3" fillId="12" borderId="1" xfId="6" applyNumberFormat="1" applyFont="1" applyFill="1" applyBorder="1" applyAlignment="1">
      <alignment horizontal="right"/>
    </xf>
    <xf numFmtId="44" fontId="3" fillId="12" borderId="1" xfId="0" applyNumberFormat="1" applyFont="1" applyFill="1" applyBorder="1"/>
    <xf numFmtId="0" fontId="3" fillId="12" borderId="12" xfId="0" applyFont="1" applyFill="1" applyBorder="1"/>
    <xf numFmtId="10" fontId="3" fillId="12" borderId="1" xfId="6" applyNumberFormat="1" applyFont="1" applyFill="1" applyBorder="1" applyAlignment="1" applyProtection="1">
      <alignment horizontal="right"/>
      <protection locked="0"/>
    </xf>
    <xf numFmtId="165" fontId="3" fillId="12" borderId="1" xfId="2" applyNumberFormat="1" applyFont="1" applyFill="1" applyBorder="1" applyAlignment="1" applyProtection="1">
      <alignment horizontal="center"/>
      <protection locked="0"/>
    </xf>
    <xf numFmtId="164" fontId="5" fillId="12" borderId="1" xfId="1" applyNumberFormat="1" applyFont="1" applyFill="1" applyBorder="1"/>
    <xf numFmtId="165" fontId="3" fillId="12" borderId="14" xfId="2" applyNumberFormat="1" applyFont="1" applyFill="1" applyBorder="1"/>
    <xf numFmtId="44" fontId="3" fillId="12" borderId="14" xfId="2" applyFont="1" applyFill="1" applyBorder="1"/>
    <xf numFmtId="3" fontId="3" fillId="0" borderId="0" xfId="5" applyNumberFormat="1" applyFont="1" applyAlignment="1">
      <alignment horizontal="center"/>
    </xf>
    <xf numFmtId="0" fontId="1" fillId="0" borderId="15" xfId="5" applyFont="1" applyBorder="1"/>
    <xf numFmtId="0" fontId="22" fillId="0" borderId="40" xfId="10" applyFont="1" applyBorder="1"/>
    <xf numFmtId="3" fontId="3" fillId="0" borderId="1" xfId="0" applyNumberFormat="1" applyFont="1" applyBorder="1" applyAlignment="1" applyProtection="1">
      <alignment horizontal="center"/>
      <protection locked="0"/>
    </xf>
    <xf numFmtId="0" fontId="21" fillId="21" borderId="27" xfId="10" applyFill="1" applyBorder="1" applyAlignment="1">
      <alignment horizontal="left" indent="1"/>
    </xf>
    <xf numFmtId="0" fontId="21" fillId="21" borderId="19" xfId="10" applyFill="1" applyBorder="1" applyAlignment="1">
      <alignment horizontal="left" indent="1"/>
    </xf>
    <xf numFmtId="0" fontId="21" fillId="21" borderId="26" xfId="10" applyFill="1" applyBorder="1" applyAlignment="1">
      <alignment horizontal="left" indent="1"/>
    </xf>
    <xf numFmtId="0" fontId="21" fillId="20" borderId="27" xfId="10" applyFill="1" applyBorder="1" applyAlignment="1">
      <alignment horizontal="left" indent="1"/>
    </xf>
    <xf numFmtId="0" fontId="21" fillId="20" borderId="19" xfId="10" applyFill="1" applyBorder="1" applyAlignment="1">
      <alignment horizontal="left" indent="1"/>
    </xf>
    <xf numFmtId="0" fontId="21" fillId="20" borderId="26" xfId="10" applyFill="1" applyBorder="1" applyAlignment="1">
      <alignment horizontal="left" indent="1"/>
    </xf>
    <xf numFmtId="0" fontId="21" fillId="7" borderId="27" xfId="10" applyFill="1" applyBorder="1" applyAlignment="1">
      <alignment horizontal="left" indent="1"/>
    </xf>
    <xf numFmtId="0" fontId="21" fillId="7" borderId="19" xfId="10" applyFill="1" applyBorder="1" applyAlignment="1">
      <alignment horizontal="left" indent="1"/>
    </xf>
    <xf numFmtId="0" fontId="21" fillId="7" borderId="26" xfId="10" applyFill="1" applyBorder="1" applyAlignment="1">
      <alignment horizontal="left" indent="1"/>
    </xf>
    <xf numFmtId="44" fontId="21" fillId="7" borderId="2" xfId="2" applyFont="1" applyFill="1" applyBorder="1"/>
    <xf numFmtId="0" fontId="22" fillId="17" borderId="25" xfId="10" applyFont="1" applyFill="1" applyBorder="1"/>
    <xf numFmtId="0" fontId="1" fillId="0" borderId="17" xfId="0" applyFont="1" applyBorder="1" applyAlignment="1" applyProtection="1">
      <alignment horizontal="left"/>
      <protection locked="0"/>
    </xf>
    <xf numFmtId="3" fontId="0" fillId="12" borderId="1" xfId="0" applyNumberFormat="1" applyFill="1" applyBorder="1" applyAlignment="1" applyProtection="1">
      <alignment horizontal="left"/>
      <protection locked="0"/>
    </xf>
    <xf numFmtId="0" fontId="0" fillId="0" borderId="46" xfId="0" applyBorder="1"/>
    <xf numFmtId="3" fontId="6" fillId="23" borderId="0" xfId="0" applyNumberFormat="1" applyFont="1" applyFill="1" applyAlignment="1">
      <alignment horizontal="center"/>
    </xf>
    <xf numFmtId="44" fontId="3" fillId="23" borderId="0" xfId="2" applyFont="1" applyFill="1" applyBorder="1" applyAlignment="1" applyProtection="1">
      <alignment horizontal="center"/>
      <protection locked="0"/>
    </xf>
    <xf numFmtId="44" fontId="9" fillId="23" borderId="44" xfId="2" applyFont="1" applyFill="1" applyBorder="1" applyAlignment="1" applyProtection="1">
      <alignment horizontal="center"/>
      <protection locked="0"/>
    </xf>
    <xf numFmtId="44" fontId="16" fillId="23" borderId="44" xfId="2" applyFont="1" applyFill="1" applyBorder="1" applyAlignment="1" applyProtection="1">
      <alignment horizontal="center"/>
      <protection locked="0"/>
    </xf>
    <xf numFmtId="44" fontId="1" fillId="23" borderId="0" xfId="2" applyFont="1" applyFill="1" applyBorder="1" applyAlignment="1" applyProtection="1">
      <alignment horizontal="center"/>
      <protection locked="0"/>
    </xf>
    <xf numFmtId="9" fontId="0" fillId="0" borderId="1" xfId="0" applyNumberFormat="1" applyBorder="1"/>
    <xf numFmtId="44" fontId="21" fillId="21" borderId="3" xfId="2" applyFont="1" applyFill="1" applyBorder="1"/>
    <xf numFmtId="44" fontId="21" fillId="21" borderId="1" xfId="2" applyFont="1" applyFill="1" applyBorder="1"/>
    <xf numFmtId="44" fontId="21" fillId="21" borderId="2" xfId="2" applyFont="1" applyFill="1" applyBorder="1"/>
    <xf numFmtId="44" fontId="21" fillId="20" borderId="3" xfId="2" applyFont="1" applyFill="1" applyBorder="1"/>
    <xf numFmtId="44" fontId="21" fillId="20" borderId="1" xfId="2" applyFont="1" applyFill="1" applyBorder="1"/>
    <xf numFmtId="44" fontId="21" fillId="7" borderId="1" xfId="2" applyFont="1" applyFill="1" applyBorder="1"/>
    <xf numFmtId="165" fontId="22" fillId="17" borderId="14" xfId="2" applyNumberFormat="1" applyFont="1" applyFill="1" applyBorder="1"/>
    <xf numFmtId="0" fontId="0" fillId="12" borderId="0" xfId="0" applyFill="1"/>
    <xf numFmtId="165" fontId="21" fillId="7" borderId="2" xfId="2" applyNumberFormat="1" applyFont="1" applyFill="1" applyBorder="1"/>
    <xf numFmtId="0" fontId="5" fillId="0" borderId="35" xfId="5" applyBorder="1"/>
    <xf numFmtId="0" fontId="5" fillId="0" borderId="36" xfId="5" applyBorder="1"/>
    <xf numFmtId="0" fontId="3" fillId="0" borderId="36" xfId="5" applyFont="1" applyBorder="1" applyAlignment="1">
      <alignment horizontal="center"/>
    </xf>
    <xf numFmtId="0" fontId="3" fillId="0" borderId="37" xfId="5" applyFont="1" applyBorder="1" applyAlignment="1">
      <alignment horizontal="center"/>
    </xf>
    <xf numFmtId="0" fontId="1" fillId="0" borderId="23" xfId="5" applyFont="1" applyBorder="1"/>
    <xf numFmtId="0" fontId="5" fillId="0" borderId="10" xfId="5" applyBorder="1"/>
    <xf numFmtId="165" fontId="3" fillId="0" borderId="10" xfId="3" applyNumberFormat="1" applyFont="1" applyBorder="1"/>
    <xf numFmtId="165" fontId="3" fillId="0" borderId="1" xfId="2" applyNumberFormat="1" applyFont="1" applyBorder="1"/>
    <xf numFmtId="165" fontId="3" fillId="0" borderId="14" xfId="2" applyNumberFormat="1" applyFont="1" applyBorder="1"/>
    <xf numFmtId="165" fontId="3" fillId="0" borderId="19" xfId="2" applyNumberFormat="1" applyFont="1" applyBorder="1"/>
    <xf numFmtId="165" fontId="3" fillId="0" borderId="12" xfId="2" applyNumberFormat="1" applyFont="1" applyBorder="1"/>
    <xf numFmtId="165" fontId="3" fillId="0" borderId="25" xfId="2" applyNumberFormat="1" applyFont="1" applyBorder="1"/>
    <xf numFmtId="165" fontId="3" fillId="0" borderId="21" xfId="2" applyNumberFormat="1" applyFont="1" applyBorder="1"/>
    <xf numFmtId="3" fontId="1" fillId="7" borderId="3" xfId="0" applyNumberFormat="1" applyFont="1" applyFill="1" applyBorder="1" applyAlignment="1">
      <alignment horizontal="center"/>
    </xf>
    <xf numFmtId="3" fontId="6" fillId="15" borderId="0" xfId="0" applyNumberFormat="1" applyFont="1" applyFill="1" applyAlignment="1">
      <alignment horizontal="center"/>
    </xf>
    <xf numFmtId="3" fontId="0" fillId="15" borderId="3" xfId="0" applyNumberFormat="1" applyFill="1" applyBorder="1" applyAlignment="1">
      <alignment horizontal="center"/>
    </xf>
    <xf numFmtId="44" fontId="3" fillId="15" borderId="0" xfId="2" applyFont="1" applyFill="1" applyBorder="1" applyAlignment="1" applyProtection="1">
      <alignment horizontal="center"/>
      <protection locked="0"/>
    </xf>
    <xf numFmtId="44" fontId="9" fillId="15" borderId="44" xfId="2" applyFont="1" applyFill="1" applyBorder="1" applyAlignment="1" applyProtection="1">
      <alignment horizontal="center"/>
      <protection locked="0"/>
    </xf>
    <xf numFmtId="44" fontId="16" fillId="15" borderId="44" xfId="2" applyFont="1" applyFill="1" applyBorder="1" applyAlignment="1" applyProtection="1">
      <alignment horizontal="center"/>
      <protection locked="0"/>
    </xf>
    <xf numFmtId="44" fontId="1" fillId="15" borderId="0" xfId="2" applyFont="1" applyFill="1" applyBorder="1" applyAlignment="1" applyProtection="1">
      <alignment horizontal="center"/>
      <protection locked="0"/>
    </xf>
    <xf numFmtId="44" fontId="9" fillId="15" borderId="15" xfId="2" applyFont="1" applyFill="1" applyBorder="1" applyAlignment="1" applyProtection="1">
      <alignment horizontal="center"/>
      <protection locked="0"/>
    </xf>
    <xf numFmtId="44" fontId="3" fillId="15" borderId="0" xfId="2" applyFont="1" applyFill="1" applyBorder="1" applyAlignment="1" applyProtection="1">
      <protection locked="0"/>
    </xf>
    <xf numFmtId="0" fontId="3" fillId="15" borderId="1" xfId="0" applyFont="1" applyFill="1" applyBorder="1"/>
    <xf numFmtId="44" fontId="16" fillId="15" borderId="36" xfId="2" applyFont="1" applyFill="1" applyBorder="1" applyAlignment="1" applyProtection="1">
      <alignment horizontal="center"/>
      <protection locked="0"/>
    </xf>
    <xf numFmtId="3" fontId="0" fillId="16" borderId="0" xfId="0" applyNumberFormat="1" applyFill="1" applyAlignment="1">
      <alignment horizontal="center"/>
    </xf>
    <xf numFmtId="44" fontId="16" fillId="15" borderId="3" xfId="2" applyFont="1" applyFill="1" applyBorder="1" applyAlignment="1" applyProtection="1">
      <alignment horizontal="center"/>
      <protection locked="0"/>
    </xf>
    <xf numFmtId="3" fontId="0" fillId="16" borderId="34" xfId="0" applyNumberFormat="1" applyFill="1" applyBorder="1" applyAlignment="1">
      <alignment horizontal="center"/>
    </xf>
    <xf numFmtId="44" fontId="3" fillId="15" borderId="0" xfId="3" applyFont="1" applyFill="1" applyBorder="1" applyAlignment="1" applyProtection="1">
      <alignment horizontal="center"/>
      <protection locked="0"/>
    </xf>
    <xf numFmtId="44" fontId="3" fillId="15" borderId="45" xfId="3" applyFont="1" applyFill="1" applyBorder="1" applyAlignment="1" applyProtection="1">
      <alignment horizontal="center"/>
      <protection locked="0"/>
    </xf>
    <xf numFmtId="44" fontId="3" fillId="15" borderId="6" xfId="3" applyFont="1" applyFill="1" applyBorder="1" applyAlignment="1" applyProtection="1">
      <alignment horizontal="center"/>
      <protection locked="0"/>
    </xf>
    <xf numFmtId="44" fontId="16" fillId="15" borderId="34" xfId="2" applyFont="1" applyFill="1" applyBorder="1" applyAlignment="1" applyProtection="1">
      <alignment horizontal="center"/>
      <protection locked="0"/>
    </xf>
    <xf numFmtId="3" fontId="0" fillId="15" borderId="1" xfId="0" applyNumberFormat="1" applyFill="1" applyBorder="1" applyAlignment="1">
      <alignment horizontal="center"/>
    </xf>
    <xf numFmtId="44" fontId="3" fillId="15" borderId="0" xfId="2" applyFont="1" applyFill="1" applyBorder="1"/>
    <xf numFmtId="44" fontId="3" fillId="15" borderId="47" xfId="2" applyFont="1" applyFill="1" applyBorder="1"/>
    <xf numFmtId="44" fontId="3" fillId="15" borderId="3" xfId="2" applyFont="1" applyFill="1" applyBorder="1"/>
    <xf numFmtId="44" fontId="3" fillId="15" borderId="1" xfId="2" applyFont="1" applyFill="1" applyBorder="1"/>
    <xf numFmtId="44" fontId="3" fillId="15" borderId="14" xfId="2" applyFont="1" applyFill="1" applyBorder="1"/>
    <xf numFmtId="44" fontId="9" fillId="11" borderId="3" xfId="2" applyFont="1" applyFill="1" applyBorder="1" applyAlignment="1" applyProtection="1">
      <alignment horizontal="center"/>
      <protection locked="0"/>
    </xf>
    <xf numFmtId="44" fontId="3" fillId="7" borderId="3" xfId="2" applyFont="1" applyFill="1" applyBorder="1" applyAlignment="1" applyProtection="1">
      <alignment horizontal="center"/>
      <protection locked="0"/>
    </xf>
    <xf numFmtId="44" fontId="3" fillId="7" borderId="1" xfId="2" applyFont="1" applyFill="1" applyBorder="1" applyAlignment="1" applyProtection="1">
      <protection locked="0"/>
    </xf>
    <xf numFmtId="44" fontId="9" fillId="7" borderId="3" xfId="2" applyFont="1" applyFill="1" applyBorder="1" applyAlignment="1" applyProtection="1">
      <alignment horizontal="center"/>
      <protection locked="0"/>
    </xf>
    <xf numFmtId="44" fontId="16" fillId="7" borderId="11" xfId="2" applyFont="1" applyFill="1" applyBorder="1" applyAlignment="1" applyProtection="1">
      <alignment horizontal="center"/>
      <protection locked="0"/>
    </xf>
    <xf numFmtId="44" fontId="3" fillId="7" borderId="14" xfId="2" applyFont="1" applyFill="1" applyBorder="1" applyAlignment="1" applyProtection="1">
      <alignment horizontal="center"/>
      <protection locked="0"/>
    </xf>
    <xf numFmtId="44" fontId="3" fillId="7" borderId="10" xfId="2" applyFont="1" applyFill="1" applyBorder="1" applyAlignment="1">
      <alignment horizontal="center"/>
    </xf>
    <xf numFmtId="44" fontId="3" fillId="7" borderId="17" xfId="3" applyFont="1" applyFill="1" applyBorder="1" applyAlignment="1">
      <alignment horizontal="center"/>
    </xf>
    <xf numFmtId="0" fontId="5" fillId="12" borderId="0" xfId="5" applyFill="1"/>
    <xf numFmtId="44" fontId="3" fillId="12" borderId="0" xfId="3" applyFont="1" applyFill="1"/>
    <xf numFmtId="44" fontId="3" fillId="12" borderId="0" xfId="5" applyNumberFormat="1" applyFont="1" applyFill="1"/>
    <xf numFmtId="169" fontId="5" fillId="12" borderId="0" xfId="5" applyNumberFormat="1" applyFill="1"/>
    <xf numFmtId="169" fontId="1" fillId="0" borderId="0" xfId="5" applyNumberFormat="1" applyFont="1"/>
    <xf numFmtId="165" fontId="21" fillId="21" borderId="42" xfId="2" applyNumberFormat="1" applyFont="1" applyFill="1" applyBorder="1"/>
    <xf numFmtId="165" fontId="21" fillId="20" borderId="1" xfId="2" applyNumberFormat="1" applyFont="1" applyFill="1" applyBorder="1"/>
    <xf numFmtId="165" fontId="21" fillId="20" borderId="43" xfId="2" applyNumberFormat="1" applyFont="1" applyFill="1" applyBorder="1"/>
    <xf numFmtId="165" fontId="21" fillId="7" borderId="1" xfId="2" applyNumberFormat="1" applyFont="1" applyFill="1" applyBorder="1"/>
    <xf numFmtId="165" fontId="25" fillId="0" borderId="0" xfId="2" applyNumberFormat="1" applyFont="1" applyAlignment="1">
      <alignment horizontal="center"/>
    </xf>
    <xf numFmtId="3" fontId="6" fillId="11" borderId="0" xfId="0" applyNumberFormat="1" applyFont="1" applyFill="1" applyAlignment="1">
      <alignment horizontal="center"/>
    </xf>
    <xf numFmtId="44" fontId="3" fillId="11" borderId="0" xfId="2" applyFont="1" applyFill="1" applyBorder="1" applyAlignment="1" applyProtection="1">
      <alignment horizontal="center"/>
      <protection locked="0"/>
    </xf>
    <xf numFmtId="44" fontId="9" fillId="11" borderId="44" xfId="2" applyFont="1" applyFill="1" applyBorder="1" applyAlignment="1" applyProtection="1">
      <alignment horizontal="center"/>
      <protection locked="0"/>
    </xf>
    <xf numFmtId="44" fontId="16" fillId="11" borderId="44" xfId="2" applyFont="1" applyFill="1" applyBorder="1" applyAlignment="1" applyProtection="1">
      <alignment horizontal="center"/>
      <protection locked="0"/>
    </xf>
    <xf numFmtId="44" fontId="1" fillId="11" borderId="0" xfId="2" applyFont="1" applyFill="1" applyBorder="1" applyAlignment="1" applyProtection="1">
      <alignment horizontal="center"/>
      <protection locked="0"/>
    </xf>
    <xf numFmtId="44" fontId="9" fillId="11" borderId="15" xfId="2" applyFont="1" applyFill="1" applyBorder="1" applyAlignment="1" applyProtection="1">
      <alignment horizontal="center"/>
      <protection locked="0"/>
    </xf>
    <xf numFmtId="44" fontId="3" fillId="11" borderId="0" xfId="2" applyFont="1" applyFill="1" applyBorder="1" applyAlignment="1" applyProtection="1">
      <protection locked="0"/>
    </xf>
    <xf numFmtId="0" fontId="3" fillId="11" borderId="1" xfId="0" applyFont="1" applyFill="1" applyBorder="1"/>
    <xf numFmtId="44" fontId="3" fillId="11" borderId="1" xfId="2" applyFont="1" applyFill="1" applyBorder="1" applyAlignment="1" applyProtection="1">
      <alignment horizontal="center"/>
      <protection locked="0"/>
    </xf>
    <xf numFmtId="44" fontId="16" fillId="11" borderId="36" xfId="2" applyFont="1" applyFill="1" applyBorder="1" applyAlignment="1" applyProtection="1">
      <alignment horizontal="center"/>
      <protection locked="0"/>
    </xf>
    <xf numFmtId="44" fontId="16" fillId="11" borderId="3" xfId="2" applyFont="1" applyFill="1" applyBorder="1" applyAlignment="1" applyProtection="1">
      <alignment horizontal="center"/>
      <protection locked="0"/>
    </xf>
    <xf numFmtId="44" fontId="3" fillId="11" borderId="0" xfId="3" applyFont="1" applyFill="1" applyBorder="1" applyAlignment="1" applyProtection="1">
      <alignment horizontal="center"/>
      <protection locked="0"/>
    </xf>
    <xf numFmtId="44" fontId="16" fillId="11" borderId="34" xfId="2" applyFont="1" applyFill="1" applyBorder="1" applyAlignment="1" applyProtection="1">
      <alignment horizontal="center"/>
      <protection locked="0"/>
    </xf>
    <xf numFmtId="3" fontId="0" fillId="11" borderId="1" xfId="0" applyNumberFormat="1" applyFill="1" applyBorder="1" applyAlignment="1">
      <alignment horizontal="center"/>
    </xf>
    <xf numFmtId="165" fontId="27" fillId="21" borderId="1" xfId="2" applyNumberFormat="1" applyFont="1" applyFill="1" applyBorder="1"/>
    <xf numFmtId="44" fontId="16" fillId="0" borderId="34" xfId="2" applyFont="1" applyFill="1" applyBorder="1" applyAlignment="1" applyProtection="1">
      <alignment horizontal="center"/>
      <protection locked="0"/>
    </xf>
    <xf numFmtId="44" fontId="16" fillId="23" borderId="34" xfId="2" applyFont="1" applyFill="1" applyBorder="1" applyAlignment="1" applyProtection="1">
      <alignment horizontal="center"/>
      <protection locked="0"/>
    </xf>
    <xf numFmtId="1" fontId="6" fillId="0" borderId="0" xfId="2" applyNumberFormat="1" applyFont="1" applyFill="1" applyBorder="1" applyAlignment="1" applyProtection="1">
      <alignment horizontal="center"/>
      <protection locked="0"/>
    </xf>
    <xf numFmtId="1" fontId="28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left"/>
      <protection locked="0"/>
    </xf>
    <xf numFmtId="44" fontId="29" fillId="0" borderId="0" xfId="2" applyFont="1" applyFill="1" applyBorder="1" applyAlignment="1" applyProtection="1">
      <alignment horizontal="left"/>
      <protection locked="0"/>
    </xf>
    <xf numFmtId="9" fontId="3" fillId="0" borderId="0" xfId="6" applyFont="1" applyAlignment="1">
      <alignment horizontal="center"/>
    </xf>
    <xf numFmtId="44" fontId="3" fillId="6" borderId="0" xfId="2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 applyProtection="1">
      <alignment horizontal="center"/>
      <protection locked="0"/>
    </xf>
    <xf numFmtId="0" fontId="0" fillId="12" borderId="14" xfId="0" applyFill="1" applyBorder="1"/>
    <xf numFmtId="0" fontId="0" fillId="12" borderId="21" xfId="0" applyFill="1" applyBorder="1"/>
    <xf numFmtId="165" fontId="26" fillId="21" borderId="1" xfId="2" applyNumberFormat="1" applyFont="1" applyFill="1" applyBorder="1"/>
    <xf numFmtId="170" fontId="3" fillId="0" borderId="0" xfId="8" applyNumberFormat="1" applyFont="1"/>
    <xf numFmtId="170" fontId="3" fillId="19" borderId="13" xfId="8" applyNumberFormat="1" applyFont="1" applyFill="1" applyBorder="1"/>
    <xf numFmtId="170" fontId="3" fillId="7" borderId="12" xfId="8" applyNumberFormat="1" applyFont="1" applyFill="1" applyBorder="1"/>
    <xf numFmtId="170" fontId="3" fillId="20" borderId="22" xfId="8" applyNumberFormat="1" applyFont="1" applyFill="1" applyBorder="1"/>
    <xf numFmtId="170" fontId="3" fillId="0" borderId="32" xfId="8" applyNumberFormat="1" applyFont="1" applyBorder="1"/>
    <xf numFmtId="0" fontId="3" fillId="21" borderId="19" xfId="8" applyFont="1" applyFill="1" applyBorder="1"/>
    <xf numFmtId="170" fontId="3" fillId="21" borderId="12" xfId="8" applyNumberFormat="1" applyFont="1" applyFill="1" applyBorder="1"/>
    <xf numFmtId="166" fontId="3" fillId="21" borderId="12" xfId="6" applyNumberFormat="1" applyFont="1" applyFill="1" applyBorder="1"/>
    <xf numFmtId="44" fontId="21" fillId="20" borderId="2" xfId="2" applyFont="1" applyFill="1" applyBorder="1"/>
    <xf numFmtId="44" fontId="21" fillId="7" borderId="3" xfId="2" applyFont="1" applyFill="1" applyBorder="1"/>
    <xf numFmtId="0" fontId="3" fillId="0" borderId="18" xfId="8" applyFont="1" applyBorder="1" applyAlignment="1">
      <alignment horizontal="center"/>
    </xf>
    <xf numFmtId="0" fontId="3" fillId="24" borderId="19" xfId="8" applyFont="1" applyFill="1" applyBorder="1"/>
    <xf numFmtId="0" fontId="3" fillId="24" borderId="12" xfId="8" applyFont="1" applyFill="1" applyBorder="1" applyAlignment="1">
      <alignment horizontal="center"/>
    </xf>
    <xf numFmtId="44" fontId="3" fillId="0" borderId="0" xfId="2" applyFont="1" applyFill="1"/>
    <xf numFmtId="0" fontId="22" fillId="0" borderId="0" xfId="9" applyFont="1"/>
    <xf numFmtId="170" fontId="8" fillId="0" borderId="0" xfId="8" applyNumberFormat="1" applyFont="1"/>
    <xf numFmtId="165" fontId="8" fillId="0" borderId="0" xfId="2" applyNumberFormat="1" applyFont="1" applyFill="1" applyBorder="1"/>
    <xf numFmtId="170" fontId="8" fillId="0" borderId="31" xfId="8" applyNumberFormat="1" applyFont="1" applyBorder="1"/>
    <xf numFmtId="3" fontId="0" fillId="11" borderId="3" xfId="0" applyNumberFormat="1" applyFill="1" applyBorder="1" applyAlignment="1">
      <alignment horizontal="center"/>
    </xf>
    <xf numFmtId="165" fontId="21" fillId="11" borderId="1" xfId="2" applyNumberFormat="1" applyFont="1" applyFill="1" applyBorder="1"/>
    <xf numFmtId="0" fontId="3" fillId="15" borderId="48" xfId="0" applyFont="1" applyFill="1" applyBorder="1" applyAlignment="1">
      <alignment horizontal="center"/>
    </xf>
    <xf numFmtId="0" fontId="3" fillId="23" borderId="6" xfId="0" applyFont="1" applyFill="1" applyBorder="1" applyAlignment="1">
      <alignment horizontal="center"/>
    </xf>
    <xf numFmtId="0" fontId="3" fillId="11" borderId="47" xfId="0" applyFont="1" applyFill="1" applyBorder="1" applyAlignment="1">
      <alignment horizontal="center"/>
    </xf>
    <xf numFmtId="44" fontId="16" fillId="23" borderId="36" xfId="2" applyFont="1" applyFill="1" applyBorder="1" applyAlignment="1" applyProtection="1">
      <alignment horizontal="center"/>
      <protection locked="0"/>
    </xf>
    <xf numFmtId="0" fontId="3" fillId="0" borderId="49" xfId="8" applyFont="1" applyBorder="1"/>
    <xf numFmtId="0" fontId="3" fillId="0" borderId="49" xfId="8" applyFont="1" applyBorder="1" applyAlignment="1">
      <alignment horizontal="center"/>
    </xf>
    <xf numFmtId="0" fontId="3" fillId="0" borderId="50" xfId="8" applyFont="1" applyBorder="1"/>
    <xf numFmtId="0" fontId="1" fillId="0" borderId="50" xfId="8" applyBorder="1"/>
    <xf numFmtId="0" fontId="3" fillId="10" borderId="50" xfId="8" applyFont="1" applyFill="1" applyBorder="1"/>
    <xf numFmtId="165" fontId="3" fillId="0" borderId="50" xfId="8" applyNumberFormat="1" applyFont="1" applyBorder="1"/>
    <xf numFmtId="166" fontId="3" fillId="0" borderId="50" xfId="6" applyNumberFormat="1" applyFont="1" applyBorder="1"/>
    <xf numFmtId="0" fontId="3" fillId="25" borderId="50" xfId="8" applyFont="1" applyFill="1" applyBorder="1"/>
    <xf numFmtId="0" fontId="3" fillId="26" borderId="50" xfId="8" applyFont="1" applyFill="1" applyBorder="1"/>
    <xf numFmtId="0" fontId="3" fillId="0" borderId="51" xfId="8" applyFont="1" applyBorder="1"/>
    <xf numFmtId="0" fontId="3" fillId="0" borderId="52" xfId="8" applyFont="1" applyBorder="1"/>
    <xf numFmtId="165" fontId="3" fillId="0" borderId="53" xfId="8" applyNumberFormat="1" applyFont="1" applyBorder="1"/>
    <xf numFmtId="166" fontId="3" fillId="0" borderId="51" xfId="8" applyNumberFormat="1" applyFont="1" applyBorder="1"/>
    <xf numFmtId="165" fontId="3" fillId="0" borderId="54" xfId="8" applyNumberFormat="1" applyFont="1" applyBorder="1"/>
    <xf numFmtId="166" fontId="3" fillId="0" borderId="54" xfId="6" applyNumberFormat="1" applyFont="1" applyBorder="1"/>
    <xf numFmtId="0" fontId="3" fillId="27" borderId="55" xfId="8" applyFont="1" applyFill="1" applyBorder="1"/>
    <xf numFmtId="165" fontId="3" fillId="0" borderId="55" xfId="8" applyNumberFormat="1" applyFont="1" applyBorder="1"/>
    <xf numFmtId="166" fontId="3" fillId="0" borderId="55" xfId="8" applyNumberFormat="1" applyFont="1" applyBorder="1"/>
    <xf numFmtId="165" fontId="3" fillId="0" borderId="0" xfId="8" applyNumberFormat="1" applyFont="1"/>
    <xf numFmtId="0" fontId="3" fillId="0" borderId="0" xfId="8" applyFont="1"/>
    <xf numFmtId="3" fontId="10" fillId="0" borderId="35" xfId="0" applyNumberFormat="1" applyFont="1" applyBorder="1" applyAlignment="1" applyProtection="1">
      <alignment horizontal="center"/>
      <protection locked="0"/>
    </xf>
    <xf numFmtId="3" fontId="10" fillId="0" borderId="36" xfId="0" applyNumberFormat="1" applyFont="1" applyBorder="1" applyAlignment="1" applyProtection="1">
      <alignment horizontal="center"/>
      <protection locked="0"/>
    </xf>
    <xf numFmtId="3" fontId="10" fillId="0" borderId="37" xfId="0" applyNumberFormat="1" applyFont="1" applyBorder="1" applyAlignment="1" applyProtection="1">
      <alignment horizontal="center"/>
      <protection locked="0"/>
    </xf>
    <xf numFmtId="0" fontId="20" fillId="18" borderId="38" xfId="8" applyFont="1" applyFill="1" applyBorder="1" applyAlignment="1">
      <alignment horizontal="center"/>
    </xf>
    <xf numFmtId="0" fontId="20" fillId="18" borderId="34" xfId="8" applyFont="1" applyFill="1" applyBorder="1" applyAlignment="1">
      <alignment horizontal="center"/>
    </xf>
    <xf numFmtId="0" fontId="20" fillId="18" borderId="39" xfId="8" applyFont="1" applyFill="1" applyBorder="1" applyAlignment="1">
      <alignment horizontal="center"/>
    </xf>
    <xf numFmtId="44" fontId="3" fillId="11" borderId="3" xfId="2" applyFont="1" applyFill="1" applyBorder="1" applyAlignment="1" applyProtection="1">
      <alignment horizontal="center"/>
      <protection locked="0"/>
    </xf>
    <xf numFmtId="3" fontId="0" fillId="0" borderId="34" xfId="0" applyNumberFormat="1" applyBorder="1" applyAlignment="1">
      <alignment horizontal="center"/>
    </xf>
    <xf numFmtId="44" fontId="3" fillId="11" borderId="6" xfId="2" applyFont="1" applyFill="1" applyBorder="1" applyAlignment="1" applyProtection="1">
      <alignment horizontal="center"/>
      <protection locked="0"/>
    </xf>
    <xf numFmtId="44" fontId="3" fillId="11" borderId="14" xfId="2" applyFont="1" applyFill="1" applyBorder="1" applyAlignment="1" applyProtection="1">
      <alignment horizontal="center"/>
      <protection locked="0"/>
    </xf>
  </cellXfs>
  <cellStyles count="11">
    <cellStyle name="Comma" xfId="1" builtinId="3"/>
    <cellStyle name="Currency" xfId="2" builtinId="4"/>
    <cellStyle name="Currency 2" xfId="3" xr:uid="{00000000-0005-0000-0000-000002000000}"/>
    <cellStyle name="Currency 3" xfId="4" xr:uid="{00000000-0005-0000-0000-000003000000}"/>
    <cellStyle name="Normal" xfId="0" builtinId="0"/>
    <cellStyle name="Normal 2" xfId="5" xr:uid="{00000000-0005-0000-0000-000005000000}"/>
    <cellStyle name="Normal 3" xfId="8" xr:uid="{A412F78D-1677-4A86-9464-1373DC851B24}"/>
    <cellStyle name="Normal 3 2" xfId="9" xr:uid="{CCBFEF51-5462-4A04-80E9-BB9DB961337E}"/>
    <cellStyle name="Normal 3 2 2" xfId="10" xr:uid="{E2BEFCCD-DD1E-4517-9C1B-16611943B6D4}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 &amp; L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09914531711572"/>
          <c:y val="0.12718930966962463"/>
          <c:w val="0.81637571004559006"/>
          <c:h val="0.63472482606340874"/>
        </c:manualLayout>
      </c:layout>
      <c:barChart>
        <c:barDir val="col"/>
        <c:grouping val="clustered"/>
        <c:varyColors val="0"/>
        <c:ser>
          <c:idx val="0"/>
          <c:order val="0"/>
          <c:tx>
            <c:v>Revenue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Sheet3!$F$29:$O$29</c:f>
              <c:numCache>
                <c:formatCode>_("$"* #,##0_);_("$"* \(#,##0\);_("$"* "-"??_);_(@_)</c:formatCode>
                <c:ptCount val="10"/>
                <c:pt idx="0">
                  <c:v>217890</c:v>
                </c:pt>
                <c:pt idx="1">
                  <c:v>207000</c:v>
                </c:pt>
                <c:pt idx="2">
                  <c:v>213077</c:v>
                </c:pt>
                <c:pt idx="3">
                  <c:v>247800</c:v>
                </c:pt>
                <c:pt idx="4">
                  <c:v>247800</c:v>
                </c:pt>
                <c:pt idx="5">
                  <c:v>247800</c:v>
                </c:pt>
                <c:pt idx="6">
                  <c:v>247800</c:v>
                </c:pt>
                <c:pt idx="7">
                  <c:v>247800</c:v>
                </c:pt>
                <c:pt idx="8">
                  <c:v>247800</c:v>
                </c:pt>
                <c:pt idx="9">
                  <c:v>247800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E-49AC-A423-3EBFF0BACE1C}"/>
            </c:ext>
          </c:extLst>
        </c:ser>
        <c:ser>
          <c:idx val="1"/>
          <c:order val="1"/>
          <c:tx>
            <c:v>Expenses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Sheet3!$F$30:$O$30</c:f>
              <c:numCache>
                <c:formatCode>_("$"* #,##0_);_("$"* \(#,##0\);_("$"* "-"??_);_(@_)</c:formatCode>
                <c:ptCount val="10"/>
                <c:pt idx="0">
                  <c:v>207666.94</c:v>
                </c:pt>
                <c:pt idx="1">
                  <c:v>229555</c:v>
                </c:pt>
                <c:pt idx="2">
                  <c:v>238915.07</c:v>
                </c:pt>
                <c:pt idx="3">
                  <c:v>227049.9515</c:v>
                </c:pt>
                <c:pt idx="4">
                  <c:v>218901.94956000001</c:v>
                </c:pt>
                <c:pt idx="5">
                  <c:v>228186.50804680001</c:v>
                </c:pt>
                <c:pt idx="6">
                  <c:v>224734.28582843801</c:v>
                </c:pt>
                <c:pt idx="7">
                  <c:v>221691.23583243333</c:v>
                </c:pt>
                <c:pt idx="8">
                  <c:v>203758.88526573067</c:v>
                </c:pt>
                <c:pt idx="9">
                  <c:v>241049.24067635988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E-49AC-A423-3EBFF0BACE1C}"/>
            </c:ext>
          </c:extLst>
        </c:ser>
        <c:ser>
          <c:idx val="2"/>
          <c:order val="2"/>
          <c:tx>
            <c:v>Surplus/Deficit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Sheet3!$F$31:$O$31</c:f>
              <c:numCache>
                <c:formatCode>_("$"* #,##0_);_("$"* \(#,##0\);_("$"* "-"??_);_(@_)</c:formatCode>
                <c:ptCount val="10"/>
                <c:pt idx="0">
                  <c:v>-8098.8493344600247</c:v>
                </c:pt>
                <c:pt idx="1">
                  <c:v>-75826.909334460041</c:v>
                </c:pt>
                <c:pt idx="2">
                  <c:v>-79159.990000000005</c:v>
                </c:pt>
                <c:pt idx="3">
                  <c:v>2478.139165539993</c:v>
                </c:pt>
                <c:pt idx="4">
                  <c:v>10626.141105539955</c:v>
                </c:pt>
                <c:pt idx="5">
                  <c:v>5413.4919531999913</c:v>
                </c:pt>
                <c:pt idx="6">
                  <c:v>23065.714171561995</c:v>
                </c:pt>
                <c:pt idx="7">
                  <c:v>26108.764167566667</c:v>
                </c:pt>
                <c:pt idx="8">
                  <c:v>44041.114734269329</c:v>
                </c:pt>
                <c:pt idx="9">
                  <c:v>6750.7593236401153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9E-49AC-A423-3EBFF0BAC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1530883320"/>
        <c:axId val="1"/>
      </c:barChart>
      <c:catAx>
        <c:axId val="153088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0883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Revenue</a:t>
            </a: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09914531711572"/>
          <c:y val="0.12718930966962463"/>
          <c:w val="0.85246028178425071"/>
          <c:h val="0.6347248260634087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Sheet3!$D$7</c:f>
              <c:strCache>
                <c:ptCount val="1"/>
                <c:pt idx="0">
                  <c:v>Operating Fees</c:v>
                </c:pt>
              </c:strCache>
            </c:strRef>
          </c:tx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Sheet3!$F$7:$O$7</c:f>
              <c:numCache>
                <c:formatCode>_("$"* #,##0_);_("$"* \(#,##0\);_("$"* "-"??_);_(@_)</c:formatCode>
                <c:ptCount val="10"/>
                <c:pt idx="0">
                  <c:v>179140</c:v>
                </c:pt>
                <c:pt idx="1">
                  <c:v>172800</c:v>
                </c:pt>
                <c:pt idx="2">
                  <c:v>175177</c:v>
                </c:pt>
                <c:pt idx="3">
                  <c:v>144000</c:v>
                </c:pt>
                <c:pt idx="4">
                  <c:v>144000</c:v>
                </c:pt>
                <c:pt idx="5">
                  <c:v>144000</c:v>
                </c:pt>
                <c:pt idx="6">
                  <c:v>144000</c:v>
                </c:pt>
                <c:pt idx="7">
                  <c:v>144000</c:v>
                </c:pt>
                <c:pt idx="8">
                  <c:v>144000</c:v>
                </c:pt>
                <c:pt idx="9">
                  <c:v>144000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5-41C3-8D3F-9D26DCC57EE8}"/>
            </c:ext>
          </c:extLst>
        </c:ser>
        <c:ser>
          <c:idx val="1"/>
          <c:order val="1"/>
          <c:tx>
            <c:strRef>
              <c:f>Sheet3!$D$10</c:f>
              <c:strCache>
                <c:ptCount val="1"/>
                <c:pt idx="0">
                  <c:v>Capital Improvement Fees</c:v>
                </c:pt>
              </c:strCache>
            </c:strRef>
          </c:tx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Sheet3!$F$10:$O$10</c:f>
              <c:numCache>
                <c:formatCode>_("$"* #,##0_);_("$"* \(#,##0\);_("$"* "-"??_);_(@_)</c:formatCode>
                <c:ptCount val="10"/>
                <c:pt idx="0">
                  <c:v>31200</c:v>
                </c:pt>
                <c:pt idx="1">
                  <c:v>31200</c:v>
                </c:pt>
                <c:pt idx="2">
                  <c:v>31850</c:v>
                </c:pt>
                <c:pt idx="3">
                  <c:v>100800</c:v>
                </c:pt>
                <c:pt idx="4">
                  <c:v>100800</c:v>
                </c:pt>
                <c:pt idx="5">
                  <c:v>100800</c:v>
                </c:pt>
                <c:pt idx="6">
                  <c:v>100800</c:v>
                </c:pt>
                <c:pt idx="7">
                  <c:v>100800</c:v>
                </c:pt>
                <c:pt idx="8">
                  <c:v>100800</c:v>
                </c:pt>
                <c:pt idx="9">
                  <c:v>100800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5-41C3-8D3F-9D26DCC57EE8}"/>
            </c:ext>
          </c:extLst>
        </c:ser>
        <c:ser>
          <c:idx val="2"/>
          <c:order val="2"/>
          <c:tx>
            <c:strRef>
              <c:f>Sheet3!$D$8</c:f>
              <c:strCache>
                <c:ptCount val="1"/>
                <c:pt idx="0">
                  <c:v>Transfer Fees</c:v>
                </c:pt>
              </c:strCache>
            </c:strRef>
          </c:tx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Sheet3!$F$8:$O$8</c:f>
              <c:numCache>
                <c:formatCode>_("$"* #,##0_);_("$"* \(#,##0\);_("$"* "-"??_);_(@_)</c:formatCode>
                <c:ptCount val="10"/>
                <c:pt idx="0">
                  <c:v>7500</c:v>
                </c:pt>
                <c:pt idx="1">
                  <c:v>3000</c:v>
                </c:pt>
                <c:pt idx="2">
                  <c:v>6000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35-41C3-8D3F-9D26DCC57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1530852160"/>
        <c:axId val="1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Special Assessment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Sheet3!$F$5:$O$5</c15:sqref>
                        </c15:formulaRef>
                      </c:ext>
                    </c:extLst>
                    <c:strCache>
                      <c:ptCount val="10"/>
                      <c:pt idx="0">
                        <c:v>FY 2024</c:v>
                      </c:pt>
                      <c:pt idx="1">
                        <c:v>2025 B</c:v>
                      </c:pt>
                      <c:pt idx="2">
                        <c:v>2025 F</c:v>
                      </c:pt>
                      <c:pt idx="3">
                        <c:v>FY 2026</c:v>
                      </c:pt>
                      <c:pt idx="4">
                        <c:v>FY 2027</c:v>
                      </c:pt>
                      <c:pt idx="5">
                        <c:v>FY 2028</c:v>
                      </c:pt>
                      <c:pt idx="6">
                        <c:v>FY 2029</c:v>
                      </c:pt>
                      <c:pt idx="7">
                        <c:v>FY 2030</c:v>
                      </c:pt>
                      <c:pt idx="8">
                        <c:v>FY 2031</c:v>
                      </c:pt>
                      <c:pt idx="9">
                        <c:v>FY 2032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Sheet3!$F$10:$N$10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9"/>
                      <c:pt idx="0">
                        <c:v>31200</c:v>
                      </c:pt>
                      <c:pt idx="1">
                        <c:v>31200</c:v>
                      </c:pt>
                      <c:pt idx="2">
                        <c:v>31850</c:v>
                      </c:pt>
                      <c:pt idx="3">
                        <c:v>100800</c:v>
                      </c:pt>
                      <c:pt idx="4">
                        <c:v>100800</c:v>
                      </c:pt>
                      <c:pt idx="5">
                        <c:v>100800</c:v>
                      </c:pt>
                      <c:pt idx="6">
                        <c:v>100800</c:v>
                      </c:pt>
                      <c:pt idx="7">
                        <c:v>100800</c:v>
                      </c:pt>
                      <c:pt idx="8">
                        <c:v>100800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C035-41C3-8D3F-9D26DCC57EE8}"/>
                  </c:ext>
                </c:extLst>
              </c15:ser>
            </c15:filteredBarSeries>
          </c:ext>
        </c:extLst>
      </c:bar3DChart>
      <c:catAx>
        <c:axId val="153085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08521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Surplus/Cash Balance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02327701994998"/>
          <c:y val="0.11660729908761405"/>
          <c:w val="0.87297672298005002"/>
          <c:h val="0.65964566929133861"/>
        </c:manualLayout>
      </c:layout>
      <c:barChart>
        <c:barDir val="col"/>
        <c:grouping val="clustered"/>
        <c:varyColors val="0"/>
        <c:ser>
          <c:idx val="3"/>
          <c:order val="0"/>
          <c:tx>
            <c:v>Surplus</c:v>
          </c:tx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Sheet3!$F$25:$O$25</c:f>
              <c:numCache>
                <c:formatCode>_("$"* #,##0_);_("$"* \(#,##0\);_("$"* "-"??_);_(@_)</c:formatCode>
                <c:ptCount val="10"/>
                <c:pt idx="0">
                  <c:v>-8098.8493344600247</c:v>
                </c:pt>
                <c:pt idx="1">
                  <c:v>-75826.909334460041</c:v>
                </c:pt>
                <c:pt idx="2">
                  <c:v>-79159.990000000005</c:v>
                </c:pt>
                <c:pt idx="3">
                  <c:v>2478.139165539993</c:v>
                </c:pt>
                <c:pt idx="4">
                  <c:v>10626.141105539955</c:v>
                </c:pt>
                <c:pt idx="5">
                  <c:v>5413.4919531999913</c:v>
                </c:pt>
                <c:pt idx="6">
                  <c:v>23065.714171561995</c:v>
                </c:pt>
                <c:pt idx="7">
                  <c:v>26108.764167566667</c:v>
                </c:pt>
                <c:pt idx="8">
                  <c:v>44041.114734269329</c:v>
                </c:pt>
                <c:pt idx="9">
                  <c:v>6750.7593236401153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4-40AE-8EF0-6FF2641287D4}"/>
            </c:ext>
          </c:extLst>
        </c:ser>
        <c:ser>
          <c:idx val="0"/>
          <c:order val="1"/>
          <c:tx>
            <c:v>Cash Balance</c:v>
          </c:tx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Sheet3!$F$26:$O$26</c:f>
              <c:numCache>
                <c:formatCode>_("$"* #,##0_);_("$"* \(#,##0\);_("$"* "-"??_);_(@_)</c:formatCode>
                <c:ptCount val="10"/>
                <c:pt idx="0">
                  <c:v>135514.57066554</c:v>
                </c:pt>
                <c:pt idx="1">
                  <c:v>59687.661331079958</c:v>
                </c:pt>
                <c:pt idx="2">
                  <c:v>55674.67</c:v>
                </c:pt>
                <c:pt idx="3">
                  <c:v>58882.709165540029</c:v>
                </c:pt>
                <c:pt idx="4">
                  <c:v>69508.85027107998</c:v>
                </c:pt>
                <c:pt idx="5">
                  <c:v>74922.342224279972</c:v>
                </c:pt>
                <c:pt idx="6">
                  <c:v>97988.056395841966</c:v>
                </c:pt>
                <c:pt idx="7">
                  <c:v>124096.82056340863</c:v>
                </c:pt>
                <c:pt idx="8">
                  <c:v>168137.93529767796</c:v>
                </c:pt>
                <c:pt idx="9">
                  <c:v>174888.69462131808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4-40AE-8EF0-6FF264128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1530875776"/>
        <c:axId val="1"/>
      </c:barChart>
      <c:catAx>
        <c:axId val="153087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08757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Expenses</a:t>
            </a: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760230675390928"/>
          <c:y val="0.11660729908761405"/>
          <c:w val="0.84901584110496831"/>
          <c:h val="0.61886469421116341"/>
        </c:manualLayout>
      </c:layout>
      <c:bar3DChart>
        <c:barDir val="col"/>
        <c:grouping val="stacked"/>
        <c:varyColors val="0"/>
        <c:ser>
          <c:idx val="0"/>
          <c:order val="0"/>
          <c:tx>
            <c:v>G &amp; A</c:v>
          </c:tx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Sheet3!$F$16:$O$16</c:f>
              <c:numCache>
                <c:formatCode>_("$"* #,##0_);_("$"* \(#,##0\);_("$"* "-"??_);_(@_)</c:formatCode>
                <c:ptCount val="10"/>
                <c:pt idx="0">
                  <c:v>55351.15</c:v>
                </c:pt>
                <c:pt idx="1">
                  <c:v>61430</c:v>
                </c:pt>
                <c:pt idx="2">
                  <c:v>57534.43</c:v>
                </c:pt>
                <c:pt idx="3">
                  <c:v>58755.523000000001</c:v>
                </c:pt>
                <c:pt idx="4">
                  <c:v>61105.743920000008</c:v>
                </c:pt>
                <c:pt idx="5">
                  <c:v>62938.916237600009</c:v>
                </c:pt>
                <c:pt idx="6">
                  <c:v>65141.778305915999</c:v>
                </c:pt>
                <c:pt idx="7">
                  <c:v>67421.740546623056</c:v>
                </c:pt>
                <c:pt idx="8">
                  <c:v>70118.610168487983</c:v>
                </c:pt>
                <c:pt idx="9">
                  <c:v>72923.354575227495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4-410F-B312-02EFD2DBF890}"/>
            </c:ext>
          </c:extLst>
        </c:ser>
        <c:ser>
          <c:idx val="1"/>
          <c:order val="1"/>
          <c:tx>
            <c:v>Utilities</c:v>
          </c:tx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Sheet3!$F$17:$O$17</c:f>
              <c:numCache>
                <c:formatCode>_("$"* #,##0_);_("$"* \(#,##0\);_("$"* "-"??_);_(@_)</c:formatCode>
                <c:ptCount val="10"/>
                <c:pt idx="0">
                  <c:v>1737.84</c:v>
                </c:pt>
                <c:pt idx="1">
                  <c:v>1800</c:v>
                </c:pt>
                <c:pt idx="2">
                  <c:v>1805.82</c:v>
                </c:pt>
                <c:pt idx="3">
                  <c:v>1896.1109999999999</c:v>
                </c:pt>
                <c:pt idx="4">
                  <c:v>1971.95544</c:v>
                </c:pt>
                <c:pt idx="5">
                  <c:v>2031.1141032</c:v>
                </c:pt>
                <c:pt idx="6">
                  <c:v>2102.2030968119998</c:v>
                </c:pt>
                <c:pt idx="7">
                  <c:v>2175.7802052004195</c:v>
                </c:pt>
                <c:pt idx="8">
                  <c:v>2262.8114134084367</c:v>
                </c:pt>
                <c:pt idx="9">
                  <c:v>2353.3238699447743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E4-410F-B312-02EFD2DBF890}"/>
            </c:ext>
          </c:extLst>
        </c:ser>
        <c:ser>
          <c:idx val="2"/>
          <c:order val="2"/>
          <c:tx>
            <c:v>Maintainance</c:v>
          </c:tx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Sheet3!$F$18:$O$18</c:f>
              <c:numCache>
                <c:formatCode>_("$"* #,##0_);_("$"* \(#,##0\);_("$"* "-"??_);_(@_)</c:formatCode>
                <c:ptCount val="10"/>
                <c:pt idx="0">
                  <c:v>43659.929999999993</c:v>
                </c:pt>
                <c:pt idx="1">
                  <c:v>45700</c:v>
                </c:pt>
                <c:pt idx="2">
                  <c:v>30662.95</c:v>
                </c:pt>
                <c:pt idx="3">
                  <c:v>34696.097500000003</c:v>
                </c:pt>
                <c:pt idx="4">
                  <c:v>36083.941400000003</c:v>
                </c:pt>
                <c:pt idx="5">
                  <c:v>37166.459642000002</c:v>
                </c:pt>
                <c:pt idx="6">
                  <c:v>38467.285729470001</c:v>
                </c:pt>
                <c:pt idx="7">
                  <c:v>39813.640730001454</c:v>
                </c:pt>
                <c:pt idx="8">
                  <c:v>41406.186359201507</c:v>
                </c:pt>
                <c:pt idx="9">
                  <c:v>43062.433813569573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E4-410F-B312-02EFD2DBF890}"/>
            </c:ext>
          </c:extLst>
        </c:ser>
        <c:ser>
          <c:idx val="3"/>
          <c:order val="3"/>
          <c:tx>
            <c:v>Contracts</c:v>
          </c:tx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Sheet3!$F$19:$O$19</c:f>
              <c:numCache>
                <c:formatCode>_("$"* #,##0_);_("$"* \(#,##0\);_("$"* "-"??_);_(@_)</c:formatCode>
                <c:ptCount val="10"/>
                <c:pt idx="0">
                  <c:v>24814.14</c:v>
                </c:pt>
                <c:pt idx="1">
                  <c:v>25625</c:v>
                </c:pt>
                <c:pt idx="2">
                  <c:v>24716.400000000001</c:v>
                </c:pt>
                <c:pt idx="3">
                  <c:v>25952.22</c:v>
                </c:pt>
                <c:pt idx="4">
                  <c:v>26990.308800000003</c:v>
                </c:pt>
                <c:pt idx="5">
                  <c:v>27800.018064000004</c:v>
                </c:pt>
                <c:pt idx="6">
                  <c:v>28773.01869624</c:v>
                </c:pt>
                <c:pt idx="7">
                  <c:v>29780.074350608404</c:v>
                </c:pt>
                <c:pt idx="8">
                  <c:v>30971.277324632738</c:v>
                </c:pt>
                <c:pt idx="9">
                  <c:v>32210.128417618049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E4-410F-B312-02EFD2DBF890}"/>
            </c:ext>
          </c:extLst>
        </c:ser>
        <c:ser>
          <c:idx val="4"/>
          <c:order val="4"/>
          <c:tx>
            <c:v>Capital Expense</c:v>
          </c:tx>
          <c:invertIfNegative val="0"/>
          <c:cat>
            <c:strRef>
              <c:f>Sheet3!$F$5:$O$5</c:f>
              <c:strCache>
                <c:ptCount val="10"/>
                <c:pt idx="0">
                  <c:v>FY 2024</c:v>
                </c:pt>
                <c:pt idx="1">
                  <c:v>2025 B</c:v>
                </c:pt>
                <c:pt idx="2">
                  <c:v>2025 F</c:v>
                </c:pt>
                <c:pt idx="3">
                  <c:v>FY 2026</c:v>
                </c:pt>
                <c:pt idx="4">
                  <c:v>FY 2027</c:v>
                </c:pt>
                <c:pt idx="5">
                  <c:v>FY 2028</c:v>
                </c:pt>
                <c:pt idx="6">
                  <c:v>FY 2029</c:v>
                </c:pt>
                <c:pt idx="7">
                  <c:v>FY 2030</c:v>
                </c:pt>
                <c:pt idx="8">
                  <c:v>FY 2031</c:v>
                </c:pt>
                <c:pt idx="9">
                  <c:v>FY 2032</c:v>
                </c:pt>
              </c:strCache>
            </c:strRef>
          </c:cat>
          <c:val>
            <c:numRef>
              <c:f>Sheet3!$F$20:$O$20</c:f>
              <c:numCache>
                <c:formatCode>_("$"* #,##0_);_("$"* \(#,##0\);_("$"* "-"??_);_(@_)</c:formatCode>
                <c:ptCount val="10"/>
                <c:pt idx="0">
                  <c:v>82103.88</c:v>
                </c:pt>
                <c:pt idx="1">
                  <c:v>95000</c:v>
                </c:pt>
                <c:pt idx="2">
                  <c:v>124195.47</c:v>
                </c:pt>
                <c:pt idx="3">
                  <c:v>105750</c:v>
                </c:pt>
                <c:pt idx="4">
                  <c:v>92750</c:v>
                </c:pt>
                <c:pt idx="5">
                  <c:v>98250</c:v>
                </c:pt>
                <c:pt idx="6">
                  <c:v>90250</c:v>
                </c:pt>
                <c:pt idx="7">
                  <c:v>82500</c:v>
                </c:pt>
                <c:pt idx="8">
                  <c:v>59000</c:v>
                </c:pt>
                <c:pt idx="9">
                  <c:v>90500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E4-410F-B312-02EFD2DBF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1530874464"/>
        <c:axId val="1"/>
        <c:axId val="0"/>
      </c:bar3DChart>
      <c:catAx>
        <c:axId val="153087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08744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Forecasted</a:t>
            </a:r>
            <a:r>
              <a:rPr lang="en-US" baseline="0"/>
              <a:t> Profit/Loss Trend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309914531711572"/>
          <c:y val="0.12718930966962463"/>
          <c:w val="0.81637571004559006"/>
          <c:h val="0.63472482606340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Sheet3!$D$33:$E$33</c:f>
              <c:strCache>
                <c:ptCount val="2"/>
                <c:pt idx="0">
                  <c:v>Total Revenue</c:v>
                </c:pt>
              </c:strCache>
            </c:strRef>
          </c:tx>
          <c:invertIfNegative val="0"/>
          <c:cat>
            <c:strRef>
              <c:f>Sheet3!$F$32:$N$32</c:f>
              <c:strCache>
                <c:ptCount val="9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  <c:pt idx="7">
                  <c:v>FY 2029</c:v>
                </c:pt>
                <c:pt idx="8">
                  <c:v>FY 2030</c:v>
                </c:pt>
              </c:strCache>
            </c:strRef>
          </c:cat>
          <c:val>
            <c:numRef>
              <c:f>Sheet3!$F$33:$N$33</c:f>
              <c:numCache>
                <c:formatCode>_("$"* #,##0_);_("$"* \(#,##0\);_("$"* "-"??_);_(@_)</c:formatCode>
                <c:ptCount val="9"/>
                <c:pt idx="0">
                  <c:v>217840</c:v>
                </c:pt>
                <c:pt idx="1">
                  <c:v>207000</c:v>
                </c:pt>
                <c:pt idx="2">
                  <c:v>213027</c:v>
                </c:pt>
                <c:pt idx="3">
                  <c:v>247800</c:v>
                </c:pt>
                <c:pt idx="4">
                  <c:v>247800</c:v>
                </c:pt>
                <c:pt idx="5">
                  <c:v>247800</c:v>
                </c:pt>
                <c:pt idx="6">
                  <c:v>247800</c:v>
                </c:pt>
                <c:pt idx="7">
                  <c:v>247800</c:v>
                </c:pt>
                <c:pt idx="8">
                  <c:v>247800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B-42E2-AB41-A8328BBC020C}"/>
            </c:ext>
          </c:extLst>
        </c:ser>
        <c:ser>
          <c:idx val="1"/>
          <c:order val="1"/>
          <c:tx>
            <c:strRef>
              <c:f>Sheet3!$D$34:$E$34</c:f>
              <c:strCache>
                <c:ptCount val="2"/>
                <c:pt idx="0">
                  <c:v>Operating Expenses</c:v>
                </c:pt>
              </c:strCache>
            </c:strRef>
          </c:tx>
          <c:invertIfNegative val="0"/>
          <c:cat>
            <c:strRef>
              <c:f>Sheet3!$F$32:$N$32</c:f>
              <c:strCache>
                <c:ptCount val="9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  <c:pt idx="7">
                  <c:v>FY 2029</c:v>
                </c:pt>
                <c:pt idx="8">
                  <c:v>FY 2030</c:v>
                </c:pt>
              </c:strCache>
            </c:strRef>
          </c:cat>
          <c:val>
            <c:numRef>
              <c:f>Sheet3!$F$34:$N$34</c:f>
              <c:numCache>
                <c:formatCode>_("$"* #,##0_);_("$"* \(#,##0\);_("$"* "-"??_);_(@_)</c:formatCode>
                <c:ptCount val="9"/>
                <c:pt idx="0">
                  <c:v>125563.05999999998</c:v>
                </c:pt>
                <c:pt idx="1">
                  <c:v>134555</c:v>
                </c:pt>
                <c:pt idx="2">
                  <c:v>114719.6</c:v>
                </c:pt>
                <c:pt idx="3">
                  <c:v>121299.9515</c:v>
                </c:pt>
                <c:pt idx="4">
                  <c:v>126151.94956000001</c:v>
                </c:pt>
                <c:pt idx="5">
                  <c:v>129936.50804680001</c:v>
                </c:pt>
                <c:pt idx="6">
                  <c:v>134484.28582843801</c:v>
                </c:pt>
                <c:pt idx="7">
                  <c:v>139191.23583243333</c:v>
                </c:pt>
                <c:pt idx="8">
                  <c:v>144758.88526573067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B-42E2-AB41-A8328BBC020C}"/>
            </c:ext>
          </c:extLst>
        </c:ser>
        <c:ser>
          <c:idx val="2"/>
          <c:order val="2"/>
          <c:tx>
            <c:strRef>
              <c:f>Sheet3!$D$35:$E$35</c:f>
              <c:strCache>
                <c:ptCount val="2"/>
                <c:pt idx="0">
                  <c:v>Capital Improvements</c:v>
                </c:pt>
              </c:strCache>
            </c:strRef>
          </c:tx>
          <c:invertIfNegative val="0"/>
          <c:cat>
            <c:strRef>
              <c:f>Sheet3!$F$32:$N$32</c:f>
              <c:strCache>
                <c:ptCount val="9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  <c:pt idx="7">
                  <c:v>FY 2029</c:v>
                </c:pt>
                <c:pt idx="8">
                  <c:v>FY 2030</c:v>
                </c:pt>
              </c:strCache>
            </c:strRef>
          </c:cat>
          <c:val>
            <c:numRef>
              <c:f>Sheet3!$F$35:$N$35</c:f>
              <c:numCache>
                <c:formatCode>_("$"* #,##0_);_("$"* \(#,##0\);_("$"* "-"??_);_(@_)</c:formatCode>
                <c:ptCount val="9"/>
                <c:pt idx="0">
                  <c:v>82103.88</c:v>
                </c:pt>
                <c:pt idx="1">
                  <c:v>95000</c:v>
                </c:pt>
                <c:pt idx="2">
                  <c:v>124195.47</c:v>
                </c:pt>
                <c:pt idx="3">
                  <c:v>105750</c:v>
                </c:pt>
                <c:pt idx="4">
                  <c:v>92750</c:v>
                </c:pt>
                <c:pt idx="5">
                  <c:v>98250</c:v>
                </c:pt>
                <c:pt idx="6">
                  <c:v>90250</c:v>
                </c:pt>
                <c:pt idx="7">
                  <c:v>82500</c:v>
                </c:pt>
                <c:pt idx="8">
                  <c:v>59000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2B-42E2-AB41-A8328BBC0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1530881024"/>
        <c:axId val="1"/>
      </c:barChart>
      <c:lineChart>
        <c:grouping val="standard"/>
        <c:varyColors val="0"/>
        <c:ser>
          <c:idx val="3"/>
          <c:order val="3"/>
          <c:tx>
            <c:strRef>
              <c:f>Sheet3!$D$36:$E$36</c:f>
              <c:strCache>
                <c:ptCount val="2"/>
                <c:pt idx="0">
                  <c:v>Loan Payments/Other</c:v>
                </c:pt>
              </c:strCache>
            </c:strRef>
          </c:tx>
          <c:marker>
            <c:symbol val="none"/>
          </c:marker>
          <c:cat>
            <c:strRef>
              <c:f>Sheet3!$F$32:$N$32</c:f>
              <c:strCache>
                <c:ptCount val="9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  <c:pt idx="7">
                  <c:v>FY 2029</c:v>
                </c:pt>
                <c:pt idx="8">
                  <c:v>FY 2030</c:v>
                </c:pt>
              </c:strCache>
            </c:strRef>
          </c:cat>
          <c:val>
            <c:numRef>
              <c:f>Sheet3!$F$36:$N$36</c:f>
              <c:numCache>
                <c:formatCode>_("$"* #,##0_);_("$"* \(#,##0\);_("$"* "-"??_);_(@_)</c:formatCode>
                <c:ptCount val="9"/>
                <c:pt idx="0">
                  <c:v>-18271.909334460037</c:v>
                </c:pt>
                <c:pt idx="1">
                  <c:v>-53271.909334460041</c:v>
                </c:pt>
                <c:pt idx="2">
                  <c:v>-53271.92</c:v>
                </c:pt>
                <c:pt idx="3">
                  <c:v>-18271.909334460011</c:v>
                </c:pt>
                <c:pt idx="4">
                  <c:v>-18271.909334460037</c:v>
                </c:pt>
                <c:pt idx="5">
                  <c:v>-14200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2B-42E2-AB41-A8328BBC020C}"/>
            </c:ext>
          </c:extLst>
        </c:ser>
        <c:ser>
          <c:idx val="4"/>
          <c:order val="4"/>
          <c:tx>
            <c:strRef>
              <c:f>Sheet3!$D$37:$E$37</c:f>
              <c:strCache>
                <c:ptCount val="2"/>
                <c:pt idx="0">
                  <c:v>Net Surplus/Deficit</c:v>
                </c:pt>
              </c:strCache>
            </c:strRef>
          </c:tx>
          <c:marker>
            <c:symbol val="none"/>
          </c:marker>
          <c:cat>
            <c:strRef>
              <c:f>Sheet3!$F$32:$N$32</c:f>
              <c:strCache>
                <c:ptCount val="9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  <c:pt idx="7">
                  <c:v>FY 2029</c:v>
                </c:pt>
                <c:pt idx="8">
                  <c:v>FY 2030</c:v>
                </c:pt>
              </c:strCache>
            </c:strRef>
          </c:cat>
          <c:val>
            <c:numRef>
              <c:f>Sheet3!$F$37:$N$37</c:f>
              <c:numCache>
                <c:formatCode>_("$"* #,##0_);_("$"* \(#,##0\);_("$"* "-"??_);_(@_)</c:formatCode>
                <c:ptCount val="9"/>
                <c:pt idx="0">
                  <c:v>-8098.8493344600247</c:v>
                </c:pt>
                <c:pt idx="1">
                  <c:v>-75826.909334460041</c:v>
                </c:pt>
                <c:pt idx="2">
                  <c:v>-79159.990000000005</c:v>
                </c:pt>
                <c:pt idx="3">
                  <c:v>2478.139165539993</c:v>
                </c:pt>
                <c:pt idx="4">
                  <c:v>10626.141105539955</c:v>
                </c:pt>
                <c:pt idx="5">
                  <c:v>5413.4919531999913</c:v>
                </c:pt>
                <c:pt idx="6">
                  <c:v>23065.714171561995</c:v>
                </c:pt>
                <c:pt idx="7">
                  <c:v>26108.764167566667</c:v>
                </c:pt>
                <c:pt idx="8">
                  <c:v>44041.114734269329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2B-42E2-AB41-A8328BBC020C}"/>
            </c:ext>
          </c:extLst>
        </c:ser>
        <c:ser>
          <c:idx val="5"/>
          <c:order val="5"/>
          <c:tx>
            <c:strRef>
              <c:f>Sheet3!$D$38:$E$38</c:f>
              <c:strCache>
                <c:ptCount val="2"/>
                <c:pt idx="0">
                  <c:v>Year End Total Cash</c:v>
                </c:pt>
              </c:strCache>
            </c:strRef>
          </c:tx>
          <c:marker>
            <c:symbol val="none"/>
          </c:marker>
          <c:cat>
            <c:strRef>
              <c:f>Sheet3!$F$32:$N$32</c:f>
              <c:strCache>
                <c:ptCount val="9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  <c:pt idx="7">
                  <c:v>FY 2029</c:v>
                </c:pt>
                <c:pt idx="8">
                  <c:v>FY 2030</c:v>
                </c:pt>
              </c:strCache>
            </c:strRef>
          </c:cat>
          <c:val>
            <c:numRef>
              <c:f>Sheet3!$F$38:$N$38</c:f>
              <c:numCache>
                <c:formatCode>_("$"* #,##0.00_);_("$"* \(#,##0.00\);_("$"* "-"??_);_(@_)</c:formatCode>
                <c:ptCount val="9"/>
                <c:pt idx="0">
                  <c:v>135464.57066554003</c:v>
                </c:pt>
                <c:pt idx="1">
                  <c:v>59687.661331079958</c:v>
                </c:pt>
                <c:pt idx="2">
                  <c:v>56354.570000000022</c:v>
                </c:pt>
                <c:pt idx="3">
                  <c:v>58882.709165540015</c:v>
                </c:pt>
                <c:pt idx="4">
                  <c:v>69508.85027107998</c:v>
                </c:pt>
                <c:pt idx="5">
                  <c:v>74922.342224279972</c:v>
                </c:pt>
                <c:pt idx="6">
                  <c:v>97988.056395841966</c:v>
                </c:pt>
                <c:pt idx="7">
                  <c:v>124096.82056340863</c:v>
                </c:pt>
                <c:pt idx="8">
                  <c:v>168137.93529767796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7-4AC3-B8C6-D262BEF44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881024"/>
        <c:axId val="1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Sheet3!$D$39:$E$39</c15:sqref>
                        </c15:formulaRef>
                      </c:ext>
                    </c:extLst>
                    <c:strCache>
                      <c:ptCount val="2"/>
                      <c:pt idx="0">
                        <c:v> $(1)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Sheet3!$F$32:$N$32</c15:sqref>
                        </c15:formulaRef>
                      </c:ext>
                    </c:extLst>
                    <c:strCache>
                      <c:ptCount val="9"/>
                      <c:pt idx="0">
                        <c:v>2022 Actual</c:v>
                      </c:pt>
                      <c:pt idx="1">
                        <c:v>2023 F</c:v>
                      </c:pt>
                      <c:pt idx="2">
                        <c:v>FY 2024</c:v>
                      </c:pt>
                      <c:pt idx="3">
                        <c:v>FY 2025</c:v>
                      </c:pt>
                      <c:pt idx="4">
                        <c:v>FY 2026</c:v>
                      </c:pt>
                      <c:pt idx="5">
                        <c:v>FY 2027</c:v>
                      </c:pt>
                      <c:pt idx="6">
                        <c:v>FY 2028</c:v>
                      </c:pt>
                      <c:pt idx="7">
                        <c:v>FY 2029</c:v>
                      </c:pt>
                      <c:pt idx="8">
                        <c:v>FY 2030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Sheet3!$F$39:$N$39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B27-4AC3-B8C6-D262BEF44CAB}"/>
                  </c:ext>
                </c:extLst>
              </c15:ser>
            </c15:filteredLineSeries>
          </c:ext>
        </c:extLst>
      </c:lineChart>
      <c:catAx>
        <c:axId val="153088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08810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Capital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Sheet3!$D$42:$E$42</c:f>
              <c:strCache>
                <c:ptCount val="2"/>
                <c:pt idx="0">
                  <c:v> Painting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Sheet3!$F$41:$L$41</c:f>
              <c:strCache>
                <c:ptCount val="7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</c:strCache>
            </c:strRef>
          </c:cat>
          <c:val>
            <c:numRef>
              <c:f>Sheet3!$F$42:$L$42</c:f>
              <c:numCache>
                <c:formatCode>_("$"* #,##0_);_("$"* \(#,##0\);_("$"* "-"??_);_(@_)</c:formatCode>
                <c:ptCount val="7"/>
                <c:pt idx="0">
                  <c:v>0</c:v>
                </c:pt>
                <c:pt idx="1">
                  <c:v>32700</c:v>
                </c:pt>
                <c:pt idx="2">
                  <c:v>34000</c:v>
                </c:pt>
                <c:pt idx="3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B-455D-A69B-603EA46A3B0A}"/>
            </c:ext>
          </c:extLst>
        </c:ser>
        <c:ser>
          <c:idx val="1"/>
          <c:order val="1"/>
          <c:tx>
            <c:strRef>
              <c:f>Sheet3!$D$43:$E$43</c:f>
              <c:strCache>
                <c:ptCount val="2"/>
                <c:pt idx="0">
                  <c:v> Chimney Rebuilds etc.  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Sheet3!$F$41:$L$41</c:f>
              <c:strCache>
                <c:ptCount val="7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</c:strCache>
            </c:strRef>
          </c:cat>
          <c:val>
            <c:numRef>
              <c:f>Sheet3!$F$43:$L$43</c:f>
              <c:numCache>
                <c:formatCode>_("$"* #,##0_);_("$"* \(#,##0\);_("$"* "-"??_);_(@_)</c:formatCode>
                <c:ptCount val="7"/>
                <c:pt idx="0">
                  <c:v>2300</c:v>
                </c:pt>
                <c:pt idx="1">
                  <c:v>17800</c:v>
                </c:pt>
                <c:pt idx="2">
                  <c:v>40000</c:v>
                </c:pt>
                <c:pt idx="3">
                  <c:v>22000</c:v>
                </c:pt>
                <c:pt idx="4">
                  <c:v>48000</c:v>
                </c:pt>
                <c:pt idx="5">
                  <c:v>5000</c:v>
                </c:pt>
                <c:pt idx="6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B-455D-A69B-603EA46A3B0A}"/>
            </c:ext>
          </c:extLst>
        </c:ser>
        <c:ser>
          <c:idx val="2"/>
          <c:order val="2"/>
          <c:tx>
            <c:strRef>
              <c:f>Sheet3!$D$44:$E$44</c:f>
              <c:strCache>
                <c:ptCount val="2"/>
                <c:pt idx="0">
                  <c:v> Paving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Sheet3!$F$41:$L$41</c:f>
              <c:strCache>
                <c:ptCount val="7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</c:strCache>
            </c:strRef>
          </c:cat>
          <c:val>
            <c:numRef>
              <c:f>Sheet3!$F$44:$L$44</c:f>
              <c:numCache>
                <c:formatCode>_("$"* #,##0_);_("$"* \(#,##0\);_("$"* "-"??_);_(@_)</c:formatCode>
                <c:ptCount val="7"/>
                <c:pt idx="0">
                  <c:v>0</c:v>
                </c:pt>
                <c:pt idx="6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DB-455D-A69B-603EA46A3B0A}"/>
            </c:ext>
          </c:extLst>
        </c:ser>
        <c:ser>
          <c:idx val="3"/>
          <c:order val="3"/>
          <c:tx>
            <c:strRef>
              <c:f>Sheet3!$D$45:$E$45</c:f>
              <c:strCache>
                <c:ptCount val="2"/>
                <c:pt idx="0">
                  <c:v> Drainage 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Sheet3!$F$41:$L$41</c:f>
              <c:strCache>
                <c:ptCount val="7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</c:strCache>
            </c:strRef>
          </c:cat>
          <c:val>
            <c:numRef>
              <c:f>Sheet3!$F$45:$L$45</c:f>
              <c:numCache>
                <c:formatCode>_("$"* #,##0_);_("$"* \(#,##0\);_("$"* "-"??_);_(@_)</c:formatCode>
                <c:ptCount val="7"/>
                <c:pt idx="1">
                  <c:v>6000</c:v>
                </c:pt>
                <c:pt idx="2">
                  <c:v>8000</c:v>
                </c:pt>
                <c:pt idx="3">
                  <c:v>8000</c:v>
                </c:pt>
                <c:pt idx="5">
                  <c:v>5000</c:v>
                </c:pt>
                <c:pt idx="6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DB-455D-A69B-603EA46A3B0A}"/>
            </c:ext>
          </c:extLst>
        </c:ser>
        <c:ser>
          <c:idx val="4"/>
          <c:order val="4"/>
          <c:tx>
            <c:strRef>
              <c:f>Sheet3!$D$46:$E$46</c:f>
              <c:strCache>
                <c:ptCount val="2"/>
                <c:pt idx="0">
                  <c:v> Tree Work 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Sheet3!$F$41:$L$41</c:f>
              <c:strCache>
                <c:ptCount val="7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</c:strCache>
            </c:strRef>
          </c:cat>
          <c:val>
            <c:numRef>
              <c:f>Sheet3!$F$46:$L$46</c:f>
              <c:numCache>
                <c:formatCode>_("$"* #,##0_);_("$"* \(#,##0\);_("$"* "-"??_);_(@_)</c:formatCode>
                <c:ptCount val="7"/>
                <c:pt idx="0">
                  <c:v>40000</c:v>
                </c:pt>
                <c:pt idx="1">
                  <c:v>5500</c:v>
                </c:pt>
                <c:pt idx="2">
                  <c:v>8000</c:v>
                </c:pt>
                <c:pt idx="3">
                  <c:v>4000</c:v>
                </c:pt>
                <c:pt idx="4">
                  <c:v>4000</c:v>
                </c:pt>
                <c:pt idx="5">
                  <c:v>7500</c:v>
                </c:pt>
                <c:pt idx="6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DB-455D-A69B-603EA46A3B0A}"/>
            </c:ext>
          </c:extLst>
        </c:ser>
        <c:ser>
          <c:idx val="5"/>
          <c:order val="5"/>
          <c:tx>
            <c:strRef>
              <c:f>Sheet3!$D$47:$E$47</c:f>
              <c:strCache>
                <c:ptCount val="2"/>
                <c:pt idx="0">
                  <c:v> Landscaping/Irrigation 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Sheet3!$F$41:$L$41</c:f>
              <c:strCache>
                <c:ptCount val="7"/>
                <c:pt idx="0">
                  <c:v>2022 Actual</c:v>
                </c:pt>
                <c:pt idx="1">
                  <c:v>2023 F</c:v>
                </c:pt>
                <c:pt idx="2">
                  <c:v>FY 2024</c:v>
                </c:pt>
                <c:pt idx="3">
                  <c:v>FY 2025</c:v>
                </c:pt>
                <c:pt idx="4">
                  <c:v>FY 2026</c:v>
                </c:pt>
                <c:pt idx="5">
                  <c:v>FY 2027</c:v>
                </c:pt>
                <c:pt idx="6">
                  <c:v>FY 2028</c:v>
                </c:pt>
              </c:strCache>
            </c:strRef>
          </c:cat>
          <c:val>
            <c:numRef>
              <c:f>Sheet3!$F$47:$L$47</c:f>
              <c:numCache>
                <c:formatCode>_("$"* #,##0_);_("$"* \(#,##0\);_("$"* "-"??_);_(@_)</c:formatCode>
                <c:ptCount val="7"/>
                <c:pt idx="0">
                  <c:v>10000</c:v>
                </c:pt>
                <c:pt idx="3">
                  <c:v>5000</c:v>
                </c:pt>
                <c:pt idx="4">
                  <c:v>25000</c:v>
                </c:pt>
                <c:pt idx="5">
                  <c:v>3500</c:v>
                </c:pt>
                <c:pt idx="6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DB-455D-A69B-603EA46A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7939072"/>
        <c:axId val="916568336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Sheet3!$D$48:$E$48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Sheet3!$F$41:$L$41</c15:sqref>
                        </c15:formulaRef>
                      </c:ext>
                    </c:extLst>
                    <c:strCache>
                      <c:ptCount val="7"/>
                      <c:pt idx="0">
                        <c:v>2022 Actual</c:v>
                      </c:pt>
                      <c:pt idx="1">
                        <c:v>2023 F</c:v>
                      </c:pt>
                      <c:pt idx="2">
                        <c:v>FY 2024</c:v>
                      </c:pt>
                      <c:pt idx="3">
                        <c:v>FY 2025</c:v>
                      </c:pt>
                      <c:pt idx="4">
                        <c:v>FY 2026</c:v>
                      </c:pt>
                      <c:pt idx="5">
                        <c:v>FY 2027</c:v>
                      </c:pt>
                      <c:pt idx="6">
                        <c:v>FY 2028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Sheet3!$F$48:$L$48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7"/>
                      <c:pt idx="0">
                        <c:v>52300</c:v>
                      </c:pt>
                      <c:pt idx="1">
                        <c:v>62000</c:v>
                      </c:pt>
                      <c:pt idx="2">
                        <c:v>90000</c:v>
                      </c:pt>
                      <c:pt idx="3">
                        <c:v>75000</c:v>
                      </c:pt>
                      <c:pt idx="4">
                        <c:v>77000</c:v>
                      </c:pt>
                      <c:pt idx="5">
                        <c:v>21000</c:v>
                      </c:pt>
                      <c:pt idx="6">
                        <c:v>36000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36DB-455D-A69B-603EA46A3B0A}"/>
                  </c:ext>
                </c:extLst>
              </c15:ser>
            </c15:filteredBarSeries>
          </c:ext>
        </c:extLst>
      </c:barChart>
      <c:catAx>
        <c:axId val="61793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568336"/>
        <c:crosses val="autoZero"/>
        <c:auto val="1"/>
        <c:lblAlgn val="ctr"/>
        <c:lblOffset val="100"/>
        <c:noMultiLvlLbl val="0"/>
      </c:catAx>
      <c:valAx>
        <c:axId val="9165683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617939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333375</xdr:rowOff>
    </xdr:from>
    <xdr:to>
      <xdr:col>16</xdr:col>
      <xdr:colOff>962025</xdr:colOff>
      <xdr:row>40</xdr:row>
      <xdr:rowOff>171450</xdr:rowOff>
    </xdr:to>
    <xdr:graphicFrame macro="">
      <xdr:nvGraphicFramePr>
        <xdr:cNvPr id="9412" name="Chart 1">
          <a:extLst>
            <a:ext uri="{FF2B5EF4-FFF2-40B4-BE49-F238E27FC236}">
              <a16:creationId xmlns:a16="http://schemas.microsoft.com/office/drawing/2014/main" id="{8240A69E-268F-4E7D-B558-95BFDC9F7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238125</xdr:rowOff>
    </xdr:from>
    <xdr:to>
      <xdr:col>15</xdr:col>
      <xdr:colOff>600075</xdr:colOff>
      <xdr:row>36</xdr:row>
      <xdr:rowOff>85725</xdr:rowOff>
    </xdr:to>
    <xdr:graphicFrame macro="">
      <xdr:nvGraphicFramePr>
        <xdr:cNvPr id="36028" name="Chart 1">
          <a:extLst>
            <a:ext uri="{FF2B5EF4-FFF2-40B4-BE49-F238E27FC236}">
              <a16:creationId xmlns:a16="http://schemas.microsoft.com/office/drawing/2014/main" id="{F38A9563-5020-4D18-95E7-AFD9F0DAE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</xdr:row>
      <xdr:rowOff>352425</xdr:rowOff>
    </xdr:from>
    <xdr:to>
      <xdr:col>16</xdr:col>
      <xdr:colOff>876300</xdr:colOff>
      <xdr:row>41</xdr:row>
      <xdr:rowOff>285750</xdr:rowOff>
    </xdr:to>
    <xdr:graphicFrame macro="">
      <xdr:nvGraphicFramePr>
        <xdr:cNvPr id="8388" name="Chart 1">
          <a:extLst>
            <a:ext uri="{FF2B5EF4-FFF2-40B4-BE49-F238E27FC236}">
              <a16:creationId xmlns:a16="http://schemas.microsoft.com/office/drawing/2014/main" id="{60056355-77C6-423A-A64D-531621A84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152399</xdr:rowOff>
    </xdr:from>
    <xdr:to>
      <xdr:col>14</xdr:col>
      <xdr:colOff>133350</xdr:colOff>
      <xdr:row>39</xdr:row>
      <xdr:rowOff>9524</xdr:rowOff>
    </xdr:to>
    <xdr:graphicFrame macro="">
      <xdr:nvGraphicFramePr>
        <xdr:cNvPr id="5318" name="Chart 1">
          <a:extLst>
            <a:ext uri="{FF2B5EF4-FFF2-40B4-BE49-F238E27FC236}">
              <a16:creationId xmlns:a16="http://schemas.microsoft.com/office/drawing/2014/main" id="{1E4EE6A8-1564-4F99-B0AF-CACA27987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0</xdr:rowOff>
    </xdr:from>
    <xdr:to>
      <xdr:col>18</xdr:col>
      <xdr:colOff>561975</xdr:colOff>
      <xdr:row>41</xdr:row>
      <xdr:rowOff>0</xdr:rowOff>
    </xdr:to>
    <xdr:graphicFrame macro="">
      <xdr:nvGraphicFramePr>
        <xdr:cNvPr id="641066" name="Chart 1">
          <a:extLst>
            <a:ext uri="{FF2B5EF4-FFF2-40B4-BE49-F238E27FC236}">
              <a16:creationId xmlns:a16="http://schemas.microsoft.com/office/drawing/2014/main" id="{6EAFD385-4A06-4FEF-B405-3487C7052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403860</xdr:colOff>
      <xdr:row>1</xdr:row>
      <xdr:rowOff>83820</xdr:rowOff>
    </xdr:from>
    <xdr:to>
      <xdr:col>19</xdr:col>
      <xdr:colOff>91440</xdr:colOff>
      <xdr:row>30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375BD1-04E0-986A-30A4-D0425E5E8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E19FF"/>
      </a:accent1>
      <a:accent2>
        <a:srgbClr val="00B0F0"/>
      </a:accent2>
      <a:accent3>
        <a:srgbClr val="00B050"/>
      </a:accent3>
      <a:accent4>
        <a:srgbClr val="C00000"/>
      </a:accent4>
      <a:accent5>
        <a:srgbClr val="938953"/>
      </a:accent5>
      <a:accent6>
        <a:srgbClr val="0000FF"/>
      </a:accent6>
      <a:hlink>
        <a:srgbClr val="4F6128"/>
      </a:hlink>
      <a:folHlink>
        <a:srgbClr val="3F0040"/>
      </a:folHlink>
    </a:clrScheme>
    <a:fontScheme name="Arial Black-Arial">
      <a:majorFont>
        <a:latin typeface="Arial Black" panose="020B0A0402010202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C13" zoomScaleNormal="100" workbookViewId="0">
      <selection activeCell="W31" sqref="W31"/>
    </sheetView>
  </sheetViews>
  <sheetFormatPr baseColWidth="10" defaultColWidth="9.1640625" defaultRowHeight="13" x14ac:dyDescent="0.15"/>
  <cols>
    <col min="1" max="16384" width="9.1640625" style="67"/>
  </cols>
  <sheetData/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U51"/>
  <sheetViews>
    <sheetView topLeftCell="B1" zoomScaleNormal="100" workbookViewId="0">
      <selection activeCell="U28" sqref="U28"/>
    </sheetView>
  </sheetViews>
  <sheetFormatPr baseColWidth="10" defaultColWidth="8.83203125" defaultRowHeight="13" x14ac:dyDescent="0.15"/>
  <cols>
    <col min="1" max="1" width="30.1640625" customWidth="1"/>
    <col min="2" max="2" width="3.33203125" style="152" customWidth="1"/>
    <col min="3" max="3" width="17.83203125" style="152" customWidth="1"/>
    <col min="4" max="4" width="3.6640625" style="6" customWidth="1"/>
    <col min="5" max="5" width="17.6640625" style="6" customWidth="1"/>
    <col min="6" max="6" width="3.33203125" style="6" customWidth="1"/>
    <col min="7" max="7" width="18.33203125" style="6" customWidth="1"/>
    <col min="8" max="8" width="3.1640625" style="6" customWidth="1"/>
    <col min="9" max="9" width="15.6640625" customWidth="1"/>
    <col min="10" max="10" width="3.1640625" customWidth="1"/>
    <col min="11" max="11" width="19" customWidth="1"/>
    <col min="12" max="12" width="3" customWidth="1"/>
    <col min="13" max="13" width="15.6640625" customWidth="1"/>
    <col min="14" max="14" width="3.1640625" customWidth="1"/>
    <col min="15" max="15" width="16.5" customWidth="1"/>
    <col min="16" max="16" width="2.83203125" customWidth="1"/>
    <col min="17" max="17" width="15.83203125" customWidth="1"/>
    <col min="18" max="18" width="2.6640625" customWidth="1"/>
    <col min="19" max="19" width="16.33203125" customWidth="1"/>
    <col min="20" max="20" width="2.5" customWidth="1"/>
    <col min="21" max="21" width="15.5" customWidth="1"/>
  </cols>
  <sheetData>
    <row r="1" spans="1:21" ht="16" x14ac:dyDescent="0.2">
      <c r="A1" s="9"/>
    </row>
    <row r="2" spans="1:21" ht="15" thickBot="1" x14ac:dyDescent="0.2">
      <c r="A2" s="2"/>
    </row>
    <row r="3" spans="1:21" ht="20" thickTop="1" thickBot="1" x14ac:dyDescent="0.25">
      <c r="A3" s="475" t="s">
        <v>138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7"/>
    </row>
    <row r="4" spans="1:21" ht="17" thickBot="1" x14ac:dyDescent="0.25">
      <c r="A4" s="176" t="s">
        <v>0</v>
      </c>
      <c r="B4" s="155"/>
      <c r="C4" s="177" t="str">
        <f>+'8 Yr Forecast LT Adj Assump'!C6</f>
        <v>FY 2024</v>
      </c>
      <c r="D4" s="156"/>
      <c r="E4" s="177" t="str">
        <f>+'8 Yr Forecast LT Adj Assump'!E6</f>
        <v>FY 2025</v>
      </c>
      <c r="F4" s="156"/>
      <c r="G4" s="177" t="str">
        <f>+'8 Yr Forecast LT Adj Assump'!G6</f>
        <v>FY 2025</v>
      </c>
      <c r="H4" s="155"/>
      <c r="I4" s="177" t="str">
        <f>+'8 Yr Forecast LT Adj Assump'!I6</f>
        <v>FY 2026</v>
      </c>
      <c r="J4" s="155"/>
      <c r="K4" s="177" t="str">
        <f>+'8 Yr Forecast LT Adj Assump'!K6</f>
        <v>FY 2027</v>
      </c>
      <c r="L4" s="156"/>
      <c r="M4" s="177" t="str">
        <f>+'8 Yr Forecast LT Adj Assump'!M6</f>
        <v>FY 2028</v>
      </c>
      <c r="N4" s="156"/>
      <c r="O4" s="177" t="str">
        <f>+'8 Yr Forecast LT Adj Assump'!O6</f>
        <v>FY 2029</v>
      </c>
      <c r="P4" s="156"/>
      <c r="Q4" s="177" t="str">
        <f>+'8 Yr Forecast LT Adj Assump'!Q6</f>
        <v>FY 2030</v>
      </c>
      <c r="R4" s="156"/>
      <c r="S4" s="177" t="str">
        <f>+'8 Yr Forecast LT Adj Assump'!S6</f>
        <v>FY 2031</v>
      </c>
      <c r="U4" s="177" t="str">
        <f>+'8 Yr Forecast LT Adj Assump'!U6</f>
        <v>FY 2032</v>
      </c>
    </row>
    <row r="5" spans="1:21" x14ac:dyDescent="0.15">
      <c r="A5" s="180"/>
      <c r="B5" s="153"/>
      <c r="C5" s="181"/>
      <c r="D5" s="154"/>
      <c r="E5" s="183"/>
      <c r="F5" s="154"/>
      <c r="G5" s="183"/>
      <c r="H5" s="153"/>
      <c r="I5" s="183"/>
      <c r="J5" s="153"/>
      <c r="K5" s="183"/>
      <c r="L5" s="154"/>
      <c r="M5" s="183"/>
      <c r="N5" s="154"/>
      <c r="O5" s="183"/>
      <c r="P5" s="154"/>
      <c r="Q5" s="183"/>
      <c r="R5" s="154"/>
      <c r="S5" s="184"/>
      <c r="U5" s="184"/>
    </row>
    <row r="6" spans="1:21" ht="14" x14ac:dyDescent="0.15">
      <c r="A6" s="133" t="s">
        <v>111</v>
      </c>
      <c r="B6" s="20"/>
      <c r="C6" s="186">
        <f>+'8 Yr Forecast LT Adj Assump'!C8</f>
        <v>179140</v>
      </c>
      <c r="D6" s="157"/>
      <c r="E6" s="187">
        <f>+'8 Yr Forecast LT Adj Assump'!E8</f>
        <v>172800</v>
      </c>
      <c r="F6" s="157"/>
      <c r="G6" s="187">
        <f>+'8 Yr Forecast LT Adj Assump'!G8</f>
        <v>175177</v>
      </c>
      <c r="H6" s="20"/>
      <c r="I6" s="187">
        <f>+'8 Yr Forecast LT Adj Assump'!I8</f>
        <v>144000</v>
      </c>
      <c r="J6" s="157"/>
      <c r="K6" s="187">
        <f>+'8 Yr Forecast LT Adj Assump'!K8</f>
        <v>144000</v>
      </c>
      <c r="L6" s="157"/>
      <c r="M6" s="187">
        <f>+'8 Yr Forecast LT Adj Assump'!M8</f>
        <v>144000</v>
      </c>
      <c r="N6" s="157"/>
      <c r="O6" s="187">
        <f>+'8 Yr Forecast LT Adj Assump'!O8</f>
        <v>144000</v>
      </c>
      <c r="P6" s="157"/>
      <c r="Q6" s="187">
        <f>+'8 Yr Forecast LT Adj Assump'!Q8</f>
        <v>144000</v>
      </c>
      <c r="R6" s="157"/>
      <c r="S6" s="188">
        <f>+'8 Yr Forecast LT Adj Assump'!S8</f>
        <v>144000</v>
      </c>
      <c r="U6" s="188">
        <f>+'8 Yr Forecast LT Adj Assump'!U8</f>
        <v>144000</v>
      </c>
    </row>
    <row r="7" spans="1:21" ht="14" x14ac:dyDescent="0.15">
      <c r="A7" s="133" t="s">
        <v>114</v>
      </c>
      <c r="B7" s="20"/>
      <c r="C7" s="186">
        <f>+'8 Yr Forecast LT Adj Assump'!C56</f>
        <v>31200</v>
      </c>
      <c r="D7" s="157"/>
      <c r="E7" s="187">
        <f>+'8 Yr Forecast LT Adj Assump'!E56</f>
        <v>31200</v>
      </c>
      <c r="F7" s="157"/>
      <c r="G7" s="187">
        <f>+'8 Yr Forecast LT Adj Assump'!G56</f>
        <v>31850</v>
      </c>
      <c r="H7" s="20"/>
      <c r="I7" s="187">
        <f>+'8 Yr Forecast LT Adj Assump'!I56</f>
        <v>100800</v>
      </c>
      <c r="J7" s="157"/>
      <c r="K7" s="187">
        <f>+'8 Yr Forecast LT Adj Assump'!K56</f>
        <v>100800</v>
      </c>
      <c r="L7" s="157"/>
      <c r="M7" s="187">
        <f>+'8 Yr Forecast LT Adj Assump'!M56</f>
        <v>100800</v>
      </c>
      <c r="N7" s="157"/>
      <c r="O7" s="187">
        <f>+'8 Yr Forecast LT Adj Assump'!O56</f>
        <v>100800</v>
      </c>
      <c r="P7" s="157"/>
      <c r="Q7" s="187">
        <f>+'8 Yr Forecast LT Adj Assump'!Q56</f>
        <v>100800</v>
      </c>
      <c r="R7" s="157"/>
      <c r="S7" s="188">
        <f>+'8 Yr Forecast LT Adj Assump'!S56</f>
        <v>100800</v>
      </c>
      <c r="U7" s="188">
        <f>+'8 Yr Forecast LT Adj Assump'!U56</f>
        <v>100800</v>
      </c>
    </row>
    <row r="8" spans="1:21" s="7" customFormat="1" ht="14" x14ac:dyDescent="0.15">
      <c r="A8" s="133" t="s">
        <v>31</v>
      </c>
      <c r="B8" s="20"/>
      <c r="C8" s="186">
        <f>+'8 Yr Forecast LT Adj Assump'!C9</f>
        <v>7500</v>
      </c>
      <c r="D8" s="157"/>
      <c r="E8" s="187">
        <f>+'8 Yr Forecast LT Adj Assump'!E9</f>
        <v>3000</v>
      </c>
      <c r="F8" s="157"/>
      <c r="G8" s="187">
        <f>+'8 Yr Forecast LT Adj Assump'!G9</f>
        <v>6000</v>
      </c>
      <c r="H8" s="20"/>
      <c r="I8" s="187">
        <f>+'8 Yr Forecast LT Adj Assump'!I9</f>
        <v>3000</v>
      </c>
      <c r="J8" s="157"/>
      <c r="K8" s="187">
        <f>+'8 Yr Forecast LT Adj Assump'!K9</f>
        <v>3000</v>
      </c>
      <c r="L8" s="157"/>
      <c r="M8" s="187">
        <f>+'8 Yr Forecast LT Adj Assump'!M9</f>
        <v>3000</v>
      </c>
      <c r="N8" s="157"/>
      <c r="O8" s="187">
        <f>+'8 Yr Forecast LT Adj Assump'!O9</f>
        <v>3000</v>
      </c>
      <c r="P8" s="157"/>
      <c r="Q8" s="187">
        <f>+'8 Yr Forecast LT Adj Assump'!Q9</f>
        <v>3000</v>
      </c>
      <c r="R8" s="157"/>
      <c r="S8" s="187">
        <f>+'8 Yr Forecast LT Adj Assump'!S9</f>
        <v>3000</v>
      </c>
      <c r="U8" s="187">
        <f>+'8 Yr Forecast LT Adj Assump'!U9</f>
        <v>3000</v>
      </c>
    </row>
    <row r="9" spans="1:21" s="7" customFormat="1" ht="15" thickBot="1" x14ac:dyDescent="0.2">
      <c r="A9" s="133" t="s">
        <v>89</v>
      </c>
      <c r="B9" s="20"/>
      <c r="C9" s="190">
        <v>0</v>
      </c>
      <c r="D9" s="159"/>
      <c r="E9" s="191">
        <f>+'8 Yr Forecast LT Adj Assump'!E10</f>
        <v>0</v>
      </c>
      <c r="F9" s="159"/>
      <c r="G9" s="191">
        <v>0</v>
      </c>
      <c r="H9" s="20"/>
      <c r="I9" s="191">
        <v>0</v>
      </c>
      <c r="J9" s="158"/>
      <c r="K9" s="191">
        <v>0</v>
      </c>
      <c r="L9" s="159"/>
      <c r="M9" s="191">
        <v>0</v>
      </c>
      <c r="N9" s="159"/>
      <c r="O9" s="191">
        <v>0</v>
      </c>
      <c r="P9" s="159"/>
      <c r="Q9" s="191">
        <v>0</v>
      </c>
      <c r="R9" s="159"/>
      <c r="S9" s="192">
        <v>0</v>
      </c>
      <c r="U9" s="192">
        <v>0</v>
      </c>
    </row>
    <row r="10" spans="1:21" ht="15" thickBot="1" x14ac:dyDescent="0.2">
      <c r="A10" s="174" t="s">
        <v>2</v>
      </c>
      <c r="B10" s="160"/>
      <c r="C10" s="194">
        <f>SUM(C6:C9)</f>
        <v>217840</v>
      </c>
      <c r="D10" s="160"/>
      <c r="E10" s="195">
        <f>SUM(E6:E9)</f>
        <v>207000</v>
      </c>
      <c r="F10" s="160"/>
      <c r="G10" s="195">
        <f>SUM(G6:G9)</f>
        <v>213027</v>
      </c>
      <c r="H10" s="160"/>
      <c r="I10" s="195">
        <f>SUM(I6:I9)</f>
        <v>247800</v>
      </c>
      <c r="J10" s="160"/>
      <c r="K10" s="195">
        <f>SUM(K6:K9)</f>
        <v>247800</v>
      </c>
      <c r="L10" s="160"/>
      <c r="M10" s="195">
        <f>SUM(M6:M9)</f>
        <v>247800</v>
      </c>
      <c r="N10" s="160"/>
      <c r="O10" s="195">
        <f>SUM(O6:O9)</f>
        <v>247800</v>
      </c>
      <c r="P10" s="160"/>
      <c r="Q10" s="195">
        <f>SUM(Q6:Q9)</f>
        <v>247800</v>
      </c>
      <c r="R10" s="160"/>
      <c r="S10" s="196">
        <f>SUM(S6:S9)</f>
        <v>247800</v>
      </c>
      <c r="U10" s="196">
        <f>SUM(U6:U9)</f>
        <v>247800</v>
      </c>
    </row>
    <row r="11" spans="1:21" ht="18" thickTop="1" x14ac:dyDescent="0.15">
      <c r="A11" s="143" t="s">
        <v>45</v>
      </c>
      <c r="B11" s="20"/>
      <c r="C11" s="190"/>
      <c r="D11" s="20"/>
      <c r="E11" s="191"/>
      <c r="F11" s="20"/>
      <c r="G11" s="191"/>
      <c r="H11" s="20"/>
      <c r="I11" s="191"/>
      <c r="J11" s="20"/>
      <c r="K11" s="191"/>
      <c r="L11" s="20"/>
      <c r="M11" s="191"/>
      <c r="N11" s="20"/>
      <c r="O11" s="191"/>
      <c r="P11" s="20"/>
      <c r="Q11" s="191"/>
      <c r="R11" s="20"/>
      <c r="S11" s="192"/>
      <c r="U11" s="192"/>
    </row>
    <row r="12" spans="1:21" s="105" customFormat="1" ht="14" x14ac:dyDescent="0.15">
      <c r="A12" s="133" t="s">
        <v>9</v>
      </c>
      <c r="B12" s="161"/>
      <c r="C12" s="163">
        <f>+'8 Yr Forecast LT Adj Assump'!C23</f>
        <v>55351.15</v>
      </c>
      <c r="D12" s="161"/>
      <c r="E12" s="175">
        <f>+'8 Yr Forecast LT Adj Assump'!E23</f>
        <v>61430</v>
      </c>
      <c r="F12" s="20"/>
      <c r="G12" s="175">
        <f>+'8 Yr Forecast LT Adj Assump'!G23</f>
        <v>57534.43</v>
      </c>
      <c r="H12" s="161"/>
      <c r="I12" s="175">
        <f>+'8 Yr Forecast LT Adj Assump'!I23</f>
        <v>58755.523000000001</v>
      </c>
      <c r="J12" s="20"/>
      <c r="K12" s="175">
        <f>+'8 Yr Forecast LT Adj Assump'!K23</f>
        <v>61105.743920000008</v>
      </c>
      <c r="L12" s="161"/>
      <c r="M12" s="175">
        <f>+'8 Yr Forecast LT Adj Assump'!M23</f>
        <v>62938.916237600009</v>
      </c>
      <c r="N12" s="20"/>
      <c r="O12" s="175">
        <f>+'8 Yr Forecast LT Adj Assump'!O23</f>
        <v>65141.778305915999</v>
      </c>
      <c r="P12" s="161"/>
      <c r="Q12" s="175">
        <f>+'8 Yr Forecast LT Adj Assump'!Q23</f>
        <v>67421.740546623056</v>
      </c>
      <c r="R12" s="20"/>
      <c r="S12" s="197">
        <f>+'8 Yr Forecast LT Adj Assump'!S23</f>
        <v>70118.610168487983</v>
      </c>
      <c r="U12" s="197">
        <f>+'8 Yr Forecast LT Adj Assump'!U23</f>
        <v>72923.354575227495</v>
      </c>
    </row>
    <row r="13" spans="1:21" s="105" customFormat="1" ht="14" x14ac:dyDescent="0.15">
      <c r="A13" s="133" t="s">
        <v>12</v>
      </c>
      <c r="B13" s="161"/>
      <c r="C13" s="163">
        <f>+'8 Yr Forecast LT Adj Assump'!C27</f>
        <v>1737.84</v>
      </c>
      <c r="D13" s="161"/>
      <c r="E13" s="175">
        <f>+'8 Yr Forecast LT Adj Assump'!E27</f>
        <v>1800</v>
      </c>
      <c r="F13" s="20"/>
      <c r="G13" s="175">
        <f>+'8 Yr Forecast LT Adj Assump'!G27</f>
        <v>1805.82</v>
      </c>
      <c r="H13" s="161"/>
      <c r="I13" s="175">
        <f>+'8 Yr Forecast LT Adj Assump'!I27</f>
        <v>1896.1109999999999</v>
      </c>
      <c r="J13" s="161"/>
      <c r="K13" s="175">
        <f>+'8 Yr Forecast LT Adj Assump'!K27</f>
        <v>1971.95544</v>
      </c>
      <c r="L13" s="161"/>
      <c r="M13" s="175">
        <f>+'8 Yr Forecast LT Adj Assump'!M27</f>
        <v>2031.1141032</v>
      </c>
      <c r="N13" s="20"/>
      <c r="O13" s="175">
        <f>+'8 Yr Forecast LT Adj Assump'!O27</f>
        <v>2102.2030968119998</v>
      </c>
      <c r="P13" s="161"/>
      <c r="Q13" s="175">
        <f>+'8 Yr Forecast LT Adj Assump'!Q27</f>
        <v>2175.7802052004195</v>
      </c>
      <c r="R13" s="20"/>
      <c r="S13" s="197">
        <f>+'8 Yr Forecast LT Adj Assump'!S27</f>
        <v>2262.8114134084367</v>
      </c>
      <c r="U13" s="197">
        <f>+'8 Yr Forecast LT Adj Assump'!U27</f>
        <v>2353.3238699447743</v>
      </c>
    </row>
    <row r="14" spans="1:21" s="105" customFormat="1" ht="14" x14ac:dyDescent="0.15">
      <c r="A14" s="133" t="s">
        <v>17</v>
      </c>
      <c r="B14" s="161"/>
      <c r="C14" s="163">
        <f>+'8 Yr Forecast LT Adj Assump'!C33</f>
        <v>43659.929999999993</v>
      </c>
      <c r="D14" s="161"/>
      <c r="E14" s="175">
        <f>+'8 Yr Forecast LT Adj Assump'!E33</f>
        <v>45700</v>
      </c>
      <c r="F14" s="20"/>
      <c r="G14" s="175">
        <f>+'8 Yr Forecast LT Adj Assump'!G33</f>
        <v>30662.95</v>
      </c>
      <c r="H14" s="161"/>
      <c r="I14" s="175">
        <f>+'8 Yr Forecast LT Adj Assump'!I33</f>
        <v>34696.097500000003</v>
      </c>
      <c r="J14" s="161"/>
      <c r="K14" s="175">
        <f>+'8 Yr Forecast LT Adj Assump'!K33</f>
        <v>36083.941400000003</v>
      </c>
      <c r="L14" s="161"/>
      <c r="M14" s="175">
        <f>+'8 Yr Forecast LT Adj Assump'!M33</f>
        <v>37166.459642000002</v>
      </c>
      <c r="N14" s="20"/>
      <c r="O14" s="175">
        <f>+'8 Yr Forecast LT Adj Assump'!O33</f>
        <v>38467.285729470001</v>
      </c>
      <c r="P14" s="161"/>
      <c r="Q14" s="175">
        <f>+'8 Yr Forecast LT Adj Assump'!Q33</f>
        <v>39813.640730001454</v>
      </c>
      <c r="R14" s="20"/>
      <c r="S14" s="197">
        <f>+'8 Yr Forecast LT Adj Assump'!S33</f>
        <v>41406.186359201507</v>
      </c>
      <c r="U14" s="197">
        <f>+'8 Yr Forecast LT Adj Assump'!U33</f>
        <v>43062.433813569573</v>
      </c>
    </row>
    <row r="15" spans="1:21" s="105" customFormat="1" ht="14" x14ac:dyDescent="0.15">
      <c r="A15" s="133" t="s">
        <v>22</v>
      </c>
      <c r="B15" s="161"/>
      <c r="C15" s="163">
        <f>+'8 Yr Forecast LT Adj Assump'!C39</f>
        <v>24814.14</v>
      </c>
      <c r="D15" s="161"/>
      <c r="E15" s="175">
        <f>+'8 Yr Forecast LT Adj Assump'!E39</f>
        <v>25625</v>
      </c>
      <c r="F15" s="20"/>
      <c r="G15" s="175">
        <f>+'8 Yr Forecast LT Adj Assump'!G39</f>
        <v>24716.400000000001</v>
      </c>
      <c r="H15" s="161"/>
      <c r="I15" s="175">
        <f>+'8 Yr Forecast LT Adj Assump'!I39</f>
        <v>25952.22</v>
      </c>
      <c r="J15" s="161"/>
      <c r="K15" s="175">
        <f>+'8 Yr Forecast LT Adj Assump'!K39</f>
        <v>26990.308800000003</v>
      </c>
      <c r="L15" s="161"/>
      <c r="M15" s="175">
        <f>+'8 Yr Forecast LT Adj Assump'!M39</f>
        <v>27800.018064000004</v>
      </c>
      <c r="N15" s="20"/>
      <c r="O15" s="175">
        <f>+'8 Yr Forecast LT Adj Assump'!O39</f>
        <v>28773.01869624</v>
      </c>
      <c r="P15" s="161"/>
      <c r="Q15" s="175">
        <f>+'8 Yr Forecast LT Adj Assump'!Q39</f>
        <v>29780.074350608404</v>
      </c>
      <c r="R15" s="20"/>
      <c r="S15" s="197">
        <f>+'8 Yr Forecast LT Adj Assump'!S39</f>
        <v>30971.277324632738</v>
      </c>
      <c r="U15" s="197">
        <f>+'8 Yr Forecast LT Adj Assump'!U39</f>
        <v>32210.128417618049</v>
      </c>
    </row>
    <row r="16" spans="1:21" ht="14" thickBot="1" x14ac:dyDescent="0.2">
      <c r="A16" s="133"/>
      <c r="B16" s="20"/>
      <c r="C16" s="190"/>
      <c r="D16" s="20"/>
      <c r="E16" s="191"/>
      <c r="F16" s="20"/>
      <c r="G16" s="191"/>
      <c r="H16" s="20"/>
      <c r="I16" s="191"/>
      <c r="J16" s="20"/>
      <c r="K16" s="191"/>
      <c r="L16" s="20"/>
      <c r="M16" s="191"/>
      <c r="N16" s="20"/>
      <c r="O16" s="191"/>
      <c r="P16" s="20"/>
      <c r="Q16" s="191"/>
      <c r="R16" s="20"/>
      <c r="S16" s="192"/>
      <c r="U16" s="192"/>
    </row>
    <row r="17" spans="1:21" ht="15" thickBot="1" x14ac:dyDescent="0.2">
      <c r="A17" s="174" t="s">
        <v>23</v>
      </c>
      <c r="B17" s="160"/>
      <c r="C17" s="194">
        <f>SUM(C12+C13+C14+C15)</f>
        <v>125563.05999999998</v>
      </c>
      <c r="D17" s="160"/>
      <c r="E17" s="195">
        <f>SUM(E12+E13+E14+E15)</f>
        <v>134555</v>
      </c>
      <c r="F17" s="160"/>
      <c r="G17" s="195">
        <f>SUM(G12+G13+G14+G15)</f>
        <v>114719.6</v>
      </c>
      <c r="H17" s="160"/>
      <c r="I17" s="195">
        <f>SUM(I12+I13+I14+I15)</f>
        <v>121299.9515</v>
      </c>
      <c r="J17" s="160"/>
      <c r="K17" s="195">
        <f>SUM(K12+K13+K14+K15)</f>
        <v>126151.94956000001</v>
      </c>
      <c r="L17" s="160"/>
      <c r="M17" s="195">
        <f>SUM(M12+M13+M14+M15)</f>
        <v>129936.50804680001</v>
      </c>
      <c r="N17" s="160"/>
      <c r="O17" s="195">
        <f>SUM(O12+O13+O14+O15)</f>
        <v>134484.28582843801</v>
      </c>
      <c r="P17" s="160"/>
      <c r="Q17" s="195">
        <f>SUM(Q12+Q13+Q14+Q15)</f>
        <v>139191.23583243333</v>
      </c>
      <c r="R17" s="160"/>
      <c r="S17" s="196">
        <f>SUM(S12+S13+S14+S15)</f>
        <v>144758.88526573067</v>
      </c>
      <c r="U17" s="196">
        <f>SUM(U12+U13+U14+U15)</f>
        <v>150549.24067635988</v>
      </c>
    </row>
    <row r="18" spans="1:21" ht="15" thickTop="1" thickBot="1" x14ac:dyDescent="0.2">
      <c r="A18" s="146"/>
      <c r="B18" s="36"/>
      <c r="C18" s="190"/>
      <c r="D18" s="36"/>
      <c r="E18" s="191"/>
      <c r="F18" s="36"/>
      <c r="G18" s="191"/>
      <c r="H18" s="36"/>
      <c r="I18" s="191"/>
      <c r="J18" s="36"/>
      <c r="K18" s="191"/>
      <c r="L18" s="36"/>
      <c r="M18" s="191"/>
      <c r="N18" s="36"/>
      <c r="O18" s="191"/>
      <c r="P18" s="36"/>
      <c r="Q18" s="191"/>
      <c r="R18" s="36"/>
      <c r="S18" s="192"/>
      <c r="U18" s="192"/>
    </row>
    <row r="19" spans="1:21" ht="17" thickTop="1" x14ac:dyDescent="0.2">
      <c r="A19" s="198" t="s">
        <v>90</v>
      </c>
      <c r="B19" s="164"/>
      <c r="C19" s="200">
        <f>+C10-C17</f>
        <v>92276.940000000017</v>
      </c>
      <c r="D19" s="165"/>
      <c r="E19" s="201">
        <f>+E10-E17</f>
        <v>72445</v>
      </c>
      <c r="F19" s="166"/>
      <c r="G19" s="201">
        <f>+G10-G17</f>
        <v>98307.4</v>
      </c>
      <c r="H19" s="164"/>
      <c r="I19" s="201">
        <f>+I10-I17</f>
        <v>126500.0485</v>
      </c>
      <c r="J19" s="164"/>
      <c r="K19" s="201">
        <f>+K10-K17</f>
        <v>121648.05043999999</v>
      </c>
      <c r="L19" s="165"/>
      <c r="M19" s="201">
        <f>+M10-M17</f>
        <v>117863.49195319999</v>
      </c>
      <c r="N19" s="166"/>
      <c r="O19" s="201">
        <f>+O10-O17</f>
        <v>113315.71417156199</v>
      </c>
      <c r="P19" s="165"/>
      <c r="Q19" s="201">
        <f>+Q10-Q17</f>
        <v>108608.76416756667</v>
      </c>
      <c r="R19" s="166"/>
      <c r="S19" s="202">
        <f>+S10-S17</f>
        <v>103041.11473426933</v>
      </c>
      <c r="U19" s="202">
        <f>+U10-U17</f>
        <v>97250.759323640115</v>
      </c>
    </row>
    <row r="20" spans="1:21" x14ac:dyDescent="0.15">
      <c r="A20" s="146"/>
      <c r="B20" s="36"/>
      <c r="C20" s="190"/>
      <c r="D20" s="36"/>
      <c r="E20" s="191"/>
      <c r="F20" s="36"/>
      <c r="G20" s="191"/>
      <c r="H20" s="36"/>
      <c r="I20" s="191"/>
      <c r="J20" s="36"/>
      <c r="K20" s="191"/>
      <c r="L20" s="36"/>
      <c r="M20" s="191"/>
      <c r="N20" s="36"/>
      <c r="O20" s="191"/>
      <c r="P20" s="36"/>
      <c r="Q20" s="191"/>
      <c r="R20" s="36"/>
      <c r="S20" s="192"/>
      <c r="U20" s="192"/>
    </row>
    <row r="21" spans="1:21" ht="14" x14ac:dyDescent="0.15">
      <c r="A21" s="146" t="s">
        <v>128</v>
      </c>
      <c r="B21" s="167"/>
      <c r="C21" s="163">
        <f>+'8 Yr Forecast LT Adj Assump'!C64</f>
        <v>82103.88</v>
      </c>
      <c r="D21" s="167"/>
      <c r="E21" s="175">
        <f>+'8 Yr Forecast LT Adj Assump'!E64</f>
        <v>95000</v>
      </c>
      <c r="F21" s="168"/>
      <c r="G21" s="175">
        <f>+'8 Yr Forecast LT Adj Assump'!G64</f>
        <v>124195.47</v>
      </c>
      <c r="H21" s="167"/>
      <c r="I21" s="175">
        <f>+'8 Yr Forecast LT Adj Assump'!I64</f>
        <v>105750</v>
      </c>
      <c r="J21" s="167"/>
      <c r="K21" s="175">
        <f>+'8 Yr Forecast LT Adj Assump'!K64</f>
        <v>92750</v>
      </c>
      <c r="L21" s="167"/>
      <c r="M21" s="175">
        <f>+'8 Yr Forecast LT Adj Assump'!M64</f>
        <v>98250</v>
      </c>
      <c r="N21" s="168"/>
      <c r="O21" s="175">
        <f>+'8 Yr Forecast LT Adj Assump'!O64</f>
        <v>90250</v>
      </c>
      <c r="P21" s="167"/>
      <c r="Q21" s="175">
        <f>+'8 Yr Forecast LT Adj Assump'!Q64</f>
        <v>82500</v>
      </c>
      <c r="R21" s="168"/>
      <c r="S21" s="175">
        <f>+'8 Yr Forecast LT Adj Assump'!S64</f>
        <v>59000</v>
      </c>
      <c r="U21" s="175">
        <f>+'8 Yr Forecast LT Adj Assump'!U64</f>
        <v>90500</v>
      </c>
    </row>
    <row r="22" spans="1:21" ht="14" x14ac:dyDescent="0.15">
      <c r="A22" s="146" t="s">
        <v>93</v>
      </c>
      <c r="B22" s="167"/>
      <c r="C22" s="163">
        <f>+'8 Yr Forecast LT Adj Assump'!C73*-1</f>
        <v>18271.909334460037</v>
      </c>
      <c r="D22" s="168"/>
      <c r="E22" s="175">
        <f>+'8 Yr Forecast LT Adj Assump'!E73*-1</f>
        <v>53271.909334460041</v>
      </c>
      <c r="F22" s="167"/>
      <c r="G22" s="175">
        <f>+'8 Yr Forecast LT Adj Assump'!G73*-1</f>
        <v>53271.92</v>
      </c>
      <c r="H22" s="167"/>
      <c r="I22" s="175">
        <f>+'8 Yr Forecast LT Adj Assump'!I73*-1</f>
        <v>18271.909334460011</v>
      </c>
      <c r="J22" s="167"/>
      <c r="K22" s="175">
        <f>+'8 Yr Forecast LT Adj Assump'!K73*-1</f>
        <v>18271.909334460037</v>
      </c>
      <c r="L22" s="168"/>
      <c r="M22" s="175">
        <f>+'8 Yr Forecast LT Adj Assump'!M73*-1</f>
        <v>14200</v>
      </c>
      <c r="N22" s="167"/>
      <c r="O22" s="175">
        <f>+'8 Yr Forecast LT Adj Assump'!O73*-1</f>
        <v>0</v>
      </c>
      <c r="P22" s="168"/>
      <c r="Q22" s="197">
        <f>+'8 Yr Forecast LT Adj Assump'!Q73*-1</f>
        <v>0</v>
      </c>
      <c r="S22" s="197">
        <f>+'8 Yr Forecast LT Adj Assump'!S73*-1</f>
        <v>0</v>
      </c>
      <c r="U22" s="197">
        <f>+'8 Yr Forecast LT Adj Assump'!U73*-1</f>
        <v>0</v>
      </c>
    </row>
    <row r="23" spans="1:21" ht="14" thickBot="1" x14ac:dyDescent="0.2">
      <c r="A23" s="146"/>
      <c r="B23" s="36"/>
      <c r="C23" s="190"/>
      <c r="D23" s="36"/>
      <c r="E23" s="191"/>
      <c r="F23" s="36"/>
      <c r="G23" s="191"/>
      <c r="H23" s="36"/>
      <c r="I23" s="191"/>
      <c r="J23" s="36"/>
      <c r="K23" s="191"/>
      <c r="L23" s="36"/>
      <c r="M23" s="191"/>
      <c r="N23" s="36"/>
      <c r="O23" s="191"/>
      <c r="P23" s="36"/>
      <c r="Q23" s="191"/>
      <c r="R23" s="36"/>
      <c r="S23" s="192"/>
      <c r="U23" s="192"/>
    </row>
    <row r="24" spans="1:21" ht="18" thickTop="1" thickBot="1" x14ac:dyDescent="0.25">
      <c r="A24" s="203" t="s">
        <v>56</v>
      </c>
      <c r="B24" s="169"/>
      <c r="C24" s="205">
        <f>+C19-C21-C22</f>
        <v>-8098.8493344600247</v>
      </c>
      <c r="D24" s="169"/>
      <c r="E24" s="206">
        <f>+E19-E21-E22</f>
        <v>-75826.909334460041</v>
      </c>
      <c r="F24" s="169"/>
      <c r="G24" s="206">
        <f>+G19-G21-G22</f>
        <v>-79159.990000000005</v>
      </c>
      <c r="H24" s="169"/>
      <c r="I24" s="206">
        <f>+I19-I21-I22</f>
        <v>2478.139165539993</v>
      </c>
      <c r="J24" s="169"/>
      <c r="K24" s="206">
        <f>+K19-K21-K22</f>
        <v>10626.141105539955</v>
      </c>
      <c r="L24" s="169"/>
      <c r="M24" s="206">
        <f>+M19-M21-M22</f>
        <v>5413.4919531999913</v>
      </c>
      <c r="N24" s="169"/>
      <c r="O24" s="206">
        <f>+O19-O21-O22</f>
        <v>23065.714171561995</v>
      </c>
      <c r="P24" s="169"/>
      <c r="Q24" s="206">
        <f>+Q19-Q21-Q22</f>
        <v>26108.764167566667</v>
      </c>
      <c r="R24" s="169"/>
      <c r="S24" s="206">
        <f>+S19-S21-S22</f>
        <v>44041.114734269329</v>
      </c>
      <c r="U24" s="206">
        <f>+U19-U21-U22</f>
        <v>6750.7593236401153</v>
      </c>
    </row>
    <row r="25" spans="1:21" ht="14" thickTop="1" x14ac:dyDescent="0.15">
      <c r="A25" s="146"/>
      <c r="B25" s="36"/>
      <c r="C25" s="190"/>
      <c r="D25" s="36"/>
      <c r="E25" s="191"/>
      <c r="F25" s="36"/>
      <c r="G25" s="191"/>
      <c r="H25" s="36"/>
      <c r="I25" s="191"/>
      <c r="J25" s="36"/>
      <c r="K25" s="191"/>
      <c r="L25" s="36"/>
      <c r="M25" s="191"/>
      <c r="N25" s="36"/>
      <c r="O25" s="191"/>
      <c r="P25" s="36"/>
      <c r="Q25" s="191"/>
      <c r="R25" s="36"/>
      <c r="S25" s="192"/>
      <c r="U25" s="192"/>
    </row>
    <row r="26" spans="1:21" ht="14" x14ac:dyDescent="0.15">
      <c r="A26" s="146" t="s">
        <v>91</v>
      </c>
      <c r="B26" s="36"/>
      <c r="C26" s="186">
        <f>+'8 Yr Forecast LT Adj Assump'!C46+'8 Yr Forecast LT Adj Assump'!C69</f>
        <v>143563.42000000004</v>
      </c>
      <c r="D26" s="170"/>
      <c r="E26" s="187">
        <f>+'8 Yr Forecast LT Adj Assump'!E46+'8 Yr Forecast LT Adj Assump'!E69</f>
        <v>135514.57066554</v>
      </c>
      <c r="F26" s="170"/>
      <c r="G26" s="187">
        <f>+'8 Yr Forecast LT Adj Assump'!G46+'8 Yr Forecast LT Adj Assump'!G69</f>
        <v>135514.56000000003</v>
      </c>
      <c r="H26" s="36"/>
      <c r="I26" s="187">
        <f>+'8 Yr Forecast LT Adj Assump'!I46+'8 Yr Forecast LT Adj Assump'!I69</f>
        <v>56404.570000000022</v>
      </c>
      <c r="J26" s="170"/>
      <c r="K26" s="187">
        <f>+'8 Yr Forecast LT Adj Assump'!K46+'8 Yr Forecast LT Adj Assump'!K69</f>
        <v>58882.709165540029</v>
      </c>
      <c r="L26" s="170"/>
      <c r="M26" s="187">
        <f>+'8 Yr Forecast LT Adj Assump'!M46+'8 Yr Forecast LT Adj Assump'!M69</f>
        <v>69508.85027107998</v>
      </c>
      <c r="N26" s="170"/>
      <c r="O26" s="187">
        <f>+'8 Yr Forecast LT Adj Assump'!O46+'8 Yr Forecast LT Adj Assump'!O69</f>
        <v>74922.342224279972</v>
      </c>
      <c r="P26" s="170"/>
      <c r="Q26" s="187">
        <f>+'8 Yr Forecast LT Adj Assump'!Q46+'8 Yr Forecast LT Adj Assump'!Q69</f>
        <v>97988.056395841966</v>
      </c>
      <c r="R26" s="170"/>
      <c r="S26" s="188">
        <f>+'8 Yr Forecast LT Adj Assump'!S46+'8 Yr Forecast LT Adj Assump'!S69</f>
        <v>124096.82056340863</v>
      </c>
      <c r="U26" s="188">
        <f>+'8 Yr Forecast LT Adj Assump'!U46+'8 Yr Forecast LT Adj Assump'!U69</f>
        <v>168137.93529767796</v>
      </c>
    </row>
    <row r="27" spans="1:21" ht="14" thickBot="1" x14ac:dyDescent="0.2">
      <c r="A27" s="133"/>
      <c r="B27" s="171"/>
      <c r="C27" s="190"/>
      <c r="D27" s="171"/>
      <c r="E27" s="191"/>
      <c r="F27" s="36"/>
      <c r="G27" s="191"/>
      <c r="H27" s="171"/>
      <c r="I27" s="191"/>
      <c r="J27" s="171"/>
      <c r="K27" s="191"/>
      <c r="L27" s="171"/>
      <c r="M27" s="191"/>
      <c r="N27" s="36"/>
      <c r="O27" s="191"/>
      <c r="P27" s="171"/>
      <c r="Q27" s="191"/>
      <c r="R27" s="36"/>
      <c r="S27" s="192"/>
      <c r="U27" s="192"/>
    </row>
    <row r="28" spans="1:21" ht="15" thickBot="1" x14ac:dyDescent="0.2">
      <c r="A28" s="172" t="s">
        <v>92</v>
      </c>
      <c r="B28" s="173"/>
      <c r="C28" s="208">
        <f>+C26+C24</f>
        <v>135464.57066554003</v>
      </c>
      <c r="D28" s="173"/>
      <c r="E28" s="209">
        <f>+E26+E24</f>
        <v>59687.661331079958</v>
      </c>
      <c r="F28" s="173"/>
      <c r="G28" s="209">
        <f>+G26+G24</f>
        <v>56354.570000000022</v>
      </c>
      <c r="H28" s="173"/>
      <c r="I28" s="209">
        <f>+I26+I24</f>
        <v>58882.709165540015</v>
      </c>
      <c r="J28" s="173"/>
      <c r="K28" s="209">
        <f>+K26+K24</f>
        <v>69508.85027107998</v>
      </c>
      <c r="L28" s="173"/>
      <c r="M28" s="209">
        <f>+M26+M24</f>
        <v>74922.342224279972</v>
      </c>
      <c r="N28" s="173"/>
      <c r="O28" s="209">
        <f>+O26+O24</f>
        <v>97988.056395841966</v>
      </c>
      <c r="P28" s="173"/>
      <c r="Q28" s="209">
        <f>+Q26+Q24</f>
        <v>124096.82056340863</v>
      </c>
      <c r="R28" s="173"/>
      <c r="S28" s="210">
        <f>+S26+S24</f>
        <v>168137.93529767796</v>
      </c>
      <c r="T28" s="173"/>
      <c r="U28" s="210">
        <f>+U26+U24</f>
        <v>174888.69462131808</v>
      </c>
    </row>
    <row r="29" spans="1:21" ht="14" thickTop="1" x14ac:dyDescent="0.15">
      <c r="B29"/>
      <c r="C29"/>
      <c r="D29"/>
      <c r="E29"/>
      <c r="F29"/>
      <c r="G29"/>
      <c r="H29"/>
    </row>
    <row r="30" spans="1:21" x14ac:dyDescent="0.15">
      <c r="B30"/>
      <c r="C30"/>
      <c r="D30"/>
      <c r="E30"/>
      <c r="F30"/>
      <c r="G30"/>
      <c r="H30"/>
    </row>
    <row r="31" spans="1:21" x14ac:dyDescent="0.15">
      <c r="B31"/>
      <c r="C31"/>
      <c r="D31"/>
      <c r="E31"/>
      <c r="F31"/>
      <c r="G31"/>
      <c r="H31"/>
    </row>
    <row r="32" spans="1:21" ht="15" customHeight="1" thickBot="1" x14ac:dyDescent="0.2">
      <c r="B32"/>
      <c r="C32"/>
      <c r="D32"/>
      <c r="E32"/>
      <c r="F32"/>
      <c r="G32"/>
      <c r="H32"/>
    </row>
    <row r="33" spans="1:21" ht="20" customHeight="1" thickTop="1" thickBot="1" x14ac:dyDescent="0.25">
      <c r="A33" s="475" t="s">
        <v>96</v>
      </c>
      <c r="B33" s="476"/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  <c r="Q33" s="476"/>
      <c r="R33" s="476"/>
      <c r="S33" s="476"/>
      <c r="T33" s="476"/>
      <c r="U33" s="477"/>
    </row>
    <row r="34" spans="1:21" ht="16.5" customHeight="1" thickBot="1" x14ac:dyDescent="0.25">
      <c r="A34" s="176" t="s">
        <v>0</v>
      </c>
      <c r="B34" s="155"/>
      <c r="C34" s="177" t="s">
        <v>129</v>
      </c>
      <c r="D34" s="156"/>
      <c r="E34" s="178" t="s">
        <v>38</v>
      </c>
      <c r="F34" s="156"/>
      <c r="G34" s="179" t="s">
        <v>39</v>
      </c>
      <c r="H34" s="155"/>
      <c r="I34" s="212" t="s">
        <v>40</v>
      </c>
      <c r="J34" s="155"/>
      <c r="K34" s="213" t="s">
        <v>57</v>
      </c>
      <c r="L34" s="156"/>
      <c r="M34" s="213" t="s">
        <v>58</v>
      </c>
      <c r="N34" s="156"/>
      <c r="O34" s="179" t="s">
        <v>59</v>
      </c>
      <c r="P34" s="156"/>
      <c r="Q34" s="213" t="s">
        <v>66</v>
      </c>
      <c r="R34" s="156"/>
      <c r="S34" s="214" t="s">
        <v>100</v>
      </c>
      <c r="T34" s="156"/>
      <c r="U34" s="214" t="s">
        <v>130</v>
      </c>
    </row>
    <row r="35" spans="1:21" ht="16.5" customHeight="1" thickBot="1" x14ac:dyDescent="0.2">
      <c r="A35" s="180"/>
      <c r="B35" s="153"/>
      <c r="C35" s="181"/>
      <c r="D35" s="154"/>
      <c r="E35" s="182"/>
      <c r="F35" s="154"/>
      <c r="G35" s="183"/>
      <c r="H35" s="153"/>
      <c r="I35" s="183"/>
      <c r="J35" s="153"/>
      <c r="K35" s="183"/>
      <c r="L35" s="154"/>
      <c r="M35" s="183"/>
      <c r="N35" s="154"/>
      <c r="O35" s="183"/>
      <c r="P35" s="154"/>
      <c r="Q35" s="183"/>
      <c r="R35" s="154"/>
      <c r="S35" s="184"/>
      <c r="T35" s="154"/>
      <c r="U35" s="184"/>
    </row>
    <row r="36" spans="1:21" ht="18" customHeight="1" thickBot="1" x14ac:dyDescent="0.2">
      <c r="A36" s="211" t="s">
        <v>2</v>
      </c>
      <c r="B36" s="160"/>
      <c r="C36" s="193">
        <f>+C10</f>
        <v>217840</v>
      </c>
      <c r="D36" s="160"/>
      <c r="E36" s="194">
        <f>+E10</f>
        <v>207000</v>
      </c>
      <c r="F36" s="160"/>
      <c r="G36" s="195">
        <f>+G10</f>
        <v>213027</v>
      </c>
      <c r="H36" s="160"/>
      <c r="I36" s="195">
        <f>+I10</f>
        <v>247800</v>
      </c>
      <c r="J36" s="160"/>
      <c r="K36" s="195">
        <f>+K10</f>
        <v>247800</v>
      </c>
      <c r="L36" s="160"/>
      <c r="M36" s="195">
        <f>+M10</f>
        <v>247800</v>
      </c>
      <c r="N36" s="160"/>
      <c r="O36" s="195">
        <f>+O10</f>
        <v>247800</v>
      </c>
      <c r="P36" s="160"/>
      <c r="Q36" s="195">
        <f>+Q10</f>
        <v>247800</v>
      </c>
      <c r="R36" s="160"/>
      <c r="S36" s="195">
        <f>+S10</f>
        <v>247800</v>
      </c>
      <c r="T36" s="160"/>
      <c r="U36" s="195">
        <f>+U10</f>
        <v>247800</v>
      </c>
    </row>
    <row r="37" spans="1:21" ht="15.75" customHeight="1" thickTop="1" x14ac:dyDescent="0.15">
      <c r="A37" s="143" t="s">
        <v>45</v>
      </c>
      <c r="B37" s="20"/>
      <c r="C37" s="189"/>
      <c r="D37" s="20"/>
      <c r="E37" s="190"/>
      <c r="F37" s="20"/>
      <c r="G37" s="191"/>
      <c r="H37" s="20"/>
      <c r="I37" s="191"/>
      <c r="J37" s="20"/>
      <c r="K37" s="191"/>
      <c r="L37" s="20"/>
      <c r="M37" s="191"/>
      <c r="N37" s="20"/>
      <c r="O37" s="191"/>
      <c r="P37" s="20"/>
      <c r="Q37" s="191"/>
      <c r="R37" s="20"/>
      <c r="S37" s="191"/>
      <c r="T37" s="20"/>
      <c r="U37" s="191"/>
    </row>
    <row r="38" spans="1:21" ht="17.25" customHeight="1" thickBot="1" x14ac:dyDescent="0.2">
      <c r="A38" s="133"/>
      <c r="B38" s="20"/>
      <c r="C38" s="189"/>
      <c r="D38" s="20"/>
      <c r="E38" s="190"/>
      <c r="F38" s="20"/>
      <c r="G38" s="191"/>
      <c r="H38" s="20"/>
      <c r="I38" s="191"/>
      <c r="J38" s="20"/>
      <c r="K38" s="191"/>
      <c r="L38" s="20"/>
      <c r="M38" s="191"/>
      <c r="N38" s="20"/>
      <c r="O38" s="191"/>
      <c r="P38" s="20"/>
      <c r="Q38" s="191"/>
      <c r="R38" s="20"/>
      <c r="S38" s="191"/>
      <c r="T38" s="20"/>
      <c r="U38" s="191"/>
    </row>
    <row r="39" spans="1:21" ht="17.25" customHeight="1" thickBot="1" x14ac:dyDescent="0.2">
      <c r="A39" s="174" t="s">
        <v>23</v>
      </c>
      <c r="B39" s="160"/>
      <c r="C39" s="193">
        <f>+C17</f>
        <v>125563.05999999998</v>
      </c>
      <c r="D39" s="160"/>
      <c r="E39" s="194">
        <f>+E17</f>
        <v>134555</v>
      </c>
      <c r="F39" s="160"/>
      <c r="G39" s="195">
        <f>+G17</f>
        <v>114719.6</v>
      </c>
      <c r="H39" s="160"/>
      <c r="I39" s="195">
        <f>+I17</f>
        <v>121299.9515</v>
      </c>
      <c r="J39" s="160"/>
      <c r="K39" s="195">
        <f>+K17</f>
        <v>126151.94956000001</v>
      </c>
      <c r="L39" s="160"/>
      <c r="M39" s="195">
        <f>+M17</f>
        <v>129936.50804680001</v>
      </c>
      <c r="N39" s="160"/>
      <c r="O39" s="195">
        <f>+O17</f>
        <v>134484.28582843801</v>
      </c>
      <c r="P39" s="160"/>
      <c r="Q39" s="195">
        <f>+Q17</f>
        <v>139191.23583243333</v>
      </c>
      <c r="R39" s="160"/>
      <c r="S39" s="195">
        <f>+S17</f>
        <v>144758.88526573067</v>
      </c>
      <c r="T39" s="160"/>
      <c r="U39" s="195">
        <f>+U17</f>
        <v>150549.24067635988</v>
      </c>
    </row>
    <row r="40" spans="1:21" ht="17.25" customHeight="1" thickTop="1" thickBot="1" x14ac:dyDescent="0.2">
      <c r="A40" s="146"/>
      <c r="B40" s="36"/>
      <c r="C40" s="189"/>
      <c r="D40" s="36"/>
      <c r="E40" s="190"/>
      <c r="F40" s="36"/>
      <c r="G40" s="191"/>
      <c r="H40" s="36"/>
      <c r="I40" s="191"/>
      <c r="J40" s="36"/>
      <c r="K40" s="191"/>
      <c r="L40" s="36"/>
      <c r="M40" s="191"/>
      <c r="N40" s="36"/>
      <c r="O40" s="191"/>
      <c r="P40" s="36"/>
      <c r="Q40" s="191"/>
      <c r="R40" s="36"/>
      <c r="S40" s="191"/>
      <c r="T40" s="36"/>
      <c r="U40" s="191"/>
    </row>
    <row r="41" spans="1:21" ht="17.25" customHeight="1" thickTop="1" x14ac:dyDescent="0.2">
      <c r="A41" s="198" t="s">
        <v>90</v>
      </c>
      <c r="B41" s="164"/>
      <c r="C41" s="199">
        <f>+C36-C39</f>
        <v>92276.940000000017</v>
      </c>
      <c r="D41" s="165"/>
      <c r="E41" s="200">
        <f>+E36-E39</f>
        <v>72445</v>
      </c>
      <c r="F41" s="166"/>
      <c r="G41" s="201">
        <f>+G36-G39</f>
        <v>98307.4</v>
      </c>
      <c r="H41" s="164"/>
      <c r="I41" s="201">
        <f>+I36-I39</f>
        <v>126500.0485</v>
      </c>
      <c r="J41" s="164"/>
      <c r="K41" s="201">
        <f>+K36-K39</f>
        <v>121648.05043999999</v>
      </c>
      <c r="L41" s="165"/>
      <c r="M41" s="201">
        <f>+M36-M39</f>
        <v>117863.49195319999</v>
      </c>
      <c r="N41" s="166"/>
      <c r="O41" s="201">
        <f>+O36-O39</f>
        <v>113315.71417156199</v>
      </c>
      <c r="P41" s="165"/>
      <c r="Q41" s="201">
        <f>+Q36-Q39</f>
        <v>108608.76416756667</v>
      </c>
      <c r="R41" s="166"/>
      <c r="S41" s="201">
        <f>+S36-S39</f>
        <v>103041.11473426933</v>
      </c>
      <c r="T41" s="166"/>
      <c r="U41" s="201">
        <f>+U36-U39</f>
        <v>97250.759323640115</v>
      </c>
    </row>
    <row r="42" spans="1:21" ht="17.25" customHeight="1" x14ac:dyDescent="0.15">
      <c r="A42" s="146"/>
      <c r="B42" s="36"/>
      <c r="C42" s="189"/>
      <c r="D42" s="36"/>
      <c r="E42" s="190"/>
      <c r="F42" s="36"/>
      <c r="G42" s="191"/>
      <c r="H42" s="36"/>
      <c r="I42" s="191"/>
      <c r="J42" s="36"/>
      <c r="K42" s="191"/>
      <c r="L42" s="36"/>
      <c r="M42" s="191"/>
      <c r="N42" s="36"/>
      <c r="O42" s="191"/>
      <c r="P42" s="36"/>
      <c r="Q42" s="191"/>
      <c r="R42" s="36"/>
      <c r="S42" s="191"/>
      <c r="T42" s="36"/>
      <c r="U42" s="191"/>
    </row>
    <row r="43" spans="1:21" ht="17.25" customHeight="1" x14ac:dyDescent="0.15">
      <c r="A43" s="146" t="s">
        <v>55</v>
      </c>
      <c r="B43" s="167"/>
      <c r="C43" s="162">
        <f>+C21</f>
        <v>82103.88</v>
      </c>
      <c r="D43" s="167"/>
      <c r="E43" s="163">
        <f>+E21</f>
        <v>95000</v>
      </c>
      <c r="F43" s="168"/>
      <c r="G43" s="175">
        <f>+G21</f>
        <v>124195.47</v>
      </c>
      <c r="H43" s="167"/>
      <c r="I43" s="175">
        <f>+I21</f>
        <v>105750</v>
      </c>
      <c r="J43" s="167"/>
      <c r="K43" s="175">
        <f>+K21</f>
        <v>92750</v>
      </c>
      <c r="L43" s="167"/>
      <c r="M43" s="175">
        <f>+M21</f>
        <v>98250</v>
      </c>
      <c r="N43" s="168"/>
      <c r="O43" s="175">
        <f>+O21</f>
        <v>90250</v>
      </c>
      <c r="P43" s="167"/>
      <c r="Q43" s="175">
        <f>+Q21</f>
        <v>82500</v>
      </c>
      <c r="R43" s="168"/>
      <c r="S43" s="175">
        <f>+S21</f>
        <v>59000</v>
      </c>
      <c r="T43" s="168"/>
      <c r="U43" s="175">
        <f>+U21</f>
        <v>90500</v>
      </c>
    </row>
    <row r="44" spans="1:21" ht="17.25" customHeight="1" x14ac:dyDescent="0.15">
      <c r="A44" s="146" t="s">
        <v>93</v>
      </c>
      <c r="B44" s="167"/>
      <c r="C44" s="162">
        <f>+C22</f>
        <v>18271.909334460037</v>
      </c>
      <c r="D44" s="167"/>
      <c r="E44" s="163">
        <f>+E22</f>
        <v>53271.909334460041</v>
      </c>
      <c r="F44" s="168"/>
      <c r="G44" s="175">
        <f>+E22</f>
        <v>53271.909334460041</v>
      </c>
      <c r="H44" s="167"/>
      <c r="I44" s="175">
        <f>+G22</f>
        <v>53271.92</v>
      </c>
      <c r="J44" s="167"/>
      <c r="K44" s="175">
        <f>+I22</f>
        <v>18271.909334460011</v>
      </c>
      <c r="L44" s="167"/>
      <c r="M44" s="175">
        <f>+K22</f>
        <v>18271.909334460037</v>
      </c>
      <c r="N44" s="168"/>
      <c r="O44" s="175">
        <f>+M22</f>
        <v>14200</v>
      </c>
      <c r="P44" s="167"/>
      <c r="Q44" s="175">
        <f>+O22</f>
        <v>0</v>
      </c>
      <c r="R44" s="168"/>
      <c r="S44" s="175">
        <f>+Q22</f>
        <v>0</v>
      </c>
      <c r="T44" s="168"/>
      <c r="U44" s="175">
        <f>+S22</f>
        <v>0</v>
      </c>
    </row>
    <row r="45" spans="1:21" ht="17.25" customHeight="1" thickBot="1" x14ac:dyDescent="0.2">
      <c r="A45" s="146"/>
      <c r="B45" s="36"/>
      <c r="C45" s="189"/>
      <c r="D45" s="36"/>
      <c r="E45" s="190"/>
      <c r="F45" s="36"/>
      <c r="G45" s="191"/>
      <c r="H45" s="36"/>
      <c r="I45" s="191"/>
      <c r="J45" s="36"/>
      <c r="K45" s="191"/>
      <c r="L45" s="36"/>
      <c r="M45" s="191"/>
      <c r="N45" s="36"/>
      <c r="O45" s="191"/>
      <c r="P45" s="36"/>
      <c r="Q45" s="191"/>
      <c r="R45" s="36"/>
      <c r="S45" s="191"/>
      <c r="T45" s="36"/>
      <c r="U45" s="191"/>
    </row>
    <row r="46" spans="1:21" ht="18" thickTop="1" thickBot="1" x14ac:dyDescent="0.25">
      <c r="A46" s="203" t="s">
        <v>56</v>
      </c>
      <c r="B46" s="169"/>
      <c r="C46" s="204">
        <f>+C41-C43-C44</f>
        <v>-8098.8493344600247</v>
      </c>
      <c r="D46" s="169"/>
      <c r="E46" s="205">
        <f>+E41-E43-E44</f>
        <v>-75826.909334460041</v>
      </c>
      <c r="F46" s="169"/>
      <c r="G46" s="206">
        <f>+G41-G43-G44</f>
        <v>-79159.979334460048</v>
      </c>
      <c r="H46" s="169"/>
      <c r="I46" s="206">
        <f>+I41-I43-I44</f>
        <v>-32521.871499999994</v>
      </c>
      <c r="J46" s="169"/>
      <c r="K46" s="206">
        <f>+K41-K43-K44</f>
        <v>10626.14110553998</v>
      </c>
      <c r="L46" s="169"/>
      <c r="M46" s="206">
        <f>+M41-M43-M44</f>
        <v>1341.5826187399543</v>
      </c>
      <c r="N46" s="169"/>
      <c r="O46" s="206">
        <f>+O41-O43-O44</f>
        <v>8865.7141715619946</v>
      </c>
      <c r="P46" s="169"/>
      <c r="Q46" s="206">
        <f>+Q41-Q43-Q44</f>
        <v>26108.764167566667</v>
      </c>
      <c r="R46" s="169"/>
      <c r="S46" s="206">
        <f>+S41-S43-S44</f>
        <v>44041.114734269329</v>
      </c>
      <c r="T46" s="169"/>
      <c r="U46" s="206">
        <f>+U41-U43-U44</f>
        <v>6750.7593236401153</v>
      </c>
    </row>
    <row r="47" spans="1:21" ht="14" thickTop="1" x14ac:dyDescent="0.15">
      <c r="A47" s="146"/>
      <c r="B47" s="36"/>
      <c r="C47" s="189"/>
      <c r="D47" s="36"/>
      <c r="E47" s="190"/>
      <c r="F47" s="36"/>
      <c r="G47" s="191"/>
      <c r="H47" s="36"/>
      <c r="I47" s="191"/>
      <c r="J47" s="36"/>
      <c r="K47" s="191"/>
      <c r="L47" s="36"/>
      <c r="M47" s="191"/>
      <c r="N47" s="36"/>
      <c r="O47" s="191"/>
      <c r="P47" s="36"/>
      <c r="Q47" s="191"/>
      <c r="R47" s="36"/>
      <c r="S47" s="191"/>
      <c r="T47" s="36"/>
      <c r="U47" s="191"/>
    </row>
    <row r="48" spans="1:21" ht="14" x14ac:dyDescent="0.15">
      <c r="A48" s="146" t="s">
        <v>91</v>
      </c>
      <c r="B48" s="36"/>
      <c r="C48" s="185">
        <f>+C26</f>
        <v>143563.42000000004</v>
      </c>
      <c r="D48" s="170"/>
      <c r="E48" s="186">
        <f>+E26</f>
        <v>135514.57066554</v>
      </c>
      <c r="F48" s="170"/>
      <c r="G48" s="187">
        <f>+G26</f>
        <v>135514.56000000003</v>
      </c>
      <c r="H48" s="36"/>
      <c r="I48" s="187">
        <f>+I26</f>
        <v>56404.570000000022</v>
      </c>
      <c r="J48" s="170"/>
      <c r="K48" s="187">
        <f>+K26</f>
        <v>58882.709165540029</v>
      </c>
      <c r="L48" s="170"/>
      <c r="M48" s="187">
        <f>+M26</f>
        <v>69508.85027107998</v>
      </c>
      <c r="N48" s="170"/>
      <c r="O48" s="187">
        <f>+O26</f>
        <v>74922.342224279972</v>
      </c>
      <c r="P48" s="170"/>
      <c r="Q48" s="187">
        <f>+Q26</f>
        <v>97988.056395841966</v>
      </c>
      <c r="R48" s="170"/>
      <c r="S48" s="187">
        <f>+S26</f>
        <v>124096.82056340863</v>
      </c>
      <c r="T48" s="170"/>
      <c r="U48" s="187">
        <f>+U26</f>
        <v>168137.93529767796</v>
      </c>
    </row>
    <row r="49" spans="1:21" ht="14" thickBot="1" x14ac:dyDescent="0.2">
      <c r="A49" s="133"/>
      <c r="B49" s="171"/>
      <c r="C49" s="189"/>
      <c r="D49" s="171"/>
      <c r="E49" s="190"/>
      <c r="F49" s="36"/>
      <c r="G49" s="191"/>
      <c r="H49" s="171"/>
      <c r="I49" s="191"/>
      <c r="J49" s="171"/>
      <c r="K49" s="191"/>
      <c r="L49" s="171"/>
      <c r="M49" s="191"/>
      <c r="N49" s="36"/>
      <c r="O49" s="191"/>
      <c r="P49" s="171"/>
      <c r="Q49" s="191"/>
      <c r="R49" s="36"/>
      <c r="S49" s="191"/>
      <c r="T49" s="36"/>
      <c r="U49" s="191"/>
    </row>
    <row r="50" spans="1:21" ht="15" thickBot="1" x14ac:dyDescent="0.2">
      <c r="A50" s="172" t="s">
        <v>92</v>
      </c>
      <c r="B50" s="173"/>
      <c r="C50" s="207">
        <f>+C48+C46</f>
        <v>135464.57066554003</v>
      </c>
      <c r="D50" s="173"/>
      <c r="E50" s="208">
        <f>+E48+E46</f>
        <v>59687.661331079958</v>
      </c>
      <c r="F50" s="173"/>
      <c r="G50" s="209">
        <f>+G48+G46</f>
        <v>56354.580665539979</v>
      </c>
      <c r="H50" s="173"/>
      <c r="I50" s="209">
        <f>+I48+I46</f>
        <v>23882.698500000028</v>
      </c>
      <c r="J50" s="173"/>
      <c r="K50" s="209">
        <f>+K48+K46</f>
        <v>69508.850271080009</v>
      </c>
      <c r="L50" s="173"/>
      <c r="M50" s="209">
        <f>+M48+M46</f>
        <v>70850.432889819931</v>
      </c>
      <c r="N50" s="173"/>
      <c r="O50" s="209">
        <f>+O48+O46</f>
        <v>83788.056395841966</v>
      </c>
      <c r="P50" s="173"/>
      <c r="Q50" s="209">
        <f>+Q48+Q46</f>
        <v>124096.82056340863</v>
      </c>
      <c r="R50" s="173"/>
      <c r="S50" s="209">
        <f>+S48+S46</f>
        <v>168137.93529767796</v>
      </c>
      <c r="T50" s="173"/>
      <c r="U50" s="209">
        <f>+U48+U46</f>
        <v>174888.69462131808</v>
      </c>
    </row>
    <row r="51" spans="1:21" ht="14" thickTop="1" x14ac:dyDescent="0.15"/>
  </sheetData>
  <mergeCells count="2">
    <mergeCell ref="A3:U3"/>
    <mergeCell ref="A33:U33"/>
  </mergeCells>
  <printOptions horizontalCentered="1" verticalCentered="1" gridLines="1"/>
  <pageMargins left="0" right="0" top="0" bottom="0" header="0.3" footer="0.3"/>
  <pageSetup scale="73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Z11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E58" sqref="E58"/>
    </sheetView>
  </sheetViews>
  <sheetFormatPr baseColWidth="10" defaultColWidth="8.83203125" defaultRowHeight="13" x14ac:dyDescent="0.15"/>
  <cols>
    <col min="1" max="1" width="39.5" customWidth="1"/>
    <col min="2" max="2" width="5" customWidth="1"/>
    <col min="3" max="3" width="18.1640625" style="1" customWidth="1"/>
    <col min="4" max="4" width="3.33203125" style="1" customWidth="1"/>
    <col min="5" max="5" width="20.5" style="1" customWidth="1"/>
    <col min="6" max="6" width="3.6640625" style="6" customWidth="1"/>
    <col min="7" max="7" width="19.5" style="6" customWidth="1"/>
    <col min="8" max="8" width="4" style="6" customWidth="1"/>
    <col min="9" max="9" width="19.5" style="6" customWidth="1"/>
    <col min="10" max="10" width="3.33203125" style="6" customWidth="1"/>
    <col min="11" max="11" width="20.5" style="6" customWidth="1"/>
    <col min="12" max="12" width="3.1640625" style="6" customWidth="1"/>
    <col min="13" max="13" width="21.33203125" customWidth="1"/>
    <col min="14" max="14" width="4" customWidth="1"/>
    <col min="15" max="15" width="20.83203125" customWidth="1"/>
    <col min="16" max="16" width="4" customWidth="1"/>
    <col min="17" max="17" width="20.5" customWidth="1"/>
    <col min="18" max="18" width="4" customWidth="1"/>
    <col min="19" max="19" width="21.6640625" customWidth="1"/>
    <col min="20" max="20" width="3.83203125" customWidth="1"/>
    <col min="21" max="21" width="21.5" customWidth="1"/>
    <col min="23" max="23" width="12.83203125" customWidth="1"/>
    <col min="25" max="25" width="14.1640625" customWidth="1"/>
  </cols>
  <sheetData>
    <row r="1" spans="1:21" ht="16" x14ac:dyDescent="0.2">
      <c r="A1" s="9"/>
      <c r="B1" s="9"/>
      <c r="K1" s="221"/>
    </row>
    <row r="2" spans="1:21" ht="15" thickBot="1" x14ac:dyDescent="0.2">
      <c r="A2" s="2"/>
      <c r="B2" s="2"/>
    </row>
    <row r="3" spans="1:21" ht="19" thickTop="1" x14ac:dyDescent="0.2">
      <c r="A3" s="235" t="s">
        <v>110</v>
      </c>
      <c r="B3" s="29"/>
      <c r="C3" s="30"/>
      <c r="D3" s="30"/>
      <c r="E3" s="31" t="s">
        <v>146</v>
      </c>
      <c r="F3" s="32"/>
      <c r="G3" s="32"/>
      <c r="H3" s="32"/>
      <c r="I3" s="32"/>
      <c r="J3" s="32"/>
      <c r="K3" s="32"/>
      <c r="L3" s="32"/>
      <c r="M3" s="52"/>
      <c r="N3" s="52"/>
      <c r="O3" s="52"/>
      <c r="P3" s="52"/>
      <c r="Q3" s="52"/>
      <c r="R3" s="52"/>
      <c r="S3" s="52"/>
      <c r="T3" s="52"/>
      <c r="U3" s="33"/>
    </row>
    <row r="4" spans="1:21" ht="15" thickBot="1" x14ac:dyDescent="0.2">
      <c r="A4" s="34"/>
      <c r="B4" s="3"/>
      <c r="C4" s="4"/>
      <c r="D4" s="4"/>
      <c r="E4" s="4"/>
      <c r="U4" s="35"/>
    </row>
    <row r="5" spans="1:21" ht="17" thickTop="1" x14ac:dyDescent="0.2">
      <c r="A5" s="124" t="s">
        <v>0</v>
      </c>
      <c r="B5" s="330"/>
      <c r="C5" s="451" t="s">
        <v>169</v>
      </c>
      <c r="D5" s="125"/>
      <c r="E5" s="452" t="s">
        <v>139</v>
      </c>
      <c r="F5" s="330"/>
      <c r="G5" s="453" t="s">
        <v>169</v>
      </c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126"/>
    </row>
    <row r="6" spans="1:21" ht="14" thickBot="1" x14ac:dyDescent="0.2">
      <c r="A6" s="128"/>
      <c r="B6" s="14"/>
      <c r="C6" s="362" t="s">
        <v>40</v>
      </c>
      <c r="D6" s="14"/>
      <c r="E6" s="333" t="s">
        <v>57</v>
      </c>
      <c r="F6" s="53"/>
      <c r="G6" s="403" t="s">
        <v>57</v>
      </c>
      <c r="H6" s="53"/>
      <c r="I6" s="129" t="s">
        <v>58</v>
      </c>
      <c r="J6" s="53"/>
      <c r="K6" s="129" t="s">
        <v>59</v>
      </c>
      <c r="L6" s="53"/>
      <c r="M6" s="129" t="s">
        <v>66</v>
      </c>
      <c r="N6" s="53"/>
      <c r="O6" s="129" t="s">
        <v>100</v>
      </c>
      <c r="P6" s="53"/>
      <c r="Q6" s="129" t="s">
        <v>130</v>
      </c>
      <c r="R6" s="332"/>
      <c r="S6" s="129" t="s">
        <v>137</v>
      </c>
      <c r="T6" s="332"/>
      <c r="U6" s="130" t="s">
        <v>147</v>
      </c>
    </row>
    <row r="7" spans="1:21" x14ac:dyDescent="0.15">
      <c r="A7" s="127"/>
      <c r="B7" s="13"/>
      <c r="C7" s="363"/>
      <c r="D7" s="38"/>
      <c r="E7" s="361"/>
      <c r="F7" s="13"/>
      <c r="G7" s="449"/>
      <c r="H7" s="53"/>
      <c r="I7" s="131"/>
      <c r="J7" s="53"/>
      <c r="K7" s="131"/>
      <c r="L7" s="53"/>
      <c r="M7" s="131"/>
      <c r="N7" s="53"/>
      <c r="O7" s="131"/>
      <c r="P7" s="53"/>
      <c r="Q7" s="131"/>
      <c r="R7" s="53"/>
      <c r="S7" s="131"/>
      <c r="T7" s="53"/>
      <c r="U7" s="132"/>
    </row>
    <row r="8" spans="1:21" ht="14" x14ac:dyDescent="0.15">
      <c r="A8" s="133" t="s">
        <v>111</v>
      </c>
      <c r="B8" s="15"/>
      <c r="C8" s="364">
        <v>179140</v>
      </c>
      <c r="D8" s="39"/>
      <c r="E8" s="334">
        <v>172800</v>
      </c>
      <c r="F8" s="15"/>
      <c r="G8" s="404">
        <v>175177</v>
      </c>
      <c r="H8" s="53"/>
      <c r="I8" s="39">
        <f>+$E109</f>
        <v>144000</v>
      </c>
      <c r="J8" s="53"/>
      <c r="K8" s="39">
        <f>+$E109</f>
        <v>144000</v>
      </c>
      <c r="L8" s="53"/>
      <c r="M8" s="39">
        <f>+$E109</f>
        <v>144000</v>
      </c>
      <c r="N8" s="53"/>
      <c r="O8" s="39">
        <f>+$E109</f>
        <v>144000</v>
      </c>
      <c r="P8" s="53"/>
      <c r="Q8" s="39">
        <f>+$E109</f>
        <v>144000</v>
      </c>
      <c r="R8" s="53"/>
      <c r="S8" s="39">
        <f>+$E109</f>
        <v>144000</v>
      </c>
      <c r="T8" s="53"/>
      <c r="U8" s="54">
        <f>+$E109</f>
        <v>144000</v>
      </c>
    </row>
    <row r="9" spans="1:21" ht="14" x14ac:dyDescent="0.15">
      <c r="A9" s="134" t="s">
        <v>31</v>
      </c>
      <c r="B9" s="16"/>
      <c r="C9" s="364">
        <v>7500</v>
      </c>
      <c r="D9" s="47"/>
      <c r="E9" s="334">
        <v>3000</v>
      </c>
      <c r="F9" s="15"/>
      <c r="G9" s="404">
        <v>6000</v>
      </c>
      <c r="H9" s="53"/>
      <c r="I9" s="135">
        <v>3000</v>
      </c>
      <c r="J9" s="53"/>
      <c r="K9" s="135">
        <v>3000</v>
      </c>
      <c r="L9" s="53"/>
      <c r="M9" s="135">
        <v>3000</v>
      </c>
      <c r="N9" s="53"/>
      <c r="O9" s="135">
        <v>3000</v>
      </c>
      <c r="P9" s="53"/>
      <c r="Q9" s="135">
        <v>3000</v>
      </c>
      <c r="R9" s="281"/>
      <c r="S9" s="135">
        <v>3000</v>
      </c>
      <c r="T9" s="281"/>
      <c r="U9" s="55">
        <v>3000</v>
      </c>
    </row>
    <row r="10" spans="1:21" s="7" customFormat="1" ht="15" thickBot="1" x14ac:dyDescent="0.2">
      <c r="A10" s="134" t="s">
        <v>43</v>
      </c>
      <c r="B10" s="17"/>
      <c r="C10" s="364">
        <v>50</v>
      </c>
      <c r="D10" s="47"/>
      <c r="E10" s="334">
        <v>0</v>
      </c>
      <c r="F10" s="15"/>
      <c r="G10" s="404">
        <v>50</v>
      </c>
      <c r="H10" s="53"/>
      <c r="I10" s="135">
        <v>0</v>
      </c>
      <c r="J10" s="53"/>
      <c r="K10" s="135">
        <v>0</v>
      </c>
      <c r="L10" s="53"/>
      <c r="M10" s="135">
        <v>0</v>
      </c>
      <c r="N10" s="53"/>
      <c r="O10" s="135">
        <v>0</v>
      </c>
      <c r="P10" s="53"/>
      <c r="Q10" s="135">
        <v>0</v>
      </c>
      <c r="R10" s="281"/>
      <c r="S10" s="135">
        <v>0</v>
      </c>
      <c r="T10" s="281"/>
      <c r="U10" s="55">
        <v>0</v>
      </c>
    </row>
    <row r="11" spans="1:21" ht="15" thickBot="1" x14ac:dyDescent="0.2">
      <c r="A11" s="136" t="s">
        <v>2</v>
      </c>
      <c r="B11" s="18"/>
      <c r="C11" s="365">
        <v>186690</v>
      </c>
      <c r="D11" s="40"/>
      <c r="E11" s="335">
        <v>175800</v>
      </c>
      <c r="F11" s="137"/>
      <c r="G11" s="405">
        <f>SUM(G8:G10)</f>
        <v>181227</v>
      </c>
      <c r="H11" s="137"/>
      <c r="I11" s="137">
        <f>SUM(I8:I10)</f>
        <v>147000</v>
      </c>
      <c r="J11" s="137"/>
      <c r="K11" s="137">
        <f>SUM(K8:K10)</f>
        <v>147000</v>
      </c>
      <c r="L11" s="137"/>
      <c r="M11" s="137">
        <f>SUM(M8:M10)</f>
        <v>147000</v>
      </c>
      <c r="N11" s="137"/>
      <c r="O11" s="137">
        <f>SUM(O8:O10)</f>
        <v>147000</v>
      </c>
      <c r="P11" s="137"/>
      <c r="Q11" s="137">
        <f>SUM(Q8:Q10)</f>
        <v>147000</v>
      </c>
      <c r="R11" s="53"/>
      <c r="S11" s="137">
        <f>SUM(S8:S10)</f>
        <v>147000</v>
      </c>
      <c r="T11" s="53"/>
      <c r="U11" s="138">
        <f>SUM(U8:U10)</f>
        <v>147000</v>
      </c>
    </row>
    <row r="12" spans="1:21" ht="14" thickTop="1" x14ac:dyDescent="0.15">
      <c r="A12" s="134"/>
      <c r="B12" s="15"/>
      <c r="C12" s="364"/>
      <c r="D12" s="39"/>
      <c r="E12" s="334"/>
      <c r="F12" s="15"/>
      <c r="G12" s="404"/>
      <c r="H12" s="53"/>
      <c r="I12" s="39"/>
      <c r="J12" s="53"/>
      <c r="K12" s="39"/>
      <c r="L12" s="53"/>
      <c r="M12" s="39"/>
      <c r="N12" s="53"/>
      <c r="O12" s="39"/>
      <c r="P12" s="53"/>
      <c r="Q12" s="39"/>
      <c r="R12" s="53"/>
      <c r="S12" s="39"/>
      <c r="T12" s="53"/>
      <c r="U12" s="54"/>
    </row>
    <row r="13" spans="1:21" ht="15" thickBot="1" x14ac:dyDescent="0.2">
      <c r="A13" s="133" t="s">
        <v>25</v>
      </c>
      <c r="B13" s="15"/>
      <c r="C13" s="364">
        <v>0</v>
      </c>
      <c r="D13" s="39"/>
      <c r="E13" s="334">
        <v>0</v>
      </c>
      <c r="F13" s="15"/>
      <c r="G13" s="404">
        <v>0</v>
      </c>
      <c r="H13" s="53"/>
      <c r="I13" s="39">
        <v>0</v>
      </c>
      <c r="J13" s="53"/>
      <c r="K13" s="39">
        <v>0</v>
      </c>
      <c r="L13" s="53"/>
      <c r="M13" s="39">
        <v>0</v>
      </c>
      <c r="N13" s="53"/>
      <c r="O13" s="39">
        <v>0</v>
      </c>
      <c r="P13" s="53"/>
      <c r="Q13" s="39">
        <v>0</v>
      </c>
      <c r="R13" s="53"/>
      <c r="S13" s="39">
        <v>0</v>
      </c>
      <c r="T13" s="53"/>
      <c r="U13" s="54">
        <v>0</v>
      </c>
    </row>
    <row r="14" spans="1:21" s="8" customFormat="1" ht="17" thickBot="1" x14ac:dyDescent="0.25">
      <c r="A14" s="139" t="s">
        <v>2</v>
      </c>
      <c r="B14" s="19"/>
      <c r="C14" s="366">
        <v>186690</v>
      </c>
      <c r="D14" s="41"/>
      <c r="E14" s="336">
        <v>175800</v>
      </c>
      <c r="F14" s="56"/>
      <c r="G14" s="406">
        <f>G11</f>
        <v>181227</v>
      </c>
      <c r="H14" s="57"/>
      <c r="I14" s="41">
        <f>+I11+I13</f>
        <v>147000</v>
      </c>
      <c r="J14" s="57"/>
      <c r="K14" s="41">
        <f>+K11+K13</f>
        <v>147000</v>
      </c>
      <c r="L14" s="57"/>
      <c r="M14" s="41">
        <f>+M11+M13</f>
        <v>147000</v>
      </c>
      <c r="N14" s="57"/>
      <c r="O14" s="41">
        <f>+O11+O13</f>
        <v>147000</v>
      </c>
      <c r="P14" s="57"/>
      <c r="Q14" s="41">
        <f>+Q11+Q13</f>
        <v>147000</v>
      </c>
      <c r="R14" s="57"/>
      <c r="S14" s="41">
        <f>+S11+S13</f>
        <v>147000</v>
      </c>
      <c r="T14" s="57"/>
      <c r="U14" s="140">
        <f>+U11+U13</f>
        <v>147000</v>
      </c>
    </row>
    <row r="15" spans="1:21" ht="14" thickTop="1" x14ac:dyDescent="0.15">
      <c r="A15" s="141"/>
      <c r="B15" s="20"/>
      <c r="C15" s="367"/>
      <c r="D15" s="42"/>
      <c r="E15" s="337"/>
      <c r="F15" s="20"/>
      <c r="G15" s="407"/>
      <c r="H15" s="53"/>
      <c r="I15" s="142"/>
      <c r="J15" s="53"/>
      <c r="K15" s="142"/>
      <c r="L15" s="53"/>
      <c r="M15" s="142"/>
      <c r="N15" s="53"/>
      <c r="O15" s="142"/>
      <c r="P15" s="53"/>
      <c r="Q15" s="142"/>
      <c r="R15" s="53"/>
      <c r="S15" s="142"/>
      <c r="T15" s="53"/>
      <c r="U15" s="58"/>
    </row>
    <row r="16" spans="1:21" ht="17" x14ac:dyDescent="0.15">
      <c r="A16" s="143" t="s">
        <v>3</v>
      </c>
      <c r="B16" s="20"/>
      <c r="C16" s="367"/>
      <c r="D16" s="42"/>
      <c r="E16" s="337"/>
      <c r="F16" s="20"/>
      <c r="G16" s="407"/>
      <c r="H16" s="53"/>
      <c r="I16" s="142"/>
      <c r="J16" s="53"/>
      <c r="K16" s="142"/>
      <c r="L16" s="53"/>
      <c r="M16" s="142"/>
      <c r="N16" s="53"/>
      <c r="O16" s="142"/>
      <c r="P16" s="53"/>
      <c r="Q16" s="142"/>
      <c r="R16" s="53"/>
      <c r="S16" s="142"/>
      <c r="T16" s="53"/>
      <c r="U16" s="58"/>
    </row>
    <row r="17" spans="1:21" ht="14" x14ac:dyDescent="0.15">
      <c r="A17" s="133" t="s">
        <v>4</v>
      </c>
      <c r="B17" s="15"/>
      <c r="C17" s="364">
        <v>17130.04</v>
      </c>
      <c r="D17" s="39"/>
      <c r="E17" s="268">
        <v>17510</v>
      </c>
      <c r="F17" s="15"/>
      <c r="G17" s="404">
        <v>17000.04</v>
      </c>
      <c r="H17" s="53"/>
      <c r="I17" s="39">
        <f t="shared" ref="I17:I22" si="0">+G17*(1+I$95)</f>
        <v>17850.042000000001</v>
      </c>
      <c r="J17" s="53"/>
      <c r="K17" s="39">
        <f t="shared" ref="K17:K22" si="1">+I17*(1+K$95)</f>
        <v>18564.043680000002</v>
      </c>
      <c r="L17" s="53"/>
      <c r="M17" s="39">
        <f t="shared" ref="M17:M22" si="2">+K17*(1+M$95)</f>
        <v>19120.964990400003</v>
      </c>
      <c r="N17" s="53"/>
      <c r="O17" s="39">
        <f t="shared" ref="O17:O22" si="3">+M17*(1+O$95)</f>
        <v>19790.198765064</v>
      </c>
      <c r="P17" s="53"/>
      <c r="Q17" s="39">
        <f t="shared" ref="Q17:Q22" si="4">+O17*(1+Q$95)</f>
        <v>20482.855721841239</v>
      </c>
      <c r="R17" s="53"/>
      <c r="S17" s="39">
        <f t="shared" ref="S17:S22" si="5">+Q17*(1+S$95)</f>
        <v>21302.169950714888</v>
      </c>
      <c r="T17" s="53"/>
      <c r="U17" s="54">
        <f t="shared" ref="U17:U22" si="6">+S17*(1+U$95)</f>
        <v>22154.256748743483</v>
      </c>
    </row>
    <row r="18" spans="1:21" ht="14" x14ac:dyDescent="0.15">
      <c r="A18" s="141" t="s">
        <v>5</v>
      </c>
      <c r="B18" s="21"/>
      <c r="C18" s="364">
        <v>671.92000000000007</v>
      </c>
      <c r="D18" s="39"/>
      <c r="E18" s="268">
        <v>1000</v>
      </c>
      <c r="F18" s="15"/>
      <c r="G18" s="404">
        <v>2529.17</v>
      </c>
      <c r="H18" s="53"/>
      <c r="I18" s="39">
        <v>1000</v>
      </c>
      <c r="J18" s="53"/>
      <c r="K18" s="39">
        <f t="shared" si="1"/>
        <v>1040</v>
      </c>
      <c r="L18" s="53"/>
      <c r="M18" s="39">
        <f t="shared" si="2"/>
        <v>1071.2</v>
      </c>
      <c r="N18" s="53"/>
      <c r="O18" s="39">
        <f t="shared" si="3"/>
        <v>1108.692</v>
      </c>
      <c r="P18" s="53"/>
      <c r="Q18" s="39">
        <f t="shared" si="4"/>
        <v>1147.49622</v>
      </c>
      <c r="R18" s="53"/>
      <c r="S18" s="39">
        <f t="shared" si="5"/>
        <v>1193.3960688</v>
      </c>
      <c r="T18" s="53"/>
      <c r="U18" s="54">
        <f t="shared" si="6"/>
        <v>1241.131911552</v>
      </c>
    </row>
    <row r="19" spans="1:21" ht="14" x14ac:dyDescent="0.15">
      <c r="A19" s="133" t="s">
        <v>6</v>
      </c>
      <c r="B19" s="15"/>
      <c r="C19" s="364">
        <v>391.16999999999996</v>
      </c>
      <c r="D19" s="39"/>
      <c r="E19" s="268">
        <v>515</v>
      </c>
      <c r="F19" s="15"/>
      <c r="G19" s="404">
        <v>760.22</v>
      </c>
      <c r="H19" s="53"/>
      <c r="I19" s="39">
        <f t="shared" si="0"/>
        <v>798.23100000000011</v>
      </c>
      <c r="J19" s="53"/>
      <c r="K19" s="39">
        <f t="shared" si="1"/>
        <v>830.16024000000016</v>
      </c>
      <c r="L19" s="53"/>
      <c r="M19" s="39">
        <f t="shared" si="2"/>
        <v>855.06504720000021</v>
      </c>
      <c r="N19" s="53"/>
      <c r="O19" s="39">
        <f t="shared" si="3"/>
        <v>884.99232385200014</v>
      </c>
      <c r="P19" s="53"/>
      <c r="Q19" s="39">
        <f t="shared" si="4"/>
        <v>915.96705518682006</v>
      </c>
      <c r="R19" s="53"/>
      <c r="S19" s="39">
        <f t="shared" si="5"/>
        <v>952.60573739429287</v>
      </c>
      <c r="T19" s="53"/>
      <c r="U19" s="54">
        <f t="shared" si="6"/>
        <v>990.70996689006461</v>
      </c>
    </row>
    <row r="20" spans="1:21" ht="14" x14ac:dyDescent="0.15">
      <c r="A20" s="141" t="s">
        <v>7</v>
      </c>
      <c r="B20" s="21"/>
      <c r="C20" s="364">
        <v>36949.000000000007</v>
      </c>
      <c r="D20" s="39"/>
      <c r="E20" s="268">
        <v>41655</v>
      </c>
      <c r="F20" s="15"/>
      <c r="G20" s="404">
        <v>37245</v>
      </c>
      <c r="H20" s="53"/>
      <c r="I20" s="39">
        <f t="shared" si="0"/>
        <v>39107.25</v>
      </c>
      <c r="J20" s="53"/>
      <c r="K20" s="39">
        <f t="shared" si="1"/>
        <v>40671.54</v>
      </c>
      <c r="L20" s="53"/>
      <c r="M20" s="39">
        <f t="shared" si="2"/>
        <v>41891.686200000004</v>
      </c>
      <c r="N20" s="53"/>
      <c r="O20" s="39">
        <f t="shared" si="3"/>
        <v>43357.895216999998</v>
      </c>
      <c r="P20" s="53"/>
      <c r="Q20" s="39">
        <f t="shared" si="4"/>
        <v>44875.421549594997</v>
      </c>
      <c r="R20" s="53"/>
      <c r="S20" s="39">
        <f t="shared" si="5"/>
        <v>46670.438411578798</v>
      </c>
      <c r="T20" s="53"/>
      <c r="U20" s="54">
        <f t="shared" si="6"/>
        <v>48537.255948041951</v>
      </c>
    </row>
    <row r="21" spans="1:21" ht="14" x14ac:dyDescent="0.15">
      <c r="A21" s="141" t="s">
        <v>8</v>
      </c>
      <c r="B21" s="21"/>
      <c r="C21" s="364">
        <v>0</v>
      </c>
      <c r="D21" s="39"/>
      <c r="E21" s="268">
        <v>0</v>
      </c>
      <c r="F21" s="15"/>
      <c r="G21" s="404">
        <v>0</v>
      </c>
      <c r="H21" s="53"/>
      <c r="I21" s="39">
        <f t="shared" si="0"/>
        <v>0</v>
      </c>
      <c r="J21" s="53"/>
      <c r="K21" s="39">
        <f t="shared" si="1"/>
        <v>0</v>
      </c>
      <c r="L21" s="53"/>
      <c r="M21" s="39">
        <f t="shared" si="2"/>
        <v>0</v>
      </c>
      <c r="N21" s="53"/>
      <c r="O21" s="39">
        <f t="shared" si="3"/>
        <v>0</v>
      </c>
      <c r="P21" s="53"/>
      <c r="Q21" s="39">
        <f t="shared" si="4"/>
        <v>0</v>
      </c>
      <c r="R21" s="53"/>
      <c r="S21" s="39">
        <f t="shared" si="5"/>
        <v>0</v>
      </c>
      <c r="T21" s="53"/>
      <c r="U21" s="54">
        <f t="shared" si="6"/>
        <v>0</v>
      </c>
    </row>
    <row r="22" spans="1:21" ht="15" thickBot="1" x14ac:dyDescent="0.2">
      <c r="A22" s="144" t="s">
        <v>67</v>
      </c>
      <c r="B22" s="22"/>
      <c r="C22" s="364">
        <v>209.02</v>
      </c>
      <c r="D22" s="39"/>
      <c r="E22" s="268">
        <v>750</v>
      </c>
      <c r="F22" s="15"/>
      <c r="G22" s="404">
        <v>0</v>
      </c>
      <c r="H22" s="53"/>
      <c r="I22" s="39">
        <f t="shared" si="0"/>
        <v>0</v>
      </c>
      <c r="J22" s="53"/>
      <c r="K22" s="39">
        <f t="shared" si="1"/>
        <v>0</v>
      </c>
      <c r="L22" s="53"/>
      <c r="M22" s="39">
        <f t="shared" si="2"/>
        <v>0</v>
      </c>
      <c r="N22" s="53"/>
      <c r="O22" s="39">
        <f t="shared" si="3"/>
        <v>0</v>
      </c>
      <c r="P22" s="53"/>
      <c r="Q22" s="39">
        <f t="shared" si="4"/>
        <v>0</v>
      </c>
      <c r="R22" s="53"/>
      <c r="S22" s="39">
        <f t="shared" si="5"/>
        <v>0</v>
      </c>
      <c r="T22" s="53"/>
      <c r="U22" s="54">
        <f t="shared" si="6"/>
        <v>0</v>
      </c>
    </row>
    <row r="23" spans="1:21" s="8" customFormat="1" ht="14" x14ac:dyDescent="0.15">
      <c r="A23" s="145" t="s">
        <v>9</v>
      </c>
      <c r="B23" s="23"/>
      <c r="C23" s="368">
        <v>55351.15</v>
      </c>
      <c r="D23" s="40"/>
      <c r="E23" s="386">
        <v>61430</v>
      </c>
      <c r="F23" s="59"/>
      <c r="G23" s="408">
        <f>SUM(G17:G22)</f>
        <v>57534.43</v>
      </c>
      <c r="H23" s="57"/>
      <c r="I23" s="40">
        <f>SUM(I17:I22)</f>
        <v>58755.523000000001</v>
      </c>
      <c r="J23" s="57"/>
      <c r="K23" s="40">
        <f>SUM(K17:K22)</f>
        <v>61105.743920000008</v>
      </c>
      <c r="L23" s="57"/>
      <c r="M23" s="40">
        <f>SUM(M17:M22)</f>
        <v>62938.916237600009</v>
      </c>
      <c r="N23" s="57"/>
      <c r="O23" s="40">
        <f>SUM(O17:O22)</f>
        <v>65141.778305915999</v>
      </c>
      <c r="P23" s="57"/>
      <c r="Q23" s="40">
        <f>SUM(Q17:Q22)</f>
        <v>67421.740546623056</v>
      </c>
      <c r="R23" s="57"/>
      <c r="S23" s="40">
        <f>SUM(S17:S22)</f>
        <v>70118.610168487983</v>
      </c>
      <c r="T23" s="57"/>
      <c r="U23" s="283">
        <f>SUM(U17:U22)</f>
        <v>72923.354575227495</v>
      </c>
    </row>
    <row r="24" spans="1:21" x14ac:dyDescent="0.15">
      <c r="A24" s="82"/>
      <c r="B24" s="24"/>
      <c r="C24" s="369"/>
      <c r="D24" s="45"/>
      <c r="E24" s="387"/>
      <c r="F24" s="60"/>
      <c r="G24" s="409"/>
      <c r="H24" s="53"/>
      <c r="I24" s="45"/>
      <c r="J24" s="53"/>
      <c r="K24" s="45"/>
      <c r="L24" s="53"/>
      <c r="M24" s="45"/>
      <c r="N24" s="53"/>
      <c r="O24" s="45"/>
      <c r="P24" s="53"/>
      <c r="Q24" s="45"/>
      <c r="R24" s="53"/>
      <c r="S24" s="45"/>
      <c r="T24" s="53"/>
      <c r="U24" s="284"/>
    </row>
    <row r="25" spans="1:21" ht="14" x14ac:dyDescent="0.15">
      <c r="A25" s="141" t="s">
        <v>10</v>
      </c>
      <c r="B25" s="21"/>
      <c r="C25" s="364">
        <v>218.1</v>
      </c>
      <c r="D25" s="39"/>
      <c r="E25" s="268">
        <v>225</v>
      </c>
      <c r="F25" s="15"/>
      <c r="G25" s="404">
        <v>244.57</v>
      </c>
      <c r="H25" s="53"/>
      <c r="I25" s="39">
        <f>+G25*(1+I$95)</f>
        <v>256.79849999999999</v>
      </c>
      <c r="J25" s="53"/>
      <c r="K25" s="39">
        <f>+I25*(1+K$95)</f>
        <v>267.07044000000002</v>
      </c>
      <c r="L25" s="53"/>
      <c r="M25" s="39">
        <f>+K25*(1+M$95)</f>
        <v>275.08255320000001</v>
      </c>
      <c r="N25" s="53"/>
      <c r="O25" s="39">
        <f>+M25*(1+O$95)</f>
        <v>284.71044256199997</v>
      </c>
      <c r="P25" s="53"/>
      <c r="Q25" s="39">
        <f>+O25*(1+Q$95)</f>
        <v>294.67530805166996</v>
      </c>
      <c r="R25" s="53"/>
      <c r="S25" s="39">
        <f>+Q25*(1+S$95)</f>
        <v>306.46232037373676</v>
      </c>
      <c r="T25" s="53"/>
      <c r="U25" s="54">
        <f>+S25*(1+U$95)</f>
        <v>318.72081318868624</v>
      </c>
    </row>
    <row r="26" spans="1:21" ht="15" thickBot="1" x14ac:dyDescent="0.2">
      <c r="A26" s="144" t="s">
        <v>11</v>
      </c>
      <c r="B26" s="22"/>
      <c r="C26" s="364">
        <v>1519.74</v>
      </c>
      <c r="D26" s="39"/>
      <c r="E26" s="268">
        <v>1575</v>
      </c>
      <c r="F26" s="15"/>
      <c r="G26" s="404">
        <v>1561.25</v>
      </c>
      <c r="H26" s="53"/>
      <c r="I26" s="39">
        <f>+G26*(1+I$95)</f>
        <v>1639.3125</v>
      </c>
      <c r="J26" s="53"/>
      <c r="K26" s="39">
        <f>+I26*(1+K$95)</f>
        <v>1704.885</v>
      </c>
      <c r="L26" s="53"/>
      <c r="M26" s="39">
        <f>+K26*(1+M$95)</f>
        <v>1756.0315499999999</v>
      </c>
      <c r="N26" s="53"/>
      <c r="O26" s="39">
        <f>+M26*(1+O$95)</f>
        <v>1817.4926542499998</v>
      </c>
      <c r="P26" s="53"/>
      <c r="Q26" s="39">
        <f>+O26*(1+Q$95)</f>
        <v>1881.1048971487496</v>
      </c>
      <c r="R26" s="53"/>
      <c r="S26" s="39">
        <f>+Q26*(1+S$95)</f>
        <v>1956.3490930346998</v>
      </c>
      <c r="T26" s="53"/>
      <c r="U26" s="54">
        <f>+S26*(1+U$95)</f>
        <v>2034.6030567560879</v>
      </c>
    </row>
    <row r="27" spans="1:21" s="8" customFormat="1" ht="14" x14ac:dyDescent="0.15">
      <c r="A27" s="145" t="s">
        <v>12</v>
      </c>
      <c r="B27" s="23"/>
      <c r="C27" s="368">
        <v>1737.84</v>
      </c>
      <c r="D27" s="40"/>
      <c r="E27" s="386">
        <v>1800</v>
      </c>
      <c r="F27" s="59"/>
      <c r="G27" s="408">
        <f>G25+G26</f>
        <v>1805.82</v>
      </c>
      <c r="H27" s="57"/>
      <c r="I27" s="40">
        <f>SUM(I25:I26)</f>
        <v>1896.1109999999999</v>
      </c>
      <c r="J27" s="57"/>
      <c r="K27" s="40">
        <f>SUM(K25:K26)</f>
        <v>1971.95544</v>
      </c>
      <c r="L27" s="57"/>
      <c r="M27" s="40">
        <f>SUM(M25:M26)</f>
        <v>2031.1141032</v>
      </c>
      <c r="N27" s="57"/>
      <c r="O27" s="40">
        <f>SUM(O25:O26)</f>
        <v>2102.2030968119998</v>
      </c>
      <c r="P27" s="57"/>
      <c r="Q27" s="40">
        <f>SUM(Q25:Q26)</f>
        <v>2175.7802052004195</v>
      </c>
      <c r="R27" s="57"/>
      <c r="S27" s="40">
        <f>SUM(S25:S26)</f>
        <v>2262.8114134084367</v>
      </c>
      <c r="T27" s="57"/>
      <c r="U27" s="283">
        <f>SUM(U25:U26)</f>
        <v>2353.3238699447743</v>
      </c>
    </row>
    <row r="28" spans="1:21" s="8" customFormat="1" x14ac:dyDescent="0.15">
      <c r="A28" s="144"/>
      <c r="B28" s="26"/>
      <c r="C28" s="364"/>
      <c r="D28" s="39"/>
      <c r="E28" s="268"/>
      <c r="F28" s="61"/>
      <c r="G28" s="96"/>
      <c r="H28" s="57"/>
      <c r="I28" s="39"/>
      <c r="J28" s="57"/>
      <c r="K28" s="39"/>
      <c r="L28" s="57"/>
      <c r="M28" s="39"/>
      <c r="N28" s="57"/>
      <c r="O28" s="39"/>
      <c r="P28" s="57"/>
      <c r="Q28" s="39"/>
      <c r="R28" s="57"/>
      <c r="S28" s="39"/>
      <c r="T28" s="57"/>
      <c r="U28" s="54"/>
    </row>
    <row r="29" spans="1:21" s="7" customFormat="1" ht="14" x14ac:dyDescent="0.15">
      <c r="A29" s="133" t="s">
        <v>13</v>
      </c>
      <c r="B29" s="25"/>
      <c r="C29" s="364">
        <v>9052.48</v>
      </c>
      <c r="D29" s="47"/>
      <c r="E29" s="268">
        <v>9500</v>
      </c>
      <c r="F29" s="15"/>
      <c r="G29" s="404">
        <v>2276.2399999999998</v>
      </c>
      <c r="H29" s="53"/>
      <c r="I29" s="39">
        <f>+G29*(1+I$95)</f>
        <v>2390.0519999999997</v>
      </c>
      <c r="J29" s="53"/>
      <c r="K29" s="39">
        <f>+I29*(1+K$95)</f>
        <v>2485.6540799999998</v>
      </c>
      <c r="L29" s="53"/>
      <c r="M29" s="39">
        <f>+K29*(1+M$95)</f>
        <v>2560.2237023999996</v>
      </c>
      <c r="N29" s="53"/>
      <c r="O29" s="39">
        <f>+M29*(1+O$95)</f>
        <v>2649.8315319839994</v>
      </c>
      <c r="P29" s="53"/>
      <c r="Q29" s="39">
        <f>+O29*(1+Q$95)</f>
        <v>2742.575635603439</v>
      </c>
      <c r="R29" s="281"/>
      <c r="S29" s="39">
        <f>+Q29*(1+S$95)</f>
        <v>2852.2786610275766</v>
      </c>
      <c r="T29" s="281"/>
      <c r="U29" s="54">
        <f>+S29*(1+U$95)</f>
        <v>2966.3698074686799</v>
      </c>
    </row>
    <row r="30" spans="1:21" ht="14" x14ac:dyDescent="0.15">
      <c r="A30" s="133" t="s">
        <v>14</v>
      </c>
      <c r="B30" s="22"/>
      <c r="C30" s="364">
        <v>9781.5</v>
      </c>
      <c r="D30" s="39"/>
      <c r="E30" s="268">
        <v>10000</v>
      </c>
      <c r="F30" s="15"/>
      <c r="G30" s="404">
        <v>11277.6</v>
      </c>
      <c r="H30" s="53"/>
      <c r="I30" s="39">
        <f>+G30*(1+I$95)</f>
        <v>11841.480000000001</v>
      </c>
      <c r="J30" s="53"/>
      <c r="K30" s="39">
        <f>+I30*(1+K$95)</f>
        <v>12315.139200000001</v>
      </c>
      <c r="L30" s="53"/>
      <c r="M30" s="39">
        <f>+K30*(1+M$95)</f>
        <v>12684.593376000003</v>
      </c>
      <c r="N30" s="53"/>
      <c r="O30" s="39">
        <f>+M30*(1+O$95)</f>
        <v>13128.554144160002</v>
      </c>
      <c r="P30" s="53"/>
      <c r="Q30" s="39">
        <f>+O30*(1+Q$95)</f>
        <v>13588.053539205601</v>
      </c>
      <c r="R30" s="53"/>
      <c r="S30" s="39">
        <f>+Q30*(1+S$95)</f>
        <v>14131.575680773825</v>
      </c>
      <c r="T30" s="53"/>
      <c r="U30" s="54">
        <f>+S30*(1+U$95)</f>
        <v>14696.83870800478</v>
      </c>
    </row>
    <row r="31" spans="1:21" ht="14" x14ac:dyDescent="0.15">
      <c r="A31" s="133" t="s">
        <v>15</v>
      </c>
      <c r="B31" s="21"/>
      <c r="C31" s="364">
        <v>23721.949999999997</v>
      </c>
      <c r="D31" s="39"/>
      <c r="E31" s="268">
        <v>25000</v>
      </c>
      <c r="F31" s="15"/>
      <c r="G31" s="404">
        <v>17109.11</v>
      </c>
      <c r="H31" s="53"/>
      <c r="I31" s="39">
        <f>+G31*(1+I$95)+2500</f>
        <v>20464.565500000001</v>
      </c>
      <c r="J31" s="53"/>
      <c r="K31" s="39">
        <f>+I31*(1+K$95)</f>
        <v>21283.148120000002</v>
      </c>
      <c r="L31" s="53"/>
      <c r="M31" s="39">
        <f>+K31*(1+M$95)</f>
        <v>21921.642563600002</v>
      </c>
      <c r="N31" s="53"/>
      <c r="O31" s="39">
        <f>+M31*(1+O$95)</f>
        <v>22688.900053326</v>
      </c>
      <c r="P31" s="53"/>
      <c r="Q31" s="39">
        <f>+O31*(1+Q$95)</f>
        <v>23483.01155519241</v>
      </c>
      <c r="R31" s="53"/>
      <c r="S31" s="39">
        <f>+Q31*(1+S$95)</f>
        <v>24422.332017400106</v>
      </c>
      <c r="T31" s="53"/>
      <c r="U31" s="54">
        <f>+S31*(1+U$95)</f>
        <v>25399.225298096109</v>
      </c>
    </row>
    <row r="32" spans="1:21" ht="15" thickBot="1" x14ac:dyDescent="0.2">
      <c r="A32" s="144" t="s">
        <v>16</v>
      </c>
      <c r="B32" s="22"/>
      <c r="C32" s="364">
        <v>1104</v>
      </c>
      <c r="D32" s="39"/>
      <c r="E32" s="268">
        <v>1200</v>
      </c>
      <c r="F32" s="15"/>
      <c r="G32" s="404">
        <v>0</v>
      </c>
      <c r="H32" s="53"/>
      <c r="I32" s="39">
        <f>+G32*(1+I$95)</f>
        <v>0</v>
      </c>
      <c r="J32" s="53"/>
      <c r="K32" s="39">
        <f>+I32*(1+K$95)</f>
        <v>0</v>
      </c>
      <c r="L32" s="53"/>
      <c r="M32" s="39">
        <f>+K32*(1+M$95)</f>
        <v>0</v>
      </c>
      <c r="N32" s="53"/>
      <c r="O32" s="39">
        <f>+M32*(1+O$95)</f>
        <v>0</v>
      </c>
      <c r="P32" s="53"/>
      <c r="Q32" s="39">
        <f>+O32*(1+Q$95)</f>
        <v>0</v>
      </c>
      <c r="R32" s="53"/>
      <c r="S32" s="39">
        <f>+Q32*(1+S$95)</f>
        <v>0</v>
      </c>
      <c r="T32" s="53"/>
      <c r="U32" s="54">
        <f>+S32*(1+U$95)</f>
        <v>0</v>
      </c>
    </row>
    <row r="33" spans="1:21" s="8" customFormat="1" ht="14" x14ac:dyDescent="0.15">
      <c r="A33" s="145" t="s">
        <v>17</v>
      </c>
      <c r="B33" s="23"/>
      <c r="C33" s="368">
        <v>43659.929999999993</v>
      </c>
      <c r="D33" s="40"/>
      <c r="E33" s="386">
        <v>45700</v>
      </c>
      <c r="F33" s="59"/>
      <c r="G33" s="408">
        <f>SUM(G29:G32)</f>
        <v>30662.95</v>
      </c>
      <c r="H33" s="57"/>
      <c r="I33" s="40">
        <f>SUM(I29:I32)</f>
        <v>34696.097500000003</v>
      </c>
      <c r="J33" s="57"/>
      <c r="K33" s="40">
        <f>SUM(K29:K32)</f>
        <v>36083.941400000003</v>
      </c>
      <c r="L33" s="57"/>
      <c r="M33" s="40">
        <f>SUM(M29:M32)</f>
        <v>37166.459642000002</v>
      </c>
      <c r="N33" s="57"/>
      <c r="O33" s="40">
        <f>SUM(O29:O32)</f>
        <v>38467.285729470001</v>
      </c>
      <c r="P33" s="57"/>
      <c r="Q33" s="40">
        <f>SUM(Q29:Q32)</f>
        <v>39813.640730001454</v>
      </c>
      <c r="R33" s="57"/>
      <c r="S33" s="40">
        <f>SUM(S29:S32)</f>
        <v>41406.186359201507</v>
      </c>
      <c r="T33" s="57"/>
      <c r="U33" s="283">
        <f>SUM(U29:U32)</f>
        <v>43062.433813569573</v>
      </c>
    </row>
    <row r="34" spans="1:21" x14ac:dyDescent="0.15">
      <c r="A34" s="144"/>
      <c r="B34" s="27"/>
      <c r="C34" s="370"/>
      <c r="D34" s="39"/>
      <c r="E34" s="268"/>
      <c r="F34" s="20"/>
      <c r="G34" s="410"/>
      <c r="H34" s="53"/>
      <c r="I34" s="39"/>
      <c r="J34" s="53"/>
      <c r="K34" s="39"/>
      <c r="L34" s="53"/>
      <c r="M34" s="39"/>
      <c r="N34" s="53"/>
      <c r="O34" s="39"/>
      <c r="P34" s="53"/>
      <c r="Q34" s="39"/>
      <c r="R34" s="53"/>
      <c r="S34" s="39"/>
      <c r="T34" s="53"/>
      <c r="U34" s="54"/>
    </row>
    <row r="35" spans="1:21" ht="14" x14ac:dyDescent="0.15">
      <c r="A35" s="141" t="s">
        <v>18</v>
      </c>
      <c r="B35" s="21"/>
      <c r="C35" s="364">
        <v>14700</v>
      </c>
      <c r="D35" s="39"/>
      <c r="E35" s="268">
        <v>15150</v>
      </c>
      <c r="F35" s="15"/>
      <c r="G35" s="404">
        <v>14700</v>
      </c>
      <c r="H35" s="53"/>
      <c r="I35" s="39">
        <f>+G35*(1+I$95)</f>
        <v>15435</v>
      </c>
      <c r="J35" s="53"/>
      <c r="K35" s="39">
        <f>+I35*(1+K$95)</f>
        <v>16052.400000000001</v>
      </c>
      <c r="L35" s="53"/>
      <c r="M35" s="39">
        <f>+K35*(1+M$95)</f>
        <v>16533.972000000002</v>
      </c>
      <c r="N35" s="53"/>
      <c r="O35" s="39">
        <f>+M35*(1+O$95)</f>
        <v>17112.66102</v>
      </c>
      <c r="P35" s="53"/>
      <c r="Q35" s="39">
        <f>+O35*(1+Q$95)</f>
        <v>17711.604155699999</v>
      </c>
      <c r="R35" s="53"/>
      <c r="S35" s="39">
        <f>+Q35*(1+S$95)</f>
        <v>18420.068321928</v>
      </c>
      <c r="T35" s="53"/>
      <c r="U35" s="54">
        <f>+S35*(1+U$95)</f>
        <v>19156.87105480512</v>
      </c>
    </row>
    <row r="36" spans="1:21" ht="14" x14ac:dyDescent="0.15">
      <c r="A36" s="144" t="s">
        <v>19</v>
      </c>
      <c r="B36" s="22"/>
      <c r="C36" s="364">
        <v>7764.14</v>
      </c>
      <c r="D36" s="39"/>
      <c r="E36" s="268">
        <v>8000</v>
      </c>
      <c r="F36" s="15"/>
      <c r="G36" s="404">
        <v>7466.4</v>
      </c>
      <c r="H36" s="53"/>
      <c r="I36" s="39">
        <f>+G36*(1+I$95)</f>
        <v>7839.72</v>
      </c>
      <c r="J36" s="53"/>
      <c r="K36" s="39">
        <f>+I36*(1+K$95)</f>
        <v>8153.3088000000007</v>
      </c>
      <c r="L36" s="53"/>
      <c r="M36" s="39">
        <f>+K36*(1+M$95)</f>
        <v>8397.9080640000011</v>
      </c>
      <c r="N36" s="53"/>
      <c r="O36" s="39">
        <f>+M36*(1+O$95)</f>
        <v>8691.8348462400008</v>
      </c>
      <c r="P36" s="53"/>
      <c r="Q36" s="39">
        <f>+O36*(1+Q$95)</f>
        <v>8996.0490658584004</v>
      </c>
      <c r="R36" s="53"/>
      <c r="S36" s="39">
        <f>+Q36*(1+S$95)</f>
        <v>9355.891028492737</v>
      </c>
      <c r="T36" s="53"/>
      <c r="U36" s="54">
        <f>+S36*(1+U$95)</f>
        <v>9730.1266696324474</v>
      </c>
    </row>
    <row r="37" spans="1:21" ht="14" x14ac:dyDescent="0.15">
      <c r="A37" s="141" t="s">
        <v>20</v>
      </c>
      <c r="B37" s="21"/>
      <c r="C37" s="364">
        <v>1750</v>
      </c>
      <c r="D37" s="39"/>
      <c r="E37" s="268">
        <v>1825</v>
      </c>
      <c r="F37" s="15"/>
      <c r="G37" s="404">
        <v>1950</v>
      </c>
      <c r="H37" s="53"/>
      <c r="I37" s="39">
        <f>+G37*(1+I$95)</f>
        <v>2047.5</v>
      </c>
      <c r="J37" s="53"/>
      <c r="K37" s="39">
        <f>+I37*(1+K$95)</f>
        <v>2129.4</v>
      </c>
      <c r="L37" s="53"/>
      <c r="M37" s="39">
        <f>+K37*(1+M$95)</f>
        <v>2193.2820000000002</v>
      </c>
      <c r="N37" s="53"/>
      <c r="O37" s="39">
        <f>+M37*(1+O$95)</f>
        <v>2270.0468700000001</v>
      </c>
      <c r="P37" s="53"/>
      <c r="Q37" s="39">
        <f>+O37*(1+Q$95)</f>
        <v>2349.4985104500001</v>
      </c>
      <c r="R37" s="53"/>
      <c r="S37" s="39">
        <f>+Q37*(1+S$95)</f>
        <v>2443.4784508680004</v>
      </c>
      <c r="T37" s="53"/>
      <c r="U37" s="54">
        <f>+S37*(1+U$95)</f>
        <v>2541.2175889027208</v>
      </c>
    </row>
    <row r="38" spans="1:21" ht="15" thickBot="1" x14ac:dyDescent="0.2">
      <c r="A38" s="144" t="s">
        <v>21</v>
      </c>
      <c r="B38" s="22"/>
      <c r="C38" s="364">
        <v>600</v>
      </c>
      <c r="D38" s="39"/>
      <c r="E38" s="268">
        <v>650</v>
      </c>
      <c r="F38" s="15"/>
      <c r="G38" s="404">
        <v>600</v>
      </c>
      <c r="H38" s="53"/>
      <c r="I38" s="39">
        <f>+G38*(1+I$95)</f>
        <v>630</v>
      </c>
      <c r="J38" s="53"/>
      <c r="K38" s="39">
        <f>+I38*(1+K$95)</f>
        <v>655.20000000000005</v>
      </c>
      <c r="L38" s="53"/>
      <c r="M38" s="39">
        <f>+K38*(1+M$95)</f>
        <v>674.85600000000011</v>
      </c>
      <c r="N38" s="53"/>
      <c r="O38" s="39">
        <f>+M38*(1+O$95)</f>
        <v>698.4759600000001</v>
      </c>
      <c r="P38" s="53"/>
      <c r="Q38" s="39">
        <f>+O38*(1+Q$95)</f>
        <v>722.92261860000008</v>
      </c>
      <c r="R38" s="53"/>
      <c r="S38" s="39">
        <f>+Q38*(1+S$95)</f>
        <v>751.8395233440001</v>
      </c>
      <c r="T38" s="53"/>
      <c r="U38" s="54">
        <f>+S38*(1+U$95)</f>
        <v>781.91310427776011</v>
      </c>
    </row>
    <row r="39" spans="1:21" s="8" customFormat="1" ht="14" x14ac:dyDescent="0.15">
      <c r="A39" s="145" t="s">
        <v>22</v>
      </c>
      <c r="B39" s="23"/>
      <c r="C39" s="282">
        <v>24814.14</v>
      </c>
      <c r="D39" s="40"/>
      <c r="E39" s="386">
        <v>25625</v>
      </c>
      <c r="F39" s="59"/>
      <c r="G39" s="385">
        <f>SUM(G35:G38)</f>
        <v>24716.400000000001</v>
      </c>
      <c r="H39" s="57"/>
      <c r="I39" s="40">
        <f>SUM(I35:I38)</f>
        <v>25952.22</v>
      </c>
      <c r="J39" s="57"/>
      <c r="K39" s="40">
        <f>SUM(K35:K38)</f>
        <v>26990.308800000003</v>
      </c>
      <c r="L39" s="57"/>
      <c r="M39" s="40">
        <f>SUM(M35:M38)</f>
        <v>27800.018064000004</v>
      </c>
      <c r="N39" s="57"/>
      <c r="O39" s="40">
        <f>SUM(O35:O38)</f>
        <v>28773.01869624</v>
      </c>
      <c r="P39" s="57"/>
      <c r="Q39" s="40">
        <f>SUM(Q35:Q38)</f>
        <v>29780.074350608404</v>
      </c>
      <c r="R39" s="57"/>
      <c r="S39" s="40">
        <f>SUM(S35:S38)</f>
        <v>30971.277324632738</v>
      </c>
      <c r="T39" s="57"/>
      <c r="U39" s="283">
        <f>SUM(U35:U38)</f>
        <v>32210.128417618049</v>
      </c>
    </row>
    <row r="40" spans="1:21" ht="14" thickBot="1" x14ac:dyDescent="0.2">
      <c r="A40" s="144"/>
      <c r="B40" s="27"/>
      <c r="C40" s="370"/>
      <c r="D40" s="39"/>
      <c r="E40" s="268"/>
      <c r="F40" s="20"/>
      <c r="G40" s="410"/>
      <c r="H40" s="53"/>
      <c r="I40" s="39"/>
      <c r="J40" s="53"/>
      <c r="K40" s="39"/>
      <c r="L40" s="53"/>
      <c r="M40" s="39"/>
      <c r="N40" s="53"/>
      <c r="O40" s="39"/>
      <c r="P40" s="53"/>
      <c r="Q40" s="39"/>
      <c r="R40" s="53"/>
      <c r="S40" s="39"/>
      <c r="T40" s="53"/>
      <c r="U40" s="54"/>
    </row>
    <row r="41" spans="1:21" ht="14" x14ac:dyDescent="0.15">
      <c r="A41" s="145" t="s">
        <v>23</v>
      </c>
      <c r="B41" s="23"/>
      <c r="C41" s="282">
        <v>125563.06</v>
      </c>
      <c r="D41" s="40"/>
      <c r="E41" s="388">
        <v>134555</v>
      </c>
      <c r="F41" s="59"/>
      <c r="G41" s="385">
        <f>G23+G27+G33+G39</f>
        <v>114719.6</v>
      </c>
      <c r="H41" s="222"/>
      <c r="I41" s="222">
        <f>SUM(I23+I27+I33+I39)</f>
        <v>121299.9515</v>
      </c>
      <c r="J41" s="222"/>
      <c r="K41" s="222">
        <f>SUM(K23+K27+K33+K39)</f>
        <v>126151.94956000001</v>
      </c>
      <c r="L41" s="222"/>
      <c r="M41" s="222">
        <f>SUM(M23+M27+M33+M39)</f>
        <v>129936.50804680001</v>
      </c>
      <c r="N41" s="222"/>
      <c r="O41" s="222">
        <f>SUM(O23+O27+O33+O39)</f>
        <v>134484.28582843801</v>
      </c>
      <c r="P41" s="53"/>
      <c r="Q41" s="222">
        <f>SUM(Q23+Q27+Q33+Q39)</f>
        <v>139191.23583243333</v>
      </c>
      <c r="R41" s="53"/>
      <c r="S41" s="222">
        <f>SUM(S23+S27+S33+S39)</f>
        <v>144758.88526573067</v>
      </c>
      <c r="T41" s="53"/>
      <c r="U41" s="223">
        <f>SUM(U23+U27+U33+U39)</f>
        <v>150549.24067635988</v>
      </c>
    </row>
    <row r="42" spans="1:21" ht="14" thickBot="1" x14ac:dyDescent="0.2">
      <c r="A42" s="82"/>
      <c r="B42" s="24"/>
      <c r="C42" s="280"/>
      <c r="D42" s="39"/>
      <c r="E42" s="268"/>
      <c r="F42" s="36"/>
      <c r="G42" s="411"/>
      <c r="H42" s="53"/>
      <c r="I42" s="39"/>
      <c r="J42" s="53"/>
      <c r="K42" s="39"/>
      <c r="L42" s="53"/>
      <c r="M42" s="39"/>
      <c r="N42" s="53"/>
      <c r="O42" s="39"/>
      <c r="P42" s="53"/>
      <c r="Q42" s="39"/>
      <c r="R42" s="53"/>
      <c r="S42" s="39"/>
      <c r="T42" s="53"/>
      <c r="U42" s="54"/>
    </row>
    <row r="43" spans="1:21" ht="18" thickTop="1" thickBot="1" x14ac:dyDescent="0.25">
      <c r="A43" s="77" t="s">
        <v>90</v>
      </c>
      <c r="B43" s="88"/>
      <c r="C43" s="371">
        <v>61126.94</v>
      </c>
      <c r="D43" s="48"/>
      <c r="E43" s="389">
        <v>41245</v>
      </c>
      <c r="F43" s="216"/>
      <c r="G43" s="412">
        <f>G14-G41</f>
        <v>66507.399999999994</v>
      </c>
      <c r="H43" s="217"/>
      <c r="I43" s="215">
        <f>+I14-I41</f>
        <v>25700.048500000004</v>
      </c>
      <c r="J43" s="217"/>
      <c r="K43" s="215">
        <f>+K14-K41</f>
        <v>20848.050439999992</v>
      </c>
      <c r="L43" s="217"/>
      <c r="M43" s="215">
        <f>+M14-M41</f>
        <v>17063.491953199991</v>
      </c>
      <c r="N43" s="217"/>
      <c r="O43" s="215">
        <f>+O14-O41</f>
        <v>12515.714171561995</v>
      </c>
      <c r="P43" s="217"/>
      <c r="Q43" s="215">
        <f>+Q14-Q41</f>
        <v>7808.7641675666673</v>
      </c>
      <c r="R43" s="53"/>
      <c r="S43" s="215">
        <f>+S14-S41</f>
        <v>2241.1147342693293</v>
      </c>
      <c r="T43" s="53"/>
      <c r="U43" s="218">
        <f>+U14-U41</f>
        <v>-3549.2406763598847</v>
      </c>
    </row>
    <row r="44" spans="1:21" ht="14" thickBot="1" x14ac:dyDescent="0.2">
      <c r="A44" s="82"/>
      <c r="B44" s="28"/>
      <c r="C44" s="372"/>
      <c r="D44" s="28"/>
      <c r="E44" s="268"/>
      <c r="F44" s="28"/>
      <c r="H44" s="53"/>
      <c r="I44" s="39"/>
      <c r="J44" s="53"/>
      <c r="K44" s="39"/>
      <c r="L44" s="53"/>
      <c r="M44" s="39"/>
      <c r="N44" s="53"/>
      <c r="O44" s="39"/>
      <c r="P44" s="53"/>
      <c r="Q44" s="39"/>
      <c r="R44" s="53"/>
      <c r="S44" s="39"/>
      <c r="T44" s="53"/>
      <c r="U44" s="54"/>
    </row>
    <row r="45" spans="1:21" ht="15" thickTop="1" thickBot="1" x14ac:dyDescent="0.2">
      <c r="A45" s="147" t="s">
        <v>26</v>
      </c>
      <c r="B45" s="37"/>
      <c r="C45" s="287"/>
      <c r="D45" s="43"/>
      <c r="E45" s="84"/>
      <c r="F45" s="62"/>
      <c r="G45" s="481"/>
      <c r="H45" s="76"/>
      <c r="I45" s="43"/>
      <c r="J45" s="43"/>
      <c r="K45" s="43"/>
      <c r="L45" s="43"/>
      <c r="M45" s="43"/>
      <c r="N45" s="43"/>
      <c r="O45" s="43"/>
      <c r="P45" s="43"/>
      <c r="Q45" s="43"/>
      <c r="R45" s="53"/>
      <c r="S45" s="43"/>
      <c r="T45" s="53"/>
      <c r="U45" s="148"/>
    </row>
    <row r="46" spans="1:21" ht="14" thickTop="1" x14ac:dyDescent="0.15">
      <c r="A46" s="82" t="s">
        <v>27</v>
      </c>
      <c r="B46" s="28"/>
      <c r="C46" s="280">
        <v>61965.520000000019</v>
      </c>
      <c r="D46" s="39"/>
      <c r="E46" s="268">
        <v>73092.460000000021</v>
      </c>
      <c r="F46" s="36"/>
      <c r="G46" s="411">
        <v>73092.460000000021</v>
      </c>
      <c r="H46" s="53"/>
      <c r="I46" s="39">
        <f>+G51</f>
        <v>39599.860000000015</v>
      </c>
      <c r="J46" s="53"/>
      <c r="K46" s="39">
        <f>+I51</f>
        <v>45299.90850000002</v>
      </c>
      <c r="L46" s="53"/>
      <c r="M46" s="39">
        <f>+K51</f>
        <v>51147.958940000011</v>
      </c>
      <c r="N46" s="53"/>
      <c r="O46" s="39">
        <f>+M51</f>
        <v>53211.450893200003</v>
      </c>
      <c r="P46" s="53"/>
      <c r="Q46" s="39">
        <f>+O51</f>
        <v>65727.165064761997</v>
      </c>
      <c r="R46" s="53"/>
      <c r="S46" s="39">
        <f>+Q51</f>
        <v>73535.929232328665</v>
      </c>
      <c r="T46" s="53"/>
      <c r="U46" s="54">
        <f>+S51</f>
        <v>75777.043966597994</v>
      </c>
    </row>
    <row r="47" spans="1:21" x14ac:dyDescent="0.15">
      <c r="A47" s="82" t="s">
        <v>28</v>
      </c>
      <c r="B47" s="28"/>
      <c r="C47" s="280">
        <v>61126.94</v>
      </c>
      <c r="D47" s="39"/>
      <c r="E47" s="268">
        <v>41245</v>
      </c>
      <c r="F47" s="36"/>
      <c r="G47" s="411">
        <f>G43</f>
        <v>66507.399999999994</v>
      </c>
      <c r="H47" s="53"/>
      <c r="I47" s="39">
        <f>+I43</f>
        <v>25700.048500000004</v>
      </c>
      <c r="J47" s="53"/>
      <c r="K47" s="39">
        <f>+K43</f>
        <v>20848.050439999992</v>
      </c>
      <c r="L47" s="53"/>
      <c r="M47" s="39">
        <f>+M43</f>
        <v>17063.491953199991</v>
      </c>
      <c r="N47" s="53"/>
      <c r="O47" s="39">
        <f>+O43</f>
        <v>12515.714171561995</v>
      </c>
      <c r="P47" s="53"/>
      <c r="Q47" s="39">
        <f>+Q43</f>
        <v>7808.7641675666673</v>
      </c>
      <c r="R47" s="53"/>
      <c r="S47" s="39">
        <f>+S43</f>
        <v>2241.1147342693293</v>
      </c>
      <c r="T47" s="53"/>
      <c r="U47" s="54">
        <f>+U43</f>
        <v>-3549.2406763598847</v>
      </c>
    </row>
    <row r="48" spans="1:21" x14ac:dyDescent="0.15">
      <c r="A48" s="82" t="s">
        <v>32</v>
      </c>
      <c r="B48" s="28"/>
      <c r="C48" s="280">
        <v>-50000</v>
      </c>
      <c r="D48" s="39"/>
      <c r="E48" s="268">
        <v>-100000</v>
      </c>
      <c r="F48" s="36"/>
      <c r="G48" s="411">
        <v>-100000</v>
      </c>
      <c r="H48" s="53"/>
      <c r="I48" s="39">
        <v>-20000</v>
      </c>
      <c r="J48" s="53"/>
      <c r="K48" s="39">
        <v>-15000</v>
      </c>
      <c r="L48" s="53"/>
      <c r="M48" s="39">
        <v>-15000</v>
      </c>
      <c r="N48" s="53"/>
      <c r="O48" s="39"/>
      <c r="P48" s="53"/>
      <c r="Q48" s="39">
        <v>0</v>
      </c>
      <c r="R48" s="53"/>
      <c r="S48" s="39">
        <v>0</v>
      </c>
      <c r="T48" s="53"/>
      <c r="U48" s="54">
        <v>0</v>
      </c>
    </row>
    <row r="49" spans="1:22" x14ac:dyDescent="0.15">
      <c r="A49" s="82" t="s">
        <v>33</v>
      </c>
      <c r="B49" s="28"/>
      <c r="C49" s="280">
        <v>0</v>
      </c>
      <c r="D49" s="39"/>
      <c r="E49" s="268">
        <v>0</v>
      </c>
      <c r="F49" s="36"/>
      <c r="G49" s="411">
        <v>0</v>
      </c>
      <c r="H49" s="53"/>
      <c r="I49" s="39">
        <v>0</v>
      </c>
      <c r="J49" s="53"/>
      <c r="K49" s="39">
        <v>0</v>
      </c>
      <c r="L49" s="53"/>
      <c r="M49" s="39">
        <v>0</v>
      </c>
      <c r="N49" s="53"/>
      <c r="O49" s="39">
        <v>0</v>
      </c>
      <c r="P49" s="53"/>
      <c r="Q49" s="39">
        <v>0</v>
      </c>
      <c r="R49" s="53"/>
      <c r="S49" s="39">
        <v>0</v>
      </c>
      <c r="T49" s="53"/>
      <c r="U49" s="54">
        <v>0</v>
      </c>
    </row>
    <row r="50" spans="1:22" ht="14" thickBot="1" x14ac:dyDescent="0.2">
      <c r="A50" s="82"/>
      <c r="B50" s="28"/>
      <c r="C50" s="280"/>
      <c r="D50" s="39"/>
      <c r="E50" s="268"/>
      <c r="F50" s="36"/>
      <c r="G50" s="411"/>
      <c r="H50" s="53"/>
      <c r="I50" s="39"/>
      <c r="J50" s="53"/>
      <c r="K50" s="39"/>
      <c r="L50" s="53"/>
      <c r="M50" s="39"/>
      <c r="N50" s="53"/>
      <c r="O50" s="39"/>
      <c r="P50" s="53"/>
      <c r="Q50" s="39"/>
      <c r="R50" s="53"/>
      <c r="S50" s="39"/>
      <c r="T50" s="53"/>
      <c r="U50" s="54"/>
    </row>
    <row r="51" spans="1:22" ht="17" thickBot="1" x14ac:dyDescent="0.25">
      <c r="A51" s="77" t="s">
        <v>29</v>
      </c>
      <c r="B51" s="46"/>
      <c r="C51" s="373">
        <v>73092.460000000021</v>
      </c>
      <c r="D51" s="48"/>
      <c r="E51" s="389">
        <v>14337.460000000021</v>
      </c>
      <c r="F51" s="63"/>
      <c r="G51" s="413">
        <f>SUM(G46:G49)</f>
        <v>39599.860000000015</v>
      </c>
      <c r="H51" s="215"/>
      <c r="I51" s="215">
        <f>SUM(I46:I49)</f>
        <v>45299.90850000002</v>
      </c>
      <c r="J51" s="215"/>
      <c r="K51" s="215">
        <f>SUM(K46:K49)</f>
        <v>51147.958940000011</v>
      </c>
      <c r="L51" s="215"/>
      <c r="M51" s="215">
        <f>SUM(M46:M49)</f>
        <v>53211.450893200003</v>
      </c>
      <c r="N51" s="215"/>
      <c r="O51" s="215">
        <f>SUM(O46:O49)</f>
        <v>65727.165064761997</v>
      </c>
      <c r="P51" s="215"/>
      <c r="Q51" s="215">
        <f>SUM(Q46:Q49)</f>
        <v>73535.929232328665</v>
      </c>
      <c r="R51" s="53"/>
      <c r="S51" s="215">
        <f>SUM(S46:S49)</f>
        <v>75777.043966597994</v>
      </c>
      <c r="T51" s="53"/>
      <c r="U51" s="218">
        <f>SUM(U46:U49)</f>
        <v>72227.803290238109</v>
      </c>
    </row>
    <row r="52" spans="1:22" ht="15" thickTop="1" thickBot="1" x14ac:dyDescent="0.2">
      <c r="A52" s="82"/>
      <c r="B52" s="28"/>
      <c r="C52" s="374"/>
      <c r="D52" s="28"/>
      <c r="E52" s="268"/>
      <c r="F52" s="28"/>
      <c r="G52" s="482"/>
      <c r="H52" s="53"/>
      <c r="I52" s="39"/>
      <c r="J52" s="53"/>
      <c r="K52" s="39"/>
      <c r="L52" s="53"/>
      <c r="M52" s="39"/>
      <c r="N52" s="53"/>
      <c r="O52" s="39"/>
      <c r="P52" s="53"/>
      <c r="Q52" s="39"/>
      <c r="R52" s="53"/>
      <c r="S52" s="39"/>
      <c r="T52" s="53"/>
      <c r="U52" s="54"/>
    </row>
    <row r="53" spans="1:22" ht="17" thickTop="1" x14ac:dyDescent="0.2">
      <c r="A53" s="285" t="s">
        <v>112</v>
      </c>
      <c r="B53" s="74"/>
      <c r="C53" s="375"/>
      <c r="D53" s="74"/>
      <c r="E53" s="263"/>
      <c r="F53" s="74"/>
      <c r="G53" s="404"/>
      <c r="H53" s="80"/>
      <c r="I53" s="150"/>
      <c r="J53" s="80"/>
      <c r="K53" s="150"/>
      <c r="L53" s="80"/>
      <c r="M53" s="150"/>
      <c r="N53" s="80"/>
      <c r="O53" s="150"/>
      <c r="P53" s="80"/>
      <c r="Q53" s="150"/>
      <c r="R53" s="80"/>
      <c r="S53" s="150"/>
      <c r="T53" s="80"/>
      <c r="U53" s="81"/>
    </row>
    <row r="54" spans="1:22" ht="14" thickBot="1" x14ac:dyDescent="0.2">
      <c r="A54" s="236"/>
      <c r="B54" s="78"/>
      <c r="C54" s="376"/>
      <c r="D54" s="78"/>
      <c r="E54" s="390"/>
      <c r="F54" s="78"/>
      <c r="G54" s="404"/>
      <c r="H54" s="65"/>
      <c r="I54" s="149"/>
      <c r="J54" s="65"/>
      <c r="K54" s="149"/>
      <c r="L54" s="65"/>
      <c r="M54" s="149"/>
      <c r="N54" s="65"/>
      <c r="O54" s="149"/>
      <c r="P54" s="65"/>
      <c r="Q54" s="149"/>
      <c r="R54" s="65"/>
      <c r="S54" s="149"/>
      <c r="T54" s="65"/>
      <c r="U54" s="79"/>
    </row>
    <row r="55" spans="1:22" ht="14" thickTop="1" x14ac:dyDescent="0.15">
      <c r="A55" s="237" t="s">
        <v>113</v>
      </c>
      <c r="B55" s="28"/>
      <c r="C55" s="377"/>
      <c r="D55" s="28"/>
      <c r="E55" s="268"/>
      <c r="F55" s="28"/>
      <c r="G55" s="483"/>
      <c r="H55" s="53"/>
      <c r="I55" s="39"/>
      <c r="J55" s="53"/>
      <c r="K55" s="39"/>
      <c r="L55" s="53"/>
      <c r="M55" s="39"/>
      <c r="N55" s="53"/>
      <c r="O55" s="39"/>
      <c r="P55" s="53"/>
      <c r="Q55" s="39"/>
      <c r="R55" s="53"/>
      <c r="S55" s="39"/>
      <c r="T55" s="53"/>
      <c r="U55" s="54"/>
    </row>
    <row r="56" spans="1:22" ht="14" x14ac:dyDescent="0.15">
      <c r="A56" s="133" t="s">
        <v>114</v>
      </c>
      <c r="B56" s="28"/>
      <c r="C56" s="375">
        <v>31200</v>
      </c>
      <c r="D56" s="39"/>
      <c r="E56" s="268">
        <v>31200</v>
      </c>
      <c r="F56" s="16"/>
      <c r="G56" s="404">
        <v>31850</v>
      </c>
      <c r="H56" s="53"/>
      <c r="I56" s="224">
        <f>+C104</f>
        <v>100800</v>
      </c>
      <c r="J56" s="233"/>
      <c r="K56" s="224">
        <f>+I56</f>
        <v>100800</v>
      </c>
      <c r="L56" s="233"/>
      <c r="M56" s="224">
        <f>+K56</f>
        <v>100800</v>
      </c>
      <c r="N56" s="233"/>
      <c r="O56" s="224">
        <f>+M56</f>
        <v>100800</v>
      </c>
      <c r="P56" s="233"/>
      <c r="Q56" s="224">
        <f>+O56</f>
        <v>100800</v>
      </c>
      <c r="R56" s="233"/>
      <c r="S56" s="224">
        <f>+Q56</f>
        <v>100800</v>
      </c>
      <c r="T56" s="233"/>
      <c r="U56" s="234">
        <f>+S56</f>
        <v>100800</v>
      </c>
    </row>
    <row r="57" spans="1:22" ht="14" thickBot="1" x14ac:dyDescent="0.2">
      <c r="A57" s="82" t="s">
        <v>115</v>
      </c>
      <c r="B57" s="28"/>
      <c r="C57" s="375"/>
      <c r="D57" s="243"/>
      <c r="E57" s="268"/>
      <c r="F57" s="243"/>
      <c r="G57" s="404"/>
      <c r="H57" s="244"/>
      <c r="I57" s="39"/>
      <c r="J57" s="244"/>
      <c r="K57" s="39"/>
      <c r="L57" s="244"/>
      <c r="M57" s="39"/>
      <c r="N57" s="244"/>
      <c r="O57" s="39"/>
      <c r="P57" s="244"/>
      <c r="Q57" s="39"/>
      <c r="R57" s="286"/>
      <c r="S57" s="39"/>
      <c r="T57" s="286"/>
      <c r="U57" s="54"/>
    </row>
    <row r="58" spans="1:22" ht="18" thickTop="1" thickBot="1" x14ac:dyDescent="0.25">
      <c r="A58" s="203" t="s">
        <v>116</v>
      </c>
      <c r="B58" s="37"/>
      <c r="C58" s="378">
        <v>31200</v>
      </c>
      <c r="D58" s="245"/>
      <c r="E58" s="391">
        <v>31200</v>
      </c>
      <c r="F58" s="245"/>
      <c r="G58" s="415">
        <f>G56</f>
        <v>31850</v>
      </c>
      <c r="H58" s="246"/>
      <c r="I58" s="246">
        <f t="shared" ref="I58" si="7">SUM(I56:I57)</f>
        <v>100800</v>
      </c>
      <c r="J58" s="246"/>
      <c r="K58" s="246">
        <f t="shared" ref="K58" si="8">SUM(K56:K57)</f>
        <v>100800</v>
      </c>
      <c r="L58" s="246"/>
      <c r="M58" s="246">
        <f t="shared" ref="M58" si="9">SUM(M56:M57)</f>
        <v>100800</v>
      </c>
      <c r="N58" s="246"/>
      <c r="O58" s="246">
        <f t="shared" ref="O58" si="10">SUM(O56:O57)</f>
        <v>100800</v>
      </c>
      <c r="P58" s="246"/>
      <c r="Q58" s="246">
        <f t="shared" ref="Q58" si="11">SUM(Q56:Q57)</f>
        <v>100800</v>
      </c>
      <c r="R58" s="246"/>
      <c r="S58" s="246">
        <f t="shared" ref="S58" si="12">SUM(S56:S57)</f>
        <v>100800</v>
      </c>
      <c r="T58" s="246"/>
      <c r="U58" s="288">
        <f t="shared" ref="U58" si="13">SUM(U56:U57)</f>
        <v>100800</v>
      </c>
    </row>
    <row r="59" spans="1:22" ht="14" thickTop="1" x14ac:dyDescent="0.15">
      <c r="A59" s="82"/>
      <c r="B59" s="28"/>
      <c r="C59" s="375"/>
      <c r="D59" s="28"/>
      <c r="E59" s="268"/>
      <c r="F59" s="28"/>
      <c r="G59" s="414"/>
      <c r="H59" s="53"/>
      <c r="I59" s="39"/>
      <c r="J59" s="53"/>
      <c r="K59" s="39"/>
      <c r="L59" s="53"/>
      <c r="M59" s="39"/>
      <c r="N59" s="53"/>
      <c r="O59" s="39"/>
      <c r="P59" s="53"/>
      <c r="Q59" s="39"/>
      <c r="R59" s="53"/>
      <c r="S59" s="39"/>
      <c r="T59" s="53"/>
      <c r="U59" s="54"/>
    </row>
    <row r="60" spans="1:22" x14ac:dyDescent="0.15">
      <c r="A60" s="237" t="s">
        <v>117</v>
      </c>
      <c r="B60" s="53"/>
      <c r="C60" s="379"/>
      <c r="D60" s="28"/>
      <c r="E60" s="268"/>
      <c r="F60" s="28"/>
      <c r="G60" s="416"/>
      <c r="H60" s="53"/>
      <c r="I60" s="39"/>
      <c r="J60" s="53"/>
      <c r="K60" s="39"/>
      <c r="L60" s="53"/>
      <c r="M60" s="39"/>
      <c r="N60" s="53"/>
      <c r="O60" s="39"/>
      <c r="P60" s="53"/>
      <c r="Q60" s="39"/>
      <c r="R60" s="53"/>
      <c r="S60" s="39"/>
      <c r="T60" s="53"/>
      <c r="U60" s="54"/>
    </row>
    <row r="61" spans="1:22" ht="14" x14ac:dyDescent="0.15">
      <c r="A61" s="238" t="s">
        <v>118</v>
      </c>
      <c r="B61" s="28"/>
      <c r="C61" s="364">
        <v>66080</v>
      </c>
      <c r="D61" s="28"/>
      <c r="E61" s="268">
        <v>78000</v>
      </c>
      <c r="F61" s="53"/>
      <c r="G61" s="404">
        <v>102290.47</v>
      </c>
      <c r="H61" s="53"/>
      <c r="I61" s="39">
        <f>+'Cap Ex fcst'!F23</f>
        <v>65250</v>
      </c>
      <c r="J61" s="53"/>
      <c r="K61" s="39">
        <f>+'Cap Ex fcst'!G23</f>
        <v>56250</v>
      </c>
      <c r="L61" s="53"/>
      <c r="M61" s="39">
        <f>+'Cap Ex fcst'!H23</f>
        <v>56250</v>
      </c>
      <c r="N61" s="53"/>
      <c r="O61" s="39">
        <f>+'Cap Ex fcst'!I23</f>
        <v>56250</v>
      </c>
      <c r="P61" s="53"/>
      <c r="Q61" s="39">
        <f>+'Cap Ex fcst'!J23</f>
        <v>27000</v>
      </c>
      <c r="R61" s="39"/>
      <c r="S61" s="39">
        <f>+'Cap Ex fcst'!K23</f>
        <v>45000</v>
      </c>
      <c r="T61" s="39"/>
      <c r="U61" s="54">
        <f>+'Cap Ex fcst'!L23</f>
        <v>45000</v>
      </c>
      <c r="V61" t="s">
        <v>131</v>
      </c>
    </row>
    <row r="62" spans="1:22" ht="14" x14ac:dyDescent="0.15">
      <c r="A62" s="254" t="s">
        <v>119</v>
      </c>
      <c r="B62" s="28"/>
      <c r="C62" s="364">
        <v>10091.06</v>
      </c>
      <c r="D62" s="39"/>
      <c r="E62" s="268">
        <v>7000</v>
      </c>
      <c r="F62" s="53"/>
      <c r="G62" s="404">
        <v>16105</v>
      </c>
      <c r="H62" s="53"/>
      <c r="I62" s="39">
        <f>+'Cap Ex fcst'!F24</f>
        <v>14000</v>
      </c>
      <c r="J62" s="53"/>
      <c r="K62" s="39">
        <f>+'Cap Ex fcst'!G24</f>
        <v>15000</v>
      </c>
      <c r="L62" s="53"/>
      <c r="M62" s="39">
        <f>+'Cap Ex fcst'!H24</f>
        <v>15500</v>
      </c>
      <c r="N62" s="53"/>
      <c r="O62" s="39">
        <f>+'Cap Ex fcst'!I24</f>
        <v>19000</v>
      </c>
      <c r="P62" s="53"/>
      <c r="Q62" s="39">
        <f>+'Cap Ex fcst'!J24</f>
        <v>25500</v>
      </c>
      <c r="R62" s="39"/>
      <c r="S62" s="39">
        <f>+'Cap Ex fcst'!K24</f>
        <v>9000</v>
      </c>
      <c r="T62" s="39"/>
      <c r="U62" s="54">
        <f>+'Cap Ex fcst'!L24</f>
        <v>15500</v>
      </c>
    </row>
    <row r="63" spans="1:22" ht="14" thickBot="1" x14ac:dyDescent="0.2">
      <c r="A63" s="289" t="s">
        <v>120</v>
      </c>
      <c r="B63" s="28"/>
      <c r="C63" s="364">
        <v>5932.82</v>
      </c>
      <c r="D63" s="28"/>
      <c r="E63" s="268">
        <v>10000</v>
      </c>
      <c r="F63" s="53"/>
      <c r="G63" s="404">
        <v>5800</v>
      </c>
      <c r="H63" s="53"/>
      <c r="I63" s="39">
        <f>+'Cap Ex fcst'!F25</f>
        <v>26500</v>
      </c>
      <c r="J63" s="53"/>
      <c r="K63" s="39">
        <f>+'Cap Ex fcst'!G25</f>
        <v>21500</v>
      </c>
      <c r="L63" s="53"/>
      <c r="M63" s="39">
        <f>+'Cap Ex fcst'!H25</f>
        <v>26500</v>
      </c>
      <c r="N63" s="53"/>
      <c r="O63" s="39">
        <f>+'Cap Ex fcst'!I25</f>
        <v>15000</v>
      </c>
      <c r="P63" s="53"/>
      <c r="Q63" s="39">
        <f>+'Cap Ex fcst'!J25</f>
        <v>30000</v>
      </c>
      <c r="R63" s="39"/>
      <c r="S63" s="39">
        <f>+'Cap Ex fcst'!K25</f>
        <v>5000</v>
      </c>
      <c r="T63" s="39"/>
      <c r="U63" s="54">
        <f>+'Cap Ex fcst'!L25</f>
        <v>30000</v>
      </c>
    </row>
    <row r="64" spans="1:22" ht="17" thickTop="1" x14ac:dyDescent="0.2">
      <c r="A64" s="239" t="s">
        <v>128</v>
      </c>
      <c r="B64" s="240"/>
      <c r="C64" s="373">
        <v>82103.88</v>
      </c>
      <c r="D64" s="74"/>
      <c r="E64" s="392">
        <v>95000</v>
      </c>
      <c r="F64" s="80"/>
      <c r="G64" s="413">
        <f>SUM(G61:G63)</f>
        <v>124195.47</v>
      </c>
      <c r="H64" s="80"/>
      <c r="I64" s="75">
        <f>SUM(I61:I63)</f>
        <v>105750</v>
      </c>
      <c r="J64" s="80"/>
      <c r="K64" s="75">
        <f>SUM(K61:K63)</f>
        <v>92750</v>
      </c>
      <c r="L64" s="80"/>
      <c r="M64" s="75">
        <f>SUM(M61:M63)</f>
        <v>98250</v>
      </c>
      <c r="N64" s="80"/>
      <c r="O64" s="75">
        <f>SUM(O61:O63)</f>
        <v>90250</v>
      </c>
      <c r="P64" s="80"/>
      <c r="Q64" s="75">
        <f>SUM(Q61:Q63)</f>
        <v>82500</v>
      </c>
      <c r="R64" s="80"/>
      <c r="S64" s="75">
        <f>SUM(S61:S63)</f>
        <v>59000</v>
      </c>
      <c r="T64" s="53"/>
      <c r="U64" s="290">
        <f>SUM(U61:U63)</f>
        <v>90500</v>
      </c>
    </row>
    <row r="65" spans="1:21" ht="14" thickBot="1" x14ac:dyDescent="0.2">
      <c r="A65" s="236"/>
      <c r="B65" s="78"/>
      <c r="C65" s="364"/>
      <c r="D65" s="78"/>
      <c r="E65" s="390"/>
      <c r="F65" s="78"/>
      <c r="G65" s="404"/>
      <c r="H65" s="65"/>
      <c r="I65" s="149"/>
      <c r="J65" s="65"/>
      <c r="K65" s="149"/>
      <c r="L65" s="65"/>
      <c r="M65" s="149"/>
      <c r="N65" s="65"/>
      <c r="O65" s="149"/>
      <c r="P65" s="65"/>
      <c r="Q65" s="149"/>
      <c r="R65" s="65"/>
      <c r="S65" s="149"/>
      <c r="T65" s="65"/>
      <c r="U65" s="79"/>
    </row>
    <row r="66" spans="1:21" ht="18" thickTop="1" thickBot="1" x14ac:dyDescent="0.25">
      <c r="A66" s="291" t="s">
        <v>124</v>
      </c>
      <c r="B66" s="241"/>
      <c r="C66" s="378">
        <v>-50903.880000000005</v>
      </c>
      <c r="D66" s="37"/>
      <c r="E66" s="419">
        <v>-63800</v>
      </c>
      <c r="F66" s="418"/>
      <c r="G66" s="415">
        <f>G58-G64</f>
        <v>-92345.47</v>
      </c>
      <c r="H66" s="76"/>
      <c r="I66" s="242">
        <f>+I58-I64</f>
        <v>-4950</v>
      </c>
      <c r="J66" s="76"/>
      <c r="K66" s="242">
        <f>+K58-K64</f>
        <v>8050</v>
      </c>
      <c r="L66" s="76"/>
      <c r="M66" s="242">
        <f>+M58-M64</f>
        <v>2550</v>
      </c>
      <c r="N66" s="76"/>
      <c r="O66" s="242">
        <f>+O58-O64</f>
        <v>10550</v>
      </c>
      <c r="P66" s="76"/>
      <c r="Q66" s="242">
        <f>+Q58-Q64</f>
        <v>18300</v>
      </c>
      <c r="R66" s="76"/>
      <c r="S66" s="242">
        <f>+S58-S64</f>
        <v>41800</v>
      </c>
      <c r="T66" s="76"/>
      <c r="U66" s="292">
        <f>+U58-U64</f>
        <v>10300</v>
      </c>
    </row>
    <row r="67" spans="1:21" ht="15" thickTop="1" thickBot="1" x14ac:dyDescent="0.2">
      <c r="A67" s="82"/>
      <c r="B67" s="28"/>
      <c r="C67" s="380"/>
      <c r="D67" s="28"/>
      <c r="E67" s="268"/>
      <c r="F67" s="28"/>
      <c r="G67" s="404"/>
      <c r="H67" s="53"/>
      <c r="I67" s="39"/>
      <c r="J67" s="53"/>
      <c r="K67" s="39"/>
      <c r="L67" s="53"/>
      <c r="M67" s="39"/>
      <c r="N67" s="53"/>
      <c r="O67" s="39"/>
      <c r="P67" s="53"/>
      <c r="Q67" s="39"/>
      <c r="R67" s="53"/>
      <c r="S67" s="39"/>
      <c r="T67" s="53"/>
      <c r="U67" s="54"/>
    </row>
    <row r="68" spans="1:21" ht="15" thickTop="1" thickBot="1" x14ac:dyDescent="0.2">
      <c r="A68" s="147" t="s">
        <v>30</v>
      </c>
      <c r="B68" s="37"/>
      <c r="C68" s="381"/>
      <c r="D68" s="43"/>
      <c r="E68" s="84"/>
      <c r="F68" s="62"/>
      <c r="G68" s="404"/>
      <c r="H68" s="76"/>
      <c r="I68" s="43"/>
      <c r="J68" s="76"/>
      <c r="K68" s="43"/>
      <c r="L68" s="76"/>
      <c r="M68" s="43"/>
      <c r="N68" s="76"/>
      <c r="O68" s="43"/>
      <c r="P68" s="76"/>
      <c r="Q68" s="43"/>
      <c r="R68" s="76"/>
      <c r="S68" s="43"/>
      <c r="T68" s="76"/>
      <c r="U68" s="148"/>
    </row>
    <row r="69" spans="1:21" ht="14" thickTop="1" x14ac:dyDescent="0.15">
      <c r="A69" s="82" t="s">
        <v>27</v>
      </c>
      <c r="B69" s="28"/>
      <c r="C69" s="382">
        <v>81597.900000000009</v>
      </c>
      <c r="D69" s="39"/>
      <c r="E69" s="268">
        <v>62422.110665539978</v>
      </c>
      <c r="F69" s="36"/>
      <c r="G69" s="481">
        <v>62422.1</v>
      </c>
      <c r="H69" s="53"/>
      <c r="I69" s="39">
        <f>+G74+E91</f>
        <v>16804.710000000006</v>
      </c>
      <c r="J69" s="53"/>
      <c r="K69" s="39">
        <f>+I74+G91</f>
        <v>13582.80066554001</v>
      </c>
      <c r="L69" s="53"/>
      <c r="M69" s="39">
        <f>+K74+I91</f>
        <v>18360.891331079973</v>
      </c>
      <c r="N69" s="53"/>
      <c r="O69" s="39">
        <f>+M74+K91</f>
        <v>21710.891331079969</v>
      </c>
      <c r="P69" s="53"/>
      <c r="Q69" s="39">
        <f>+O74+M91</f>
        <v>32260.891331079969</v>
      </c>
      <c r="R69" s="53"/>
      <c r="S69" s="39">
        <f>+Q74+O91</f>
        <v>50560.891331079969</v>
      </c>
      <c r="T69" s="53"/>
      <c r="U69" s="54">
        <f>+S74+Q91</f>
        <v>92360.891331079969</v>
      </c>
    </row>
    <row r="70" spans="1:21" ht="14" x14ac:dyDescent="0.15">
      <c r="A70" s="141" t="s">
        <v>24</v>
      </c>
      <c r="B70" s="28"/>
      <c r="C70" s="383">
        <v>50000</v>
      </c>
      <c r="D70" s="39"/>
      <c r="E70" s="299">
        <v>100000</v>
      </c>
      <c r="F70" s="36"/>
      <c r="G70" s="411">
        <v>100000</v>
      </c>
      <c r="H70" s="53"/>
      <c r="I70" s="44">
        <f>+I48*-1</f>
        <v>20000</v>
      </c>
      <c r="J70" s="53"/>
      <c r="K70" s="44">
        <f>+K48*-1</f>
        <v>15000</v>
      </c>
      <c r="L70" s="53"/>
      <c r="M70" s="44">
        <f>+M48*-1</f>
        <v>15000</v>
      </c>
      <c r="N70" s="53"/>
      <c r="O70" s="44">
        <f>+O48*-1</f>
        <v>0</v>
      </c>
      <c r="P70" s="53"/>
      <c r="Q70" s="44">
        <f>+Q48*-1</f>
        <v>0</v>
      </c>
      <c r="R70" s="53"/>
      <c r="S70" s="44">
        <f>+S48*-1</f>
        <v>0</v>
      </c>
      <c r="T70" s="53"/>
      <c r="U70" s="64">
        <f>+U48*-1</f>
        <v>0</v>
      </c>
    </row>
    <row r="71" spans="1:21" ht="14" x14ac:dyDescent="0.15">
      <c r="A71" s="141" t="s">
        <v>121</v>
      </c>
      <c r="B71" s="21"/>
      <c r="C71" s="383">
        <v>31200</v>
      </c>
      <c r="D71" s="44"/>
      <c r="E71" s="299">
        <v>31200</v>
      </c>
      <c r="F71" s="20"/>
      <c r="G71" s="411">
        <v>31850</v>
      </c>
      <c r="H71" s="53"/>
      <c r="I71" s="44">
        <f>+I58</f>
        <v>100800</v>
      </c>
      <c r="J71" s="53"/>
      <c r="K71" s="44">
        <f>+K58</f>
        <v>100800</v>
      </c>
      <c r="L71" s="53"/>
      <c r="M71" s="44">
        <f>+M58</f>
        <v>100800</v>
      </c>
      <c r="N71" s="53"/>
      <c r="O71" s="44">
        <f>+O58</f>
        <v>100800</v>
      </c>
      <c r="P71" s="53"/>
      <c r="Q71" s="44">
        <f>+Q58</f>
        <v>100800</v>
      </c>
      <c r="R71" s="53"/>
      <c r="S71" s="44">
        <f>+S56</f>
        <v>100800</v>
      </c>
      <c r="T71" s="53"/>
      <c r="U71" s="64">
        <f>+U56</f>
        <v>100800</v>
      </c>
    </row>
    <row r="72" spans="1:21" ht="14" x14ac:dyDescent="0.15">
      <c r="A72" s="141" t="s">
        <v>122</v>
      </c>
      <c r="B72" s="21"/>
      <c r="C72" s="383">
        <v>-82103.88</v>
      </c>
      <c r="D72" s="39"/>
      <c r="E72" s="299">
        <v>-95000</v>
      </c>
      <c r="F72" s="20"/>
      <c r="G72" s="411">
        <f>-G64</f>
        <v>-124195.47</v>
      </c>
      <c r="H72" s="53"/>
      <c r="I72" s="44">
        <f>+I64*-1</f>
        <v>-105750</v>
      </c>
      <c r="J72" s="53"/>
      <c r="K72" s="44">
        <f>+K64*-1</f>
        <v>-92750</v>
      </c>
      <c r="L72" s="53"/>
      <c r="M72" s="44">
        <f>+M64*-1</f>
        <v>-98250</v>
      </c>
      <c r="N72" s="53"/>
      <c r="O72" s="44">
        <f>+O64*-1</f>
        <v>-90250</v>
      </c>
      <c r="P72" s="53"/>
      <c r="Q72" s="44">
        <f>+Q64*-1</f>
        <v>-82500</v>
      </c>
      <c r="R72" s="53"/>
      <c r="S72" s="44">
        <f>+S64*-1</f>
        <v>-59000</v>
      </c>
      <c r="T72" s="53"/>
      <c r="U72" s="44">
        <f>+U64*-1</f>
        <v>-90500</v>
      </c>
    </row>
    <row r="73" spans="1:21" ht="15" thickBot="1" x14ac:dyDescent="0.2">
      <c r="A73" s="247" t="s">
        <v>123</v>
      </c>
      <c r="B73" s="21"/>
      <c r="C73" s="384">
        <v>-18271.909334460037</v>
      </c>
      <c r="D73" s="39"/>
      <c r="E73" s="299">
        <v>-53271.909334460041</v>
      </c>
      <c r="F73" s="53"/>
      <c r="G73" s="484">
        <v>-53271.92</v>
      </c>
      <c r="H73" s="53"/>
      <c r="I73" s="44">
        <f>+I89</f>
        <v>-18271.909334460011</v>
      </c>
      <c r="J73" s="53"/>
      <c r="K73" s="44">
        <f>+K89</f>
        <v>-18271.909334460037</v>
      </c>
      <c r="L73" s="53"/>
      <c r="M73" s="44">
        <f>+M89</f>
        <v>-14200</v>
      </c>
      <c r="N73" s="53"/>
      <c r="O73" s="44">
        <f>+Q89</f>
        <v>0</v>
      </c>
      <c r="P73" s="53"/>
      <c r="Q73" s="293">
        <f>+Q89</f>
        <v>0</v>
      </c>
      <c r="R73" s="53"/>
      <c r="S73" s="53"/>
      <c r="T73" s="53"/>
      <c r="U73" s="85">
        <f>+S89</f>
        <v>0</v>
      </c>
    </row>
    <row r="74" spans="1:21" ht="18" thickTop="1" thickBot="1" x14ac:dyDescent="0.25">
      <c r="A74" s="248" t="s">
        <v>29</v>
      </c>
      <c r="B74" s="46"/>
      <c r="C74" s="371">
        <v>62422.110665539978</v>
      </c>
      <c r="D74" s="48"/>
      <c r="E74" s="454">
        <v>45350.201331079938</v>
      </c>
      <c r="F74"/>
      <c r="G74" s="413">
        <f>SUM(G69:G73)</f>
        <v>16804.710000000006</v>
      </c>
      <c r="H74" s="219"/>
      <c r="I74" s="219">
        <f>SUM(I69:I73)</f>
        <v>13582.80066554001</v>
      </c>
      <c r="J74" s="219"/>
      <c r="K74" s="219">
        <f>SUM(K69:K73)</f>
        <v>18360.891331079973</v>
      </c>
      <c r="L74" s="219"/>
      <c r="M74" s="219">
        <f>SUM(M69:M73)</f>
        <v>21710.891331079969</v>
      </c>
      <c r="N74" s="219"/>
      <c r="O74" s="219">
        <f>SUM(O69:O73)</f>
        <v>32260.891331079969</v>
      </c>
      <c r="P74" s="219"/>
      <c r="Q74" s="219">
        <f>SUM(Q69:Q73)</f>
        <v>50560.891331079969</v>
      </c>
      <c r="R74" s="53"/>
      <c r="S74" s="219">
        <f>SUM(S69:S73)</f>
        <v>92360.891331079969</v>
      </c>
      <c r="T74" s="53"/>
      <c r="U74" s="220">
        <f>SUM(U69:U73)</f>
        <v>102660.89133107997</v>
      </c>
    </row>
    <row r="75" spans="1:21" ht="14" thickBot="1" x14ac:dyDescent="0.2">
      <c r="A75" s="151"/>
      <c r="B75" s="21"/>
      <c r="C75" s="338"/>
      <c r="D75" s="39"/>
      <c r="E75" s="39"/>
      <c r="F75" s="20"/>
      <c r="G75" s="39"/>
      <c r="H75" s="53"/>
      <c r="I75" s="39"/>
      <c r="J75" s="53"/>
      <c r="K75" s="39"/>
      <c r="L75" s="53"/>
      <c r="M75" s="39"/>
      <c r="N75" s="53"/>
      <c r="O75" s="39"/>
      <c r="P75" s="53"/>
      <c r="Q75" s="39"/>
      <c r="R75" s="53"/>
      <c r="S75" s="39"/>
      <c r="T75" s="53"/>
      <c r="U75" s="54"/>
    </row>
    <row r="76" spans="1:21" ht="20" thickTop="1" thickBot="1" x14ac:dyDescent="0.25">
      <c r="A76" s="86" t="s">
        <v>34</v>
      </c>
      <c r="B76" s="83"/>
      <c r="C76" s="276">
        <v>135514.57066554</v>
      </c>
      <c r="D76" s="84"/>
      <c r="E76" s="276">
        <v>59687.661331079958</v>
      </c>
      <c r="F76" s="276"/>
      <c r="G76" s="276">
        <v>55674.67</v>
      </c>
      <c r="H76" s="276"/>
      <c r="I76" s="276">
        <f>+I74+I51</f>
        <v>58882.709165540029</v>
      </c>
      <c r="J76" s="276"/>
      <c r="K76" s="276">
        <f>+K74+K51</f>
        <v>69508.85027107998</v>
      </c>
      <c r="L76" s="276"/>
      <c r="M76" s="276">
        <f>+M74+M51</f>
        <v>74922.342224279972</v>
      </c>
      <c r="N76" s="276"/>
      <c r="O76" s="276">
        <f>+O74+O51</f>
        <v>97988.056395841966</v>
      </c>
      <c r="P76" s="276"/>
      <c r="Q76" s="276">
        <f>+Q74+Q51</f>
        <v>124096.82056340863</v>
      </c>
      <c r="R76" s="294"/>
      <c r="S76" s="276">
        <f>+S74+S51</f>
        <v>168137.93529767796</v>
      </c>
      <c r="T76" s="294"/>
      <c r="U76" s="277">
        <f>+U74+U51</f>
        <v>174888.69462131808</v>
      </c>
    </row>
    <row r="77" spans="1:21" ht="15" thickTop="1" thickBot="1" x14ac:dyDescent="0.2">
      <c r="A77" s="261"/>
      <c r="B77" s="262"/>
      <c r="C77" s="263"/>
      <c r="D77" s="262"/>
      <c r="E77" s="263"/>
      <c r="F77" s="263"/>
      <c r="G77" s="263"/>
      <c r="H77" s="262"/>
      <c r="I77" s="263"/>
      <c r="J77" s="264"/>
      <c r="K77" s="263"/>
      <c r="L77" s="264"/>
      <c r="M77" s="263"/>
      <c r="N77" s="264"/>
      <c r="O77" s="263"/>
      <c r="P77" s="264"/>
      <c r="Q77" s="263"/>
      <c r="R77" s="264"/>
      <c r="S77" s="263"/>
      <c r="T77" s="264"/>
      <c r="U77" s="265"/>
    </row>
    <row r="78" spans="1:21" ht="20" thickTop="1" thickBot="1" x14ac:dyDescent="0.25">
      <c r="A78" s="86" t="s">
        <v>126</v>
      </c>
      <c r="B78" s="83"/>
      <c r="C78" s="273">
        <f>+C66+C43+C73</f>
        <v>-8048.8493344600392</v>
      </c>
      <c r="D78" s="274"/>
      <c r="E78" s="273">
        <f>+E66+E43+E73</f>
        <v>-75826.909334460041</v>
      </c>
      <c r="F78" s="273"/>
      <c r="G78" s="273">
        <f>G14-G41+G56-G64</f>
        <v>-25838.070000000007</v>
      </c>
      <c r="H78" s="274"/>
      <c r="I78" s="273">
        <f>+I66+I43+I73</f>
        <v>2478.139165539993</v>
      </c>
      <c r="J78" s="275"/>
      <c r="K78" s="273">
        <f>+K66+K43+K73</f>
        <v>10626.141105539955</v>
      </c>
      <c r="L78" s="275"/>
      <c r="M78" s="273">
        <f>+M66+M43+M73</f>
        <v>5413.4919531999913</v>
      </c>
      <c r="N78" s="275"/>
      <c r="O78" s="273">
        <f>+O66+O43+O73</f>
        <v>23065.714171561995</v>
      </c>
      <c r="P78" s="275"/>
      <c r="Q78" s="273">
        <f>+Q66+Q43+Q73</f>
        <v>26108.764167566667</v>
      </c>
      <c r="R78" s="275"/>
      <c r="S78" s="273">
        <f>+S66+S43+S73</f>
        <v>44041.114734269329</v>
      </c>
      <c r="T78" s="275"/>
      <c r="U78" s="273">
        <f>+U66+U43+U73</f>
        <v>6750.7593236401153</v>
      </c>
    </row>
    <row r="79" spans="1:21" ht="14" thickTop="1" x14ac:dyDescent="0.15">
      <c r="A79" s="266"/>
      <c r="B79" s="267"/>
      <c r="C79" s="268"/>
      <c r="D79" s="267"/>
      <c r="E79" s="268"/>
      <c r="F79" s="268"/>
      <c r="G79" s="268"/>
      <c r="H79" s="267"/>
      <c r="I79" s="268"/>
      <c r="J79" s="269"/>
      <c r="K79" s="268"/>
      <c r="L79" s="269"/>
      <c r="M79" s="268"/>
      <c r="N79" s="269"/>
      <c r="O79" s="268"/>
      <c r="P79" s="269"/>
      <c r="Q79" s="268"/>
      <c r="R79" s="269"/>
      <c r="S79" s="268"/>
      <c r="T79" s="269"/>
      <c r="U79" s="295"/>
    </row>
    <row r="80" spans="1:21" x14ac:dyDescent="0.15">
      <c r="A80" s="266"/>
      <c r="B80" s="267"/>
      <c r="C80" s="268"/>
      <c r="D80" s="267"/>
      <c r="E80" s="268"/>
      <c r="F80" s="268"/>
      <c r="G80" s="268"/>
      <c r="H80" s="267"/>
      <c r="I80" s="268"/>
      <c r="J80" s="267"/>
      <c r="K80" s="268"/>
      <c r="L80" s="269"/>
      <c r="M80" s="268"/>
      <c r="N80" s="269"/>
      <c r="O80" s="268"/>
      <c r="P80" s="269"/>
      <c r="Q80" s="268"/>
      <c r="R80" s="269"/>
      <c r="S80" s="268"/>
      <c r="T80" s="269"/>
      <c r="U80" s="295"/>
    </row>
    <row r="81" spans="1:26" ht="14" x14ac:dyDescent="0.15">
      <c r="A81" s="266" t="s">
        <v>84</v>
      </c>
      <c r="B81" s="267"/>
      <c r="C81" s="296"/>
      <c r="D81" s="296"/>
      <c r="E81" s="268">
        <v>0</v>
      </c>
      <c r="F81" s="267"/>
      <c r="G81" s="297" t="s">
        <v>87</v>
      </c>
      <c r="H81" s="268"/>
      <c r="I81" s="268"/>
      <c r="J81" s="267"/>
      <c r="K81" s="268"/>
      <c r="L81" s="269"/>
      <c r="M81" s="268"/>
      <c r="N81" s="269"/>
      <c r="O81" s="268"/>
      <c r="P81" s="269"/>
      <c r="Q81" s="268"/>
      <c r="R81" s="269"/>
      <c r="S81" s="268"/>
      <c r="T81" s="269"/>
      <c r="U81" s="295"/>
    </row>
    <row r="82" spans="1:26" ht="14" x14ac:dyDescent="0.15">
      <c r="A82" s="266" t="s">
        <v>86</v>
      </c>
      <c r="B82" s="267"/>
      <c r="C82" s="296"/>
      <c r="D82" s="296"/>
      <c r="E82" s="268">
        <f>+C66+C43</f>
        <v>10223.059999999998</v>
      </c>
      <c r="F82" s="267"/>
      <c r="G82" s="298" t="s">
        <v>88</v>
      </c>
      <c r="H82" s="268"/>
      <c r="I82" s="268"/>
      <c r="J82" s="267"/>
      <c r="K82" s="268"/>
      <c r="L82" s="269"/>
      <c r="M82" s="268"/>
      <c r="N82" s="269"/>
      <c r="O82" s="268"/>
      <c r="P82" s="269"/>
      <c r="Q82" s="268"/>
      <c r="R82" s="269"/>
      <c r="S82" s="268"/>
      <c r="T82" s="269"/>
      <c r="U82" s="295"/>
    </row>
    <row r="83" spans="1:26" ht="15" thickBot="1" x14ac:dyDescent="0.2">
      <c r="A83" s="266" t="s">
        <v>85</v>
      </c>
      <c r="B83" s="269"/>
      <c r="C83" s="296"/>
      <c r="D83" s="296"/>
      <c r="E83" s="299">
        <f>+C73</f>
        <v>-18271.909334460037</v>
      </c>
      <c r="F83" s="269"/>
      <c r="G83" s="298" t="s">
        <v>99</v>
      </c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300"/>
    </row>
    <row r="84" spans="1:26" ht="15" thickBot="1" x14ac:dyDescent="0.2">
      <c r="A84" s="254" t="s">
        <v>52</v>
      </c>
      <c r="B84" s="269"/>
      <c r="C84" s="301"/>
      <c r="D84" s="296"/>
      <c r="E84" s="302">
        <f>SUM(E81:E83)</f>
        <v>-8048.8493344600392</v>
      </c>
      <c r="F84" s="269"/>
      <c r="G84" s="303"/>
      <c r="H84" s="269"/>
      <c r="I84" s="269"/>
      <c r="J84" s="269"/>
      <c r="K84" s="269"/>
      <c r="L84" s="269"/>
      <c r="M84" s="269"/>
      <c r="N84" s="269"/>
      <c r="O84" s="269"/>
      <c r="P84" s="269"/>
      <c r="Q84" s="269"/>
      <c r="R84" s="269"/>
      <c r="S84" s="269"/>
      <c r="T84" s="269"/>
      <c r="U84" s="300"/>
    </row>
    <row r="85" spans="1:26" ht="15" thickTop="1" x14ac:dyDescent="0.15">
      <c r="A85" s="97" t="s">
        <v>72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304"/>
    </row>
    <row r="86" spans="1:26" x14ac:dyDescent="0.15">
      <c r="A86" s="99" t="s">
        <v>68</v>
      </c>
      <c r="B86" s="100"/>
      <c r="C86" s="226">
        <v>150000</v>
      </c>
      <c r="D86" s="305"/>
      <c r="E86" s="331" t="s">
        <v>97</v>
      </c>
      <c r="F86" s="331"/>
      <c r="G86" s="331"/>
      <c r="H86" s="331"/>
      <c r="I86" s="331"/>
      <c r="J86" s="225"/>
      <c r="K86" s="225"/>
      <c r="L86" s="225"/>
      <c r="M86" s="100"/>
      <c r="N86" s="100"/>
      <c r="O86" s="100"/>
      <c r="P86" s="100"/>
      <c r="Q86" s="100"/>
      <c r="R86" s="100"/>
      <c r="S86" s="100"/>
      <c r="T86" s="100"/>
      <c r="U86" s="306"/>
      <c r="Y86">
        <v>200000</v>
      </c>
    </row>
    <row r="87" spans="1:26" s="105" customFormat="1" x14ac:dyDescent="0.15">
      <c r="A87" s="99" t="s">
        <v>69</v>
      </c>
      <c r="B87" s="101"/>
      <c r="C87" s="307">
        <v>0.04</v>
      </c>
      <c r="D87" s="101"/>
      <c r="E87" s="308"/>
      <c r="F87" s="101"/>
      <c r="G87" s="308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309"/>
    </row>
    <row r="88" spans="1:26" s="105" customFormat="1" x14ac:dyDescent="0.15">
      <c r="A88" s="99" t="s">
        <v>70</v>
      </c>
      <c r="B88" s="101"/>
      <c r="C88" s="101">
        <f>7*12</f>
        <v>84</v>
      </c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309"/>
    </row>
    <row r="89" spans="1:26" x14ac:dyDescent="0.15">
      <c r="A89" s="99" t="s">
        <v>71</v>
      </c>
      <c r="B89" s="100"/>
      <c r="C89" s="226">
        <v>1522.66</v>
      </c>
      <c r="D89" s="305"/>
      <c r="E89" s="227">
        <f>+'Loan-150,000 prepay'!K62*-1</f>
        <v>-18271.909334460037</v>
      </c>
      <c r="F89" s="225"/>
      <c r="G89" s="228">
        <f>+'Loan-150,000 prepay'!K74*-1</f>
        <v>-18271.909334460037</v>
      </c>
      <c r="H89" s="228"/>
      <c r="I89" s="228">
        <f>+'Loan-150,000 prepay'!K86*-1</f>
        <v>-18271.909334460011</v>
      </c>
      <c r="J89" s="228"/>
      <c r="K89" s="228">
        <f>+'Loan-150,000 prepay'!K98*-1</f>
        <v>-18271.909334460037</v>
      </c>
      <c r="L89" s="228"/>
      <c r="M89" s="228">
        <f>+'Loan-150,000 prepay'!K111*-1</f>
        <v>-14200</v>
      </c>
      <c r="N89" s="346"/>
      <c r="O89" s="100"/>
      <c r="P89" s="228"/>
      <c r="Q89" s="346"/>
      <c r="R89" s="228"/>
      <c r="S89" s="228">
        <f>+'Loan-150,000 prepay'!M111*-1</f>
        <v>0</v>
      </c>
      <c r="T89" s="100"/>
      <c r="U89" s="306"/>
      <c r="W89" s="123">
        <f>SUM(E89:P89)*-1</f>
        <v>87287.637337840119</v>
      </c>
      <c r="Y89" s="123">
        <f>+W89-Y86+S76</f>
        <v>55425.572635518081</v>
      </c>
    </row>
    <row r="90" spans="1:26" x14ac:dyDescent="0.15">
      <c r="A90" s="99" t="s">
        <v>98</v>
      </c>
      <c r="B90" s="100"/>
      <c r="C90" s="310">
        <f>0.04*(365/360)</f>
        <v>4.0555555555555553E-2</v>
      </c>
      <c r="D90" s="305"/>
      <c r="E90" s="311"/>
      <c r="F90" s="225"/>
      <c r="G90" s="227"/>
      <c r="H90" s="225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100"/>
      <c r="U90" s="306"/>
      <c r="W90" s="123"/>
      <c r="Y90" s="123"/>
    </row>
    <row r="91" spans="1:26" x14ac:dyDescent="0.15">
      <c r="A91" s="106" t="s">
        <v>52</v>
      </c>
      <c r="B91" s="100"/>
      <c r="C91" s="100"/>
      <c r="D91" s="100"/>
      <c r="E91" s="312">
        <v>0</v>
      </c>
      <c r="F91" s="100"/>
      <c r="G91" s="312">
        <v>0</v>
      </c>
      <c r="H91" s="100"/>
      <c r="I91" s="312">
        <v>0</v>
      </c>
      <c r="J91" s="100"/>
      <c r="K91" s="312">
        <v>0</v>
      </c>
      <c r="L91" s="100"/>
      <c r="M91" s="312">
        <v>0</v>
      </c>
      <c r="N91" s="100"/>
      <c r="O91" s="312">
        <v>0</v>
      </c>
      <c r="P91" s="100"/>
      <c r="Q91" s="312">
        <v>0</v>
      </c>
      <c r="R91" s="312"/>
      <c r="S91" s="312">
        <v>0</v>
      </c>
      <c r="T91" s="100"/>
      <c r="U91" s="306"/>
    </row>
    <row r="92" spans="1:26" x14ac:dyDescent="0.15">
      <c r="A92" s="102" t="s">
        <v>63</v>
      </c>
      <c r="B92" s="101"/>
      <c r="C92" s="101"/>
      <c r="D92" s="101"/>
      <c r="E92" s="228">
        <f>+G76+E91</f>
        <v>55674.67</v>
      </c>
      <c r="F92" s="228"/>
      <c r="G92" s="228">
        <f>+I76+G91</f>
        <v>58882.709165540029</v>
      </c>
      <c r="H92" s="228"/>
      <c r="I92" s="228">
        <f>+K76+I91</f>
        <v>69508.85027107998</v>
      </c>
      <c r="J92" s="228"/>
      <c r="K92" s="228">
        <f>+M76+K91</f>
        <v>74922.342224279972</v>
      </c>
      <c r="L92" s="228"/>
      <c r="M92" s="228">
        <f>+O76+M91</f>
        <v>97988.056395841966</v>
      </c>
      <c r="N92" s="228"/>
      <c r="O92" s="228">
        <f>+Q76+O91</f>
        <v>124096.82056340863</v>
      </c>
      <c r="P92" s="228"/>
      <c r="Q92" s="228">
        <f>+S76+Q91</f>
        <v>168137.93529767796</v>
      </c>
      <c r="R92" s="228"/>
      <c r="S92" s="312">
        <f>+U76+S91</f>
        <v>174888.69462131808</v>
      </c>
      <c r="T92" s="100"/>
      <c r="U92" s="306"/>
      <c r="V92" s="93"/>
      <c r="W92" s="93"/>
      <c r="X92" s="93"/>
      <c r="Y92" s="93"/>
      <c r="Z92" s="93"/>
    </row>
    <row r="93" spans="1:26" ht="14" thickBot="1" x14ac:dyDescent="0.2">
      <c r="A93" s="103" t="s">
        <v>64</v>
      </c>
      <c r="B93" s="104"/>
      <c r="C93" s="313">
        <f>+C86</f>
        <v>150000</v>
      </c>
      <c r="D93" s="104"/>
      <c r="E93" s="314">
        <f>+'Loan-150,000 prepay'!H51</f>
        <v>125201.21010308343</v>
      </c>
      <c r="F93" s="314"/>
      <c r="G93" s="314">
        <f>+'Loan-150,000 prepay'!H63</f>
        <v>111758.86612345923</v>
      </c>
      <c r="H93" s="314"/>
      <c r="I93" s="314">
        <f>+'Loan-150,000 prepay'!H75</f>
        <v>62761.111939328126</v>
      </c>
      <c r="J93" s="314"/>
      <c r="K93" s="314">
        <f>+'Loan-150,000 prepay'!H87</f>
        <v>46738.870603771771</v>
      </c>
      <c r="L93" s="314"/>
      <c r="M93" s="314">
        <f>+'Loan-150,000 prepay'!H110</f>
        <v>14155.833934121698</v>
      </c>
      <c r="N93" s="314"/>
      <c r="O93" s="314">
        <f>+'Loan-150,000 prepay'!H111</f>
        <v>3.675409917572324</v>
      </c>
      <c r="P93" s="314"/>
      <c r="Q93" s="314">
        <v>0</v>
      </c>
      <c r="R93" s="314"/>
      <c r="S93" s="314">
        <v>0</v>
      </c>
      <c r="T93" s="428"/>
      <c r="U93" s="429"/>
      <c r="V93" s="93"/>
      <c r="W93" s="93"/>
      <c r="X93" s="93"/>
      <c r="Y93" s="93"/>
      <c r="Z93" s="93"/>
    </row>
    <row r="94" spans="1:26" ht="14.25" customHeight="1" thickTop="1" x14ac:dyDescent="0.15">
      <c r="C94"/>
      <c r="D94"/>
      <c r="E94"/>
      <c r="F94"/>
      <c r="G94"/>
      <c r="H94"/>
      <c r="I94"/>
      <c r="J94"/>
      <c r="K94"/>
      <c r="L94"/>
      <c r="P94" s="11"/>
    </row>
    <row r="95" spans="1:26" ht="12" customHeight="1" x14ac:dyDescent="0.15">
      <c r="A95" s="49" t="s">
        <v>35</v>
      </c>
      <c r="C95" s="50">
        <v>0</v>
      </c>
      <c r="D95"/>
      <c r="E95" s="50">
        <v>0.03</v>
      </c>
      <c r="F95"/>
      <c r="G95" s="89">
        <v>0.05</v>
      </c>
      <c r="H95" s="90"/>
      <c r="I95" s="92">
        <v>0.05</v>
      </c>
      <c r="J95" s="92" t="s">
        <v>60</v>
      </c>
      <c r="K95" s="92">
        <v>0.04</v>
      </c>
      <c r="L95" s="92" t="s">
        <v>60</v>
      </c>
      <c r="M95" s="92">
        <v>0.03</v>
      </c>
      <c r="N95" s="92" t="s">
        <v>60</v>
      </c>
      <c r="O95" s="92">
        <v>3.5000000000000003E-2</v>
      </c>
      <c r="P95" s="91"/>
      <c r="Q95" s="92">
        <v>3.5000000000000003E-2</v>
      </c>
      <c r="R95" s="90"/>
      <c r="S95" s="92">
        <v>0.04</v>
      </c>
      <c r="T95" s="92"/>
      <c r="U95" s="92">
        <v>0.04</v>
      </c>
      <c r="V95" s="92"/>
      <c r="W95" s="92">
        <v>0.04</v>
      </c>
    </row>
    <row r="96" spans="1:26" ht="13.5" customHeight="1" x14ac:dyDescent="0.15">
      <c r="A96" s="105" t="s">
        <v>160</v>
      </c>
      <c r="C96"/>
      <c r="D96"/>
      <c r="E96"/>
      <c r="F96"/>
      <c r="G96"/>
      <c r="H96"/>
      <c r="I96"/>
      <c r="J96"/>
      <c r="K96"/>
      <c r="L96"/>
      <c r="N96" s="11"/>
      <c r="O96" s="11"/>
      <c r="P96" s="11"/>
      <c r="Q96" s="11"/>
      <c r="R96" s="11"/>
      <c r="S96" s="11"/>
    </row>
    <row r="97" spans="1:19" x14ac:dyDescent="0.15">
      <c r="A97" s="11" t="s">
        <v>62</v>
      </c>
      <c r="C97" s="11">
        <v>4</v>
      </c>
      <c r="D97"/>
      <c r="E97"/>
      <c r="F97"/>
      <c r="G97"/>
      <c r="H97"/>
      <c r="I97"/>
      <c r="J97"/>
      <c r="K97"/>
      <c r="L97"/>
      <c r="N97" s="11"/>
      <c r="O97" s="11"/>
      <c r="P97" s="11"/>
      <c r="Q97" s="11"/>
      <c r="R97" s="11"/>
      <c r="S97" s="11"/>
    </row>
    <row r="98" spans="1:19" x14ac:dyDescent="0.15">
      <c r="A98" s="11" t="s">
        <v>61</v>
      </c>
      <c r="B98" s="11"/>
      <c r="C98" s="5">
        <v>525</v>
      </c>
      <c r="D98" s="5"/>
      <c r="E98" s="5"/>
      <c r="F98" s="12"/>
      <c r="G98" s="95" t="s">
        <v>65</v>
      </c>
      <c r="H98" s="94"/>
      <c r="I98" s="94"/>
      <c r="J98" s="94"/>
      <c r="K98" s="94"/>
      <c r="L98" s="94"/>
      <c r="M98" s="96"/>
      <c r="N98" s="96"/>
      <c r="O98" s="96"/>
      <c r="P98" s="96"/>
      <c r="Q98" s="96"/>
      <c r="R98" s="96"/>
      <c r="S98" s="96"/>
    </row>
    <row r="99" spans="1:19" x14ac:dyDescent="0.15">
      <c r="A99" s="11" t="s">
        <v>36</v>
      </c>
      <c r="B99" s="11"/>
      <c r="C99" s="5">
        <v>48</v>
      </c>
      <c r="D99" s="5"/>
      <c r="E99" s="5"/>
      <c r="F99" s="12"/>
      <c r="G99" s="12"/>
      <c r="H99" s="12"/>
      <c r="I99" s="12"/>
      <c r="J99" s="12"/>
      <c r="K99" s="12"/>
      <c r="L99" s="12"/>
      <c r="M99" s="11"/>
      <c r="N99" s="11"/>
      <c r="O99" s="11"/>
      <c r="P99" s="11"/>
      <c r="Q99" s="11"/>
      <c r="R99" s="11"/>
      <c r="S99" s="11"/>
    </row>
    <row r="100" spans="1:19" x14ac:dyDescent="0.15">
      <c r="A100" s="11" t="s">
        <v>37</v>
      </c>
      <c r="B100" s="11"/>
      <c r="C100" s="5">
        <f>+C97*C98*C99</f>
        <v>100800</v>
      </c>
      <c r="D100" s="5"/>
      <c r="E100" s="5"/>
      <c r="F100" s="12"/>
      <c r="G100" s="12"/>
      <c r="H100" s="12"/>
      <c r="I100" s="12"/>
      <c r="J100" s="12"/>
      <c r="K100" s="12"/>
      <c r="L100" s="12"/>
      <c r="M100" s="11"/>
      <c r="N100" s="11"/>
      <c r="O100" s="11"/>
      <c r="P100" s="11"/>
      <c r="Q100" s="11"/>
      <c r="R100" s="11"/>
      <c r="S100" s="11"/>
    </row>
    <row r="101" spans="1:19" x14ac:dyDescent="0.15">
      <c r="A101" s="11"/>
      <c r="B101" s="11"/>
      <c r="C101" s="5"/>
      <c r="D101" s="5"/>
      <c r="E101" s="5"/>
      <c r="F101" s="12"/>
      <c r="G101" s="12"/>
      <c r="H101" s="12"/>
      <c r="I101" s="12"/>
      <c r="J101" s="12"/>
      <c r="K101" s="12"/>
      <c r="L101" s="12"/>
      <c r="M101" s="11"/>
      <c r="N101" s="11"/>
      <c r="O101" s="11"/>
      <c r="P101" s="11"/>
      <c r="Q101" s="11"/>
      <c r="R101" s="11"/>
      <c r="S101" s="11"/>
    </row>
    <row r="102" spans="1:19" x14ac:dyDescent="0.15">
      <c r="A102" s="11"/>
      <c r="B102" s="11"/>
      <c r="C102" s="5"/>
      <c r="D102" s="5"/>
      <c r="E102" s="5"/>
      <c r="F102" s="12"/>
      <c r="G102" s="12"/>
      <c r="H102" s="12"/>
      <c r="I102" s="12"/>
      <c r="J102" s="12"/>
      <c r="K102" s="12"/>
      <c r="L102" s="12"/>
      <c r="M102" s="11"/>
      <c r="N102" s="11"/>
      <c r="O102" s="11"/>
      <c r="P102" s="11"/>
      <c r="Q102" s="11"/>
      <c r="R102" s="11"/>
      <c r="S102" s="11"/>
    </row>
    <row r="103" spans="1:19" x14ac:dyDescent="0.15">
      <c r="A103" s="11" t="s">
        <v>151</v>
      </c>
      <c r="C103" s="5">
        <f>+C98*C97</f>
        <v>2100</v>
      </c>
    </row>
    <row r="104" spans="1:19" x14ac:dyDescent="0.15">
      <c r="C104" s="5">
        <f>+C103*C99</f>
        <v>100800</v>
      </c>
    </row>
    <row r="105" spans="1:19" x14ac:dyDescent="0.15">
      <c r="C105" s="51"/>
      <c r="D105" s="5"/>
      <c r="E105" s="5"/>
      <c r="K105" s="6">
        <f>+I105*0.05</f>
        <v>0</v>
      </c>
    </row>
    <row r="106" spans="1:19" x14ac:dyDescent="0.15">
      <c r="C106" s="5"/>
      <c r="D106" s="5"/>
      <c r="E106" s="5">
        <v>900</v>
      </c>
      <c r="F106" s="6">
        <v>48</v>
      </c>
      <c r="G106" s="6">
        <v>4</v>
      </c>
    </row>
    <row r="107" spans="1:19" ht="12" customHeight="1" x14ac:dyDescent="0.15">
      <c r="C107" s="5"/>
      <c r="D107" s="5"/>
      <c r="E107" s="5">
        <f>+$E106*$F106*$G106</f>
        <v>172800</v>
      </c>
    </row>
    <row r="108" spans="1:19" x14ac:dyDescent="0.15">
      <c r="A108" s="105" t="s">
        <v>152</v>
      </c>
      <c r="C108" s="5"/>
      <c r="D108" s="5"/>
      <c r="E108" s="5">
        <v>750</v>
      </c>
      <c r="F108" s="6">
        <v>48</v>
      </c>
      <c r="G108" s="6">
        <v>4</v>
      </c>
    </row>
    <row r="109" spans="1:19" x14ac:dyDescent="0.15">
      <c r="A109" s="105" t="s">
        <v>153</v>
      </c>
      <c r="C109" s="5"/>
      <c r="D109" s="5"/>
      <c r="E109" s="5">
        <f>+$E108*$F108*$G108</f>
        <v>144000</v>
      </c>
    </row>
    <row r="111" spans="1:19" x14ac:dyDescent="0.15">
      <c r="A111" s="11" t="s">
        <v>161</v>
      </c>
      <c r="C111" s="420">
        <v>2025</v>
      </c>
      <c r="D111" s="421"/>
      <c r="E111" s="420">
        <v>2026</v>
      </c>
      <c r="G111" s="12">
        <f>+C111*F108</f>
        <v>97200</v>
      </c>
    </row>
    <row r="112" spans="1:19" x14ac:dyDescent="0.15">
      <c r="A112" s="11" t="s">
        <v>162</v>
      </c>
      <c r="C112" s="423">
        <v>3600</v>
      </c>
      <c r="D112" s="10"/>
      <c r="E112" s="423">
        <f>+E108*G108</f>
        <v>3000</v>
      </c>
    </row>
    <row r="113" spans="1:7" ht="16" x14ac:dyDescent="0.3">
      <c r="A113" s="11" t="s">
        <v>163</v>
      </c>
      <c r="C113" s="424">
        <v>650</v>
      </c>
      <c r="D113" s="10"/>
      <c r="E113" s="424">
        <f>+C98*C97</f>
        <v>2100</v>
      </c>
    </row>
    <row r="114" spans="1:7" x14ac:dyDescent="0.15">
      <c r="A114" s="422" t="s">
        <v>164</v>
      </c>
      <c r="C114" s="426">
        <f>+C112+C113</f>
        <v>4250</v>
      </c>
      <c r="D114" s="427"/>
      <c r="E114" s="426">
        <f>+E112+E113</f>
        <v>5100</v>
      </c>
      <c r="G114" s="425">
        <f>+E114/C114-1</f>
        <v>0.19999999999999996</v>
      </c>
    </row>
    <row r="116" spans="1:7" x14ac:dyDescent="0.15">
      <c r="C116" s="426">
        <v>1062.5</v>
      </c>
      <c r="D116" s="426"/>
      <c r="E116" s="426">
        <v>1275</v>
      </c>
      <c r="G116" s="425">
        <f>+E116/C116-1</f>
        <v>0.19999999999999996</v>
      </c>
    </row>
  </sheetData>
  <printOptions horizontalCentered="1" verticalCentered="1" gridLines="1"/>
  <pageMargins left="0" right="0" top="0" bottom="0" header="0" footer="0"/>
  <pageSetup scale="55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9731-40A9-4253-9D89-4FBC0401CB90}">
  <sheetPr>
    <tabColor rgb="FF00B050"/>
  </sheetPr>
  <dimension ref="B5:O44"/>
  <sheetViews>
    <sheetView topLeftCell="B6" workbookViewId="0">
      <pane xSplit="2" ySplit="2" topLeftCell="D8" activePane="bottomRight" state="frozen"/>
      <selection activeCell="B6" sqref="B6"/>
      <selection pane="topRight" activeCell="D6" sqref="D6"/>
      <selection pane="bottomLeft" activeCell="B8" sqref="B8"/>
      <selection pane="bottomRight" activeCell="O8" sqref="O8:O21"/>
    </sheetView>
  </sheetViews>
  <sheetFormatPr baseColWidth="10" defaultColWidth="8.6640625" defaultRowHeight="13" x14ac:dyDescent="0.15"/>
  <cols>
    <col min="1" max="1" width="8.6640625" style="229"/>
    <col min="2" max="2" width="9.83203125" style="229" bestFit="1" customWidth="1"/>
    <col min="3" max="3" width="29.83203125" style="229" customWidth="1"/>
    <col min="4" max="4" width="14.33203125" style="229" customWidth="1"/>
    <col min="5" max="5" width="13.5" style="229" customWidth="1"/>
    <col min="6" max="6" width="12.1640625" style="229" customWidth="1"/>
    <col min="7" max="7" width="13.5" style="229" customWidth="1"/>
    <col min="8" max="8" width="14.33203125" style="229" customWidth="1"/>
    <col min="9" max="9" width="11.33203125" style="229" customWidth="1"/>
    <col min="10" max="10" width="11" style="229" customWidth="1"/>
    <col min="11" max="13" width="11.1640625" style="229" customWidth="1"/>
    <col min="14" max="14" width="39.6640625" style="229" customWidth="1"/>
    <col min="15" max="15" width="17" style="229" customWidth="1"/>
    <col min="16" max="16384" width="8.6640625" style="229"/>
  </cols>
  <sheetData>
    <row r="5" spans="3:15" ht="14" thickBot="1" x14ac:dyDescent="0.2"/>
    <row r="6" spans="3:15" ht="25" thickTop="1" thickBot="1" x14ac:dyDescent="0.3">
      <c r="C6" s="478" t="s">
        <v>132</v>
      </c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80"/>
    </row>
    <row r="7" spans="3:15" ht="18" thickTop="1" thickBot="1" x14ac:dyDescent="0.25">
      <c r="C7" s="317" t="s">
        <v>101</v>
      </c>
      <c r="D7" s="318" t="s">
        <v>136</v>
      </c>
      <c r="E7" s="230">
        <v>2025</v>
      </c>
      <c r="F7" s="230">
        <v>2026</v>
      </c>
      <c r="G7" s="230">
        <v>2027</v>
      </c>
      <c r="H7" s="230">
        <v>2028</v>
      </c>
      <c r="I7" s="230">
        <v>2029</v>
      </c>
      <c r="J7" s="230">
        <v>2030</v>
      </c>
      <c r="K7" s="230">
        <v>2031</v>
      </c>
      <c r="L7" s="230">
        <v>2032</v>
      </c>
      <c r="M7" s="230">
        <v>2033</v>
      </c>
      <c r="N7" s="231"/>
    </row>
    <row r="8" spans="3:15" ht="16" x14ac:dyDescent="0.2">
      <c r="C8" s="319" t="s">
        <v>102</v>
      </c>
      <c r="D8" s="339">
        <v>47500</v>
      </c>
      <c r="E8" s="398">
        <v>46000</v>
      </c>
      <c r="F8" s="398">
        <v>15000</v>
      </c>
      <c r="G8" s="398">
        <v>15000</v>
      </c>
      <c r="H8" s="398">
        <v>15000</v>
      </c>
      <c r="I8" s="398">
        <v>15000</v>
      </c>
      <c r="J8" s="398"/>
      <c r="K8" s="398"/>
      <c r="L8" s="398"/>
      <c r="M8" s="398"/>
      <c r="N8" s="250" t="s">
        <v>103</v>
      </c>
      <c r="O8" s="473">
        <f>SUM(F8:M8)</f>
        <v>60000</v>
      </c>
    </row>
    <row r="9" spans="3:15" ht="16" x14ac:dyDescent="0.2">
      <c r="C9" s="320" t="s">
        <v>158</v>
      </c>
      <c r="D9" s="340">
        <v>0</v>
      </c>
      <c r="E9" s="278">
        <v>26000</v>
      </c>
      <c r="F9" s="417">
        <v>10000</v>
      </c>
      <c r="G9" s="417">
        <v>10000</v>
      </c>
      <c r="H9" s="417">
        <v>10000</v>
      </c>
      <c r="I9" s="417">
        <v>10000</v>
      </c>
      <c r="J9" s="430">
        <v>15000</v>
      </c>
      <c r="K9" s="430">
        <v>15000</v>
      </c>
      <c r="L9" s="430">
        <v>15000</v>
      </c>
      <c r="M9" s="430">
        <v>15000</v>
      </c>
      <c r="N9" s="251"/>
      <c r="O9" s="473">
        <f t="shared" ref="O9:O19" si="0">SUM(F9:M9)</f>
        <v>100000</v>
      </c>
    </row>
    <row r="10" spans="3:15" ht="16" x14ac:dyDescent="0.2">
      <c r="C10" s="320" t="s">
        <v>107</v>
      </c>
      <c r="D10" s="340">
        <v>32000</v>
      </c>
      <c r="E10" s="278">
        <v>47000</v>
      </c>
      <c r="F10" s="278"/>
      <c r="G10" s="278"/>
      <c r="H10" s="278"/>
      <c r="I10" s="278"/>
      <c r="J10" s="278"/>
      <c r="K10" s="278">
        <v>30000</v>
      </c>
      <c r="L10" s="278">
        <v>30000</v>
      </c>
      <c r="M10" s="278">
        <v>30000</v>
      </c>
      <c r="N10" s="251" t="s">
        <v>134</v>
      </c>
      <c r="O10" s="473">
        <f t="shared" si="0"/>
        <v>90000</v>
      </c>
    </row>
    <row r="11" spans="3:15" ht="16" x14ac:dyDescent="0.2">
      <c r="C11" s="320" t="s">
        <v>106</v>
      </c>
      <c r="D11" s="340">
        <v>0</v>
      </c>
      <c r="E11" s="278">
        <v>0</v>
      </c>
      <c r="F11" s="278">
        <v>31250</v>
      </c>
      <c r="G11" s="278">
        <v>31250</v>
      </c>
      <c r="H11" s="278">
        <v>31250</v>
      </c>
      <c r="I11" s="278">
        <v>31250</v>
      </c>
      <c r="J11" s="278">
        <v>0</v>
      </c>
      <c r="K11" s="278">
        <v>0</v>
      </c>
      <c r="L11" s="278"/>
      <c r="M11" s="278"/>
      <c r="N11" s="251"/>
      <c r="O11" s="473">
        <f t="shared" si="0"/>
        <v>125000</v>
      </c>
    </row>
    <row r="12" spans="3:15" ht="17" thickBot="1" x14ac:dyDescent="0.25">
      <c r="C12" s="321" t="s">
        <v>159</v>
      </c>
      <c r="D12" s="341">
        <v>0</v>
      </c>
      <c r="E12" s="278"/>
      <c r="F12" s="278">
        <v>9000</v>
      </c>
      <c r="G12" s="278">
        <v>0</v>
      </c>
      <c r="H12" s="278">
        <v>0</v>
      </c>
      <c r="I12" s="278">
        <v>0</v>
      </c>
      <c r="J12" s="278">
        <v>12000</v>
      </c>
      <c r="K12" s="278">
        <v>0</v>
      </c>
      <c r="L12" s="278">
        <v>0</v>
      </c>
      <c r="M12" s="278">
        <v>0</v>
      </c>
      <c r="N12" s="251"/>
      <c r="O12" s="473">
        <f t="shared" si="0"/>
        <v>21000</v>
      </c>
    </row>
    <row r="13" spans="3:15" ht="16" x14ac:dyDescent="0.2">
      <c r="C13" s="322" t="s">
        <v>155</v>
      </c>
      <c r="D13" s="342">
        <v>0</v>
      </c>
      <c r="E13" s="399">
        <v>7000</v>
      </c>
      <c r="F13" s="399">
        <v>10000</v>
      </c>
      <c r="G13" s="399">
        <v>10000</v>
      </c>
      <c r="H13" s="399">
        <v>0</v>
      </c>
      <c r="I13" s="399">
        <v>10000</v>
      </c>
      <c r="J13" s="450">
        <v>5000</v>
      </c>
      <c r="K13" s="399"/>
      <c r="L13" s="399"/>
      <c r="M13" s="399"/>
      <c r="N13" s="249" t="s">
        <v>104</v>
      </c>
      <c r="O13" s="473">
        <f t="shared" si="0"/>
        <v>35000</v>
      </c>
    </row>
    <row r="14" spans="3:15" ht="16" x14ac:dyDescent="0.2">
      <c r="C14" s="323" t="s">
        <v>156</v>
      </c>
      <c r="D14" s="343">
        <v>0</v>
      </c>
      <c r="E14" s="399">
        <v>0</v>
      </c>
      <c r="F14" s="399">
        <v>10000</v>
      </c>
      <c r="G14" s="399"/>
      <c r="H14" s="399">
        <v>20000</v>
      </c>
      <c r="I14" s="399"/>
      <c r="J14" s="399"/>
      <c r="K14" s="399"/>
      <c r="L14" s="399"/>
      <c r="M14" s="399"/>
      <c r="N14" s="249" t="s">
        <v>104</v>
      </c>
      <c r="O14" s="473">
        <f t="shared" si="0"/>
        <v>30000</v>
      </c>
    </row>
    <row r="15" spans="3:15" ht="16" x14ac:dyDescent="0.2">
      <c r="C15" s="323" t="s">
        <v>157</v>
      </c>
      <c r="D15" s="343">
        <v>2000</v>
      </c>
      <c r="E15" s="399">
        <v>0</v>
      </c>
      <c r="F15" s="399">
        <v>6500</v>
      </c>
      <c r="G15" s="399">
        <v>6500</v>
      </c>
      <c r="H15" s="399">
        <v>6500</v>
      </c>
      <c r="I15" s="399"/>
      <c r="J15" s="399"/>
      <c r="K15" s="399"/>
      <c r="L15" s="399"/>
      <c r="M15" s="399"/>
      <c r="N15" s="249" t="s">
        <v>149</v>
      </c>
      <c r="O15" s="473">
        <f t="shared" si="0"/>
        <v>19500</v>
      </c>
    </row>
    <row r="16" spans="3:15" ht="16" x14ac:dyDescent="0.2">
      <c r="C16" s="323" t="s">
        <v>108</v>
      </c>
      <c r="D16" s="343">
        <v>0</v>
      </c>
      <c r="E16" s="399">
        <v>8000</v>
      </c>
      <c r="F16" s="399">
        <v>0</v>
      </c>
      <c r="G16" s="399">
        <v>5000</v>
      </c>
      <c r="H16" s="399">
        <v>0</v>
      </c>
      <c r="I16" s="399">
        <v>5000</v>
      </c>
      <c r="J16" s="399">
        <v>0</v>
      </c>
      <c r="K16" s="399">
        <v>5000</v>
      </c>
      <c r="L16" s="399">
        <v>30000</v>
      </c>
      <c r="M16" s="399">
        <v>5000</v>
      </c>
      <c r="N16" s="249"/>
      <c r="O16" s="473">
        <f t="shared" si="0"/>
        <v>50000</v>
      </c>
    </row>
    <row r="17" spans="2:15" ht="17" thickBot="1" x14ac:dyDescent="0.25">
      <c r="C17" s="324" t="s">
        <v>125</v>
      </c>
      <c r="D17" s="439">
        <v>12000</v>
      </c>
      <c r="E17" s="400"/>
      <c r="F17" s="400">
        <v>0</v>
      </c>
      <c r="G17" s="400">
        <v>0</v>
      </c>
      <c r="H17" s="400">
        <v>0</v>
      </c>
      <c r="I17" s="400">
        <v>0</v>
      </c>
      <c r="J17" s="400">
        <v>25000</v>
      </c>
      <c r="K17" s="400">
        <v>0</v>
      </c>
      <c r="L17" s="400">
        <v>0</v>
      </c>
      <c r="M17" s="400">
        <v>0</v>
      </c>
      <c r="N17" s="249" t="s">
        <v>149</v>
      </c>
      <c r="O17" s="473">
        <f t="shared" si="0"/>
        <v>25000</v>
      </c>
    </row>
    <row r="18" spans="2:15" ht="16" x14ac:dyDescent="0.2">
      <c r="C18" s="325" t="s">
        <v>154</v>
      </c>
      <c r="D18" s="440">
        <v>5000</v>
      </c>
      <c r="E18" s="401">
        <v>4000</v>
      </c>
      <c r="F18" s="401">
        <v>10000</v>
      </c>
      <c r="G18" s="401">
        <v>6000</v>
      </c>
      <c r="H18" s="401">
        <v>11500</v>
      </c>
      <c r="I18" s="401">
        <v>5000</v>
      </c>
      <c r="J18" s="401">
        <v>11500</v>
      </c>
      <c r="K18" s="401">
        <v>5000</v>
      </c>
      <c r="L18" s="401">
        <v>11500</v>
      </c>
      <c r="M18" s="401">
        <v>5000</v>
      </c>
      <c r="N18" s="252" t="s">
        <v>104</v>
      </c>
      <c r="O18" s="473">
        <f t="shared" si="0"/>
        <v>65500</v>
      </c>
    </row>
    <row r="19" spans="2:15" ht="16" x14ac:dyDescent="0.2">
      <c r="C19" s="326" t="s">
        <v>105</v>
      </c>
      <c r="D19" s="344">
        <v>4500</v>
      </c>
      <c r="E19" s="401">
        <v>10000</v>
      </c>
      <c r="F19" s="401">
        <v>4000</v>
      </c>
      <c r="G19" s="401">
        <v>4000</v>
      </c>
      <c r="H19" s="401">
        <v>4000</v>
      </c>
      <c r="I19" s="401">
        <v>4000</v>
      </c>
      <c r="J19" s="401">
        <v>4000</v>
      </c>
      <c r="K19" s="401">
        <v>4000</v>
      </c>
      <c r="L19" s="401">
        <v>4000</v>
      </c>
      <c r="M19" s="401">
        <v>4000</v>
      </c>
      <c r="N19" s="252" t="s">
        <v>150</v>
      </c>
      <c r="O19" s="473">
        <f t="shared" si="0"/>
        <v>32000</v>
      </c>
    </row>
    <row r="20" spans="2:15" ht="17" thickBot="1" x14ac:dyDescent="0.25">
      <c r="C20" s="327" t="s">
        <v>140</v>
      </c>
      <c r="D20" s="328">
        <v>0</v>
      </c>
      <c r="E20" s="347">
        <v>0</v>
      </c>
      <c r="F20" s="347">
        <v>0</v>
      </c>
      <c r="G20" s="347">
        <v>5000</v>
      </c>
      <c r="H20" s="347">
        <v>0</v>
      </c>
      <c r="I20" s="347">
        <v>10000</v>
      </c>
      <c r="J20" s="347">
        <v>10000</v>
      </c>
      <c r="K20" s="347">
        <v>0</v>
      </c>
      <c r="L20" s="347">
        <v>0</v>
      </c>
      <c r="M20" s="347">
        <v>0</v>
      </c>
      <c r="N20" s="279"/>
      <c r="O20" s="474"/>
    </row>
    <row r="21" spans="2:15" ht="17" thickBot="1" x14ac:dyDescent="0.25">
      <c r="C21" s="329" t="s">
        <v>44</v>
      </c>
      <c r="D21" s="345">
        <f t="shared" ref="D21:L21" si="1">SUM(D8:D20)</f>
        <v>103000</v>
      </c>
      <c r="E21" s="345">
        <f t="shared" si="1"/>
        <v>148000</v>
      </c>
      <c r="F21" s="345">
        <f t="shared" si="1"/>
        <v>105750</v>
      </c>
      <c r="G21" s="345">
        <f t="shared" si="1"/>
        <v>92750</v>
      </c>
      <c r="H21" s="345">
        <f t="shared" si="1"/>
        <v>98250</v>
      </c>
      <c r="I21" s="345">
        <f t="shared" si="1"/>
        <v>90250</v>
      </c>
      <c r="J21" s="345">
        <f t="shared" si="1"/>
        <v>82500</v>
      </c>
      <c r="K21" s="345">
        <f t="shared" si="1"/>
        <v>59000</v>
      </c>
      <c r="L21" s="345">
        <f t="shared" si="1"/>
        <v>90500</v>
      </c>
      <c r="M21" s="345">
        <f t="shared" ref="M21" si="2">SUM(M8:M20)</f>
        <v>59000</v>
      </c>
      <c r="N21" s="279"/>
      <c r="O21" s="473">
        <f>SUM(O8:O20)</f>
        <v>653000</v>
      </c>
    </row>
    <row r="22" spans="2:15" ht="18" thickTop="1" thickBot="1" x14ac:dyDescent="0.25">
      <c r="B22" s="444"/>
      <c r="C22" s="445"/>
      <c r="D22" s="402"/>
      <c r="E22" s="402"/>
      <c r="F22" s="402"/>
      <c r="G22" s="402"/>
      <c r="H22" s="402"/>
      <c r="I22" s="402"/>
      <c r="J22" s="402"/>
      <c r="K22" s="402"/>
      <c r="L22" s="402"/>
      <c r="M22" s="402"/>
    </row>
    <row r="23" spans="2:15" ht="17" thickTop="1" x14ac:dyDescent="0.2">
      <c r="B23" s="444"/>
      <c r="C23" s="253" t="s">
        <v>118</v>
      </c>
      <c r="D23" s="259">
        <f>SUM(D8:D12)</f>
        <v>79500</v>
      </c>
      <c r="E23" s="259">
        <f t="shared" ref="E23:L23" si="3">SUM(E8:E12)</f>
        <v>119000</v>
      </c>
      <c r="F23" s="259">
        <f t="shared" si="3"/>
        <v>65250</v>
      </c>
      <c r="G23" s="259">
        <f t="shared" si="3"/>
        <v>56250</v>
      </c>
      <c r="H23" s="259">
        <f t="shared" si="3"/>
        <v>56250</v>
      </c>
      <c r="I23" s="259">
        <f t="shared" si="3"/>
        <v>56250</v>
      </c>
      <c r="J23" s="259">
        <f t="shared" si="3"/>
        <v>27000</v>
      </c>
      <c r="K23" s="259">
        <f t="shared" si="3"/>
        <v>45000</v>
      </c>
      <c r="L23" s="259">
        <f t="shared" si="3"/>
        <v>45000</v>
      </c>
      <c r="M23" s="259">
        <f t="shared" ref="M23" si="4">SUM(M8:M12)</f>
        <v>45000</v>
      </c>
      <c r="N23" s="432">
        <f>SUM(F23:M23)</f>
        <v>396000</v>
      </c>
    </row>
    <row r="24" spans="2:15" ht="16" x14ac:dyDescent="0.2">
      <c r="B24" s="444"/>
      <c r="C24" s="254" t="s">
        <v>119</v>
      </c>
      <c r="D24" s="256">
        <f>SUM(D18:D20)</f>
        <v>9500</v>
      </c>
      <c r="E24" s="256">
        <f t="shared" ref="E24:L24" si="5">SUM(E18:E20)</f>
        <v>14000</v>
      </c>
      <c r="F24" s="256">
        <f t="shared" si="5"/>
        <v>14000</v>
      </c>
      <c r="G24" s="256">
        <f t="shared" si="5"/>
        <v>15000</v>
      </c>
      <c r="H24" s="256">
        <f t="shared" si="5"/>
        <v>15500</v>
      </c>
      <c r="I24" s="256">
        <f t="shared" si="5"/>
        <v>19000</v>
      </c>
      <c r="J24" s="256">
        <f t="shared" si="5"/>
        <v>25500</v>
      </c>
      <c r="K24" s="256">
        <f t="shared" si="5"/>
        <v>9000</v>
      </c>
      <c r="L24" s="256">
        <f t="shared" si="5"/>
        <v>15500</v>
      </c>
      <c r="M24" s="256">
        <f t="shared" ref="M24" si="6">SUM(M18:M20)</f>
        <v>9000</v>
      </c>
      <c r="N24" s="433">
        <f t="shared" ref="N24:N25" si="7">SUM(F24:M24)</f>
        <v>122500</v>
      </c>
    </row>
    <row r="25" spans="2:15" ht="17" thickBot="1" x14ac:dyDescent="0.25">
      <c r="B25" s="444"/>
      <c r="C25" s="257" t="s">
        <v>120</v>
      </c>
      <c r="D25" s="258">
        <f>SUM(D13:D17)</f>
        <v>14000</v>
      </c>
      <c r="E25" s="258">
        <f t="shared" ref="E25:L25" si="8">SUM(E13:E17)</f>
        <v>15000</v>
      </c>
      <c r="F25" s="258">
        <f t="shared" si="8"/>
        <v>26500</v>
      </c>
      <c r="G25" s="258">
        <f t="shared" si="8"/>
        <v>21500</v>
      </c>
      <c r="H25" s="258">
        <f t="shared" si="8"/>
        <v>26500</v>
      </c>
      <c r="I25" s="258">
        <f t="shared" si="8"/>
        <v>15000</v>
      </c>
      <c r="J25" s="258">
        <f t="shared" si="8"/>
        <v>30000</v>
      </c>
      <c r="K25" s="258">
        <f t="shared" si="8"/>
        <v>5000</v>
      </c>
      <c r="L25" s="258">
        <f t="shared" si="8"/>
        <v>30000</v>
      </c>
      <c r="M25" s="258">
        <f t="shared" ref="M25" si="9">SUM(M13:M17)</f>
        <v>5000</v>
      </c>
      <c r="N25" s="434">
        <f t="shared" si="7"/>
        <v>159500</v>
      </c>
    </row>
    <row r="26" spans="2:15" ht="17" thickBot="1" x14ac:dyDescent="0.25">
      <c r="B26" s="444"/>
      <c r="C26" s="255" t="s">
        <v>55</v>
      </c>
      <c r="D26" s="448">
        <f t="shared" ref="D26" si="10">SUM(D23:D25)</f>
        <v>103000</v>
      </c>
      <c r="E26" s="448">
        <f t="shared" ref="E26:L26" si="11">SUM(E23:E25)</f>
        <v>148000</v>
      </c>
      <c r="F26" s="448">
        <f t="shared" si="11"/>
        <v>105750</v>
      </c>
      <c r="G26" s="448">
        <f t="shared" si="11"/>
        <v>92750</v>
      </c>
      <c r="H26" s="448">
        <f t="shared" si="11"/>
        <v>98250</v>
      </c>
      <c r="I26" s="448">
        <f t="shared" si="11"/>
        <v>90250</v>
      </c>
      <c r="J26" s="448">
        <f t="shared" si="11"/>
        <v>82500</v>
      </c>
      <c r="K26" s="448">
        <f t="shared" si="11"/>
        <v>59000</v>
      </c>
      <c r="L26" s="448">
        <f t="shared" si="11"/>
        <v>90500</v>
      </c>
      <c r="M26" s="448">
        <f t="shared" ref="M26" si="12">SUM(M23:M25)</f>
        <v>59000</v>
      </c>
      <c r="N26" s="435">
        <f>SUM(N23:N25)</f>
        <v>678000</v>
      </c>
    </row>
    <row r="27" spans="2:15" ht="18" thickTop="1" thickBot="1" x14ac:dyDescent="0.25">
      <c r="B27" s="444"/>
      <c r="C27" s="445"/>
      <c r="D27" s="446"/>
      <c r="E27" s="447"/>
      <c r="F27" s="447"/>
      <c r="G27" s="447"/>
      <c r="H27" s="447"/>
      <c r="I27" s="447"/>
      <c r="J27" s="447"/>
      <c r="K27" s="447"/>
      <c r="L27" s="447"/>
      <c r="M27" s="447"/>
      <c r="N27" s="431">
        <f>SUM(F26:M26)</f>
        <v>678000</v>
      </c>
    </row>
    <row r="28" spans="2:15" ht="14" thickTop="1" x14ac:dyDescent="0.15">
      <c r="C28" s="232" t="s">
        <v>165</v>
      </c>
      <c r="D28" s="441" t="s">
        <v>167</v>
      </c>
      <c r="E28" s="441" t="s">
        <v>168</v>
      </c>
    </row>
    <row r="29" spans="2:15" ht="3" customHeight="1" x14ac:dyDescent="0.15">
      <c r="C29" s="442"/>
      <c r="D29" s="443"/>
      <c r="E29" s="443"/>
    </row>
    <row r="30" spans="2:15" x14ac:dyDescent="0.15">
      <c r="C30" s="436" t="s">
        <v>106</v>
      </c>
      <c r="D30" s="437">
        <f>SUM(F11:M11)</f>
        <v>125000</v>
      </c>
      <c r="E30" s="438">
        <f>+D30/N$27</f>
        <v>0.18436578171091444</v>
      </c>
    </row>
    <row r="31" spans="2:15" ht="14" thickBot="1" x14ac:dyDescent="0.2">
      <c r="C31" s="436" t="s">
        <v>166</v>
      </c>
      <c r="D31" s="437">
        <f>SUM(F9:M9)</f>
        <v>100000</v>
      </c>
      <c r="E31" s="438">
        <f t="shared" ref="E31" si="13">+D31/N$27</f>
        <v>0.14749262536873156</v>
      </c>
    </row>
    <row r="32" spans="2:15" ht="15" thickTop="1" thickBot="1" x14ac:dyDescent="0.2">
      <c r="C32" s="455" t="s">
        <v>172</v>
      </c>
      <c r="D32" s="456" t="s">
        <v>173</v>
      </c>
      <c r="E32" s="456" t="s">
        <v>174</v>
      </c>
    </row>
    <row r="33" spans="3:14" x14ac:dyDescent="0.15">
      <c r="C33" s="457"/>
      <c r="D33" s="458"/>
      <c r="E33" s="458"/>
    </row>
    <row r="34" spans="3:14" x14ac:dyDescent="0.15">
      <c r="C34" s="459" t="s">
        <v>175</v>
      </c>
      <c r="D34" s="460">
        <f>+O11</f>
        <v>125000</v>
      </c>
      <c r="E34" s="461">
        <f>+D34/D$43</f>
        <v>0.19142419601837674</v>
      </c>
    </row>
    <row r="35" spans="3:14" x14ac:dyDescent="0.15">
      <c r="C35" s="457" t="s">
        <v>176</v>
      </c>
      <c r="D35" s="460">
        <f>+O9</f>
        <v>100000</v>
      </c>
      <c r="E35" s="461">
        <f>+D35/D$43</f>
        <v>0.15313935681470137</v>
      </c>
    </row>
    <row r="36" spans="3:14" x14ac:dyDescent="0.15">
      <c r="C36" s="462" t="s">
        <v>107</v>
      </c>
      <c r="D36" s="460">
        <f>+O10</f>
        <v>90000</v>
      </c>
      <c r="E36" s="461">
        <f>+D36/D$43</f>
        <v>0.13782542113323124</v>
      </c>
    </row>
    <row r="37" spans="3:14" ht="14" thickBot="1" x14ac:dyDescent="0.2">
      <c r="C37" s="463" t="s">
        <v>177</v>
      </c>
      <c r="D37" s="460">
        <f>+O18</f>
        <v>65500</v>
      </c>
      <c r="E37" s="461">
        <f>+D37/D$43</f>
        <v>0.1003062787136294</v>
      </c>
    </row>
    <row r="38" spans="3:14" ht="14" thickBot="1" x14ac:dyDescent="0.2">
      <c r="C38" s="464" t="s">
        <v>108</v>
      </c>
      <c r="D38" s="460">
        <f>+O16</f>
        <v>50000</v>
      </c>
      <c r="E38" s="461">
        <f>+D38/D$43</f>
        <v>7.6569678407350683E-2</v>
      </c>
      <c r="F38"/>
      <c r="G38"/>
      <c r="H38"/>
      <c r="I38"/>
      <c r="J38"/>
      <c r="K38"/>
      <c r="L38"/>
      <c r="M38"/>
      <c r="N38"/>
    </row>
    <row r="39" spans="3:14" x14ac:dyDescent="0.15">
      <c r="C39" s="465" t="s">
        <v>178</v>
      </c>
      <c r="D39" s="466">
        <f>SUM(D34:D38)</f>
        <v>430500</v>
      </c>
      <c r="E39" s="467">
        <f>SUM(E34:E38)</f>
        <v>0.65926493108728934</v>
      </c>
      <c r="F39"/>
      <c r="G39"/>
      <c r="H39"/>
      <c r="I39"/>
      <c r="J39"/>
      <c r="K39"/>
      <c r="L39"/>
      <c r="M39"/>
      <c r="N39"/>
    </row>
    <row r="40" spans="3:14" ht="14" thickBot="1" x14ac:dyDescent="0.2">
      <c r="C40" s="457" t="s">
        <v>125</v>
      </c>
      <c r="D40" s="468">
        <f>+D43-D39</f>
        <v>222500</v>
      </c>
      <c r="E40" s="469">
        <f>+D40/D$43</f>
        <v>0.34073506891271055</v>
      </c>
    </row>
    <row r="41" spans="3:14" ht="14" thickBot="1" x14ac:dyDescent="0.2">
      <c r="C41" s="470" t="s">
        <v>109</v>
      </c>
      <c r="D41" s="471">
        <f>+D40+D39</f>
        <v>653000</v>
      </c>
      <c r="E41" s="472">
        <f>+E39+E40</f>
        <v>0.99999999999999989</v>
      </c>
    </row>
    <row r="42" spans="3:14" ht="15" thickTop="1" thickBot="1" x14ac:dyDescent="0.2"/>
    <row r="43" spans="3:14" ht="14" thickBot="1" x14ac:dyDescent="0.2">
      <c r="C43" s="470" t="s">
        <v>109</v>
      </c>
      <c r="D43" s="471">
        <f>+O21</f>
        <v>653000</v>
      </c>
    </row>
    <row r="44" spans="3:14" ht="14" thickTop="1" x14ac:dyDescent="0.15"/>
  </sheetData>
  <mergeCells count="1">
    <mergeCell ref="C6:N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2" zoomScaleNormal="82" workbookViewId="0">
      <selection activeCell="S21" sqref="S21"/>
    </sheetView>
  </sheetViews>
  <sheetFormatPr baseColWidth="10" defaultColWidth="9.1640625" defaultRowHeight="13" x14ac:dyDescent="0.15"/>
  <cols>
    <col min="1" max="16384" width="9.1640625" style="67"/>
  </cols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S13" sqref="S13"/>
    </sheetView>
  </sheetViews>
  <sheetFormatPr baseColWidth="10" defaultColWidth="9.1640625" defaultRowHeight="13" x14ac:dyDescent="0.15"/>
  <cols>
    <col min="1" max="6" width="9.1640625" style="67"/>
    <col min="7" max="7" width="10" style="67" customWidth="1"/>
    <col min="8" max="16384" width="9.1640625" style="67"/>
  </cols>
  <sheetData/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B10" workbookViewId="0">
      <selection activeCell="T28" sqref="T28"/>
    </sheetView>
  </sheetViews>
  <sheetFormatPr baseColWidth="10" defaultColWidth="9.1640625" defaultRowHeight="13" x14ac:dyDescent="0.15"/>
  <cols>
    <col min="1" max="16384" width="9.1640625" style="67"/>
  </cols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C14" zoomScaleNormal="100" workbookViewId="0">
      <selection activeCell="S21" sqref="S21"/>
    </sheetView>
  </sheetViews>
  <sheetFormatPr baseColWidth="10" defaultColWidth="9.1640625" defaultRowHeight="13" x14ac:dyDescent="0.15"/>
  <cols>
    <col min="1" max="16384" width="9.1640625" style="67"/>
  </cols>
  <sheetData/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3B9D-7E14-4ADA-A0AC-E985CDD70BCA}">
  <dimension ref="A1"/>
  <sheetViews>
    <sheetView workbookViewId="0">
      <selection activeCell="C9" sqref="C9"/>
    </sheetView>
  </sheetViews>
  <sheetFormatPr baseColWidth="10" defaultColWidth="8.83203125" defaultRowHeight="13" x14ac:dyDescent="0.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5:Q72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O7" sqref="O7"/>
    </sheetView>
  </sheetViews>
  <sheetFormatPr baseColWidth="10" defaultColWidth="9.1640625" defaultRowHeight="13" x14ac:dyDescent="0.15"/>
  <cols>
    <col min="1" max="2" width="9.1640625" style="67"/>
    <col min="3" max="3" width="10.33203125" style="67" bestFit="1" customWidth="1"/>
    <col min="4" max="4" width="23" style="67" customWidth="1"/>
    <col min="5" max="5" width="3.5" style="67" customWidth="1"/>
    <col min="6" max="6" width="13.5" style="67" customWidth="1"/>
    <col min="7" max="16" width="12.6640625" style="67" customWidth="1"/>
    <col min="17" max="17" width="11.83203125" style="67" customWidth="1"/>
    <col min="18" max="16384" width="9.1640625" style="67"/>
  </cols>
  <sheetData>
    <row r="5" spans="3:16" x14ac:dyDescent="0.15">
      <c r="C5" s="67" t="s">
        <v>41</v>
      </c>
      <c r="F5" s="315" t="str">
        <f>+'8 Yr Forecast LT Adj Assump'!C6</f>
        <v>FY 2024</v>
      </c>
      <c r="G5" s="107" t="s">
        <v>170</v>
      </c>
      <c r="H5" s="107" t="s">
        <v>171</v>
      </c>
      <c r="I5" s="315" t="str">
        <f>+'8 Yr Forecast LT Adj Assump'!I6</f>
        <v>FY 2026</v>
      </c>
      <c r="J5" s="315" t="str">
        <f>+'8 Yr Forecast LT Adj Assump'!K6</f>
        <v>FY 2027</v>
      </c>
      <c r="K5" s="315" t="str">
        <f>+'8 Yr Forecast LT Adj Assump'!M6</f>
        <v>FY 2028</v>
      </c>
      <c r="L5" s="315" t="str">
        <f>+'8 Yr Forecast LT Adj Assump'!O6</f>
        <v>FY 2029</v>
      </c>
      <c r="M5" s="315" t="str">
        <f>+'8 Yr Forecast LT Adj Assump'!Q6</f>
        <v>FY 2030</v>
      </c>
      <c r="N5" s="315" t="str">
        <f>+'8 Yr Forecast LT Adj Assump'!S6</f>
        <v>FY 2031</v>
      </c>
      <c r="O5" s="315" t="str">
        <f>+'8 Yr Forecast LT Adj Assump'!U6</f>
        <v>FY 2032</v>
      </c>
    </row>
    <row r="7" spans="3:16" x14ac:dyDescent="0.15">
      <c r="D7" s="260" t="s">
        <v>111</v>
      </c>
      <c r="F7" s="71">
        <f>+'8 Yr Forecast LT Adj Assump'!C8</f>
        <v>179140</v>
      </c>
      <c r="G7" s="71">
        <f>+'8 Yr Forecast LT Adj Assump'!E8</f>
        <v>172800</v>
      </c>
      <c r="H7" s="71">
        <f>+'8 Yr Forecast LT Adj Assump'!G8</f>
        <v>175177</v>
      </c>
      <c r="I7" s="71">
        <f>+'8 Yr Forecast LT Adj Assump'!I8</f>
        <v>144000</v>
      </c>
      <c r="J7" s="71">
        <f>+'8 Yr Forecast LT Adj Assump'!K8</f>
        <v>144000</v>
      </c>
      <c r="K7" s="71">
        <f>+'8 Yr Forecast LT Adj Assump'!M8</f>
        <v>144000</v>
      </c>
      <c r="L7" s="71">
        <f>+'8 Yr Forecast LT Adj Assump'!O8</f>
        <v>144000</v>
      </c>
      <c r="M7" s="71">
        <f>+'8 Yr Forecast LT Adj Assump'!Q8</f>
        <v>144000</v>
      </c>
      <c r="N7" s="71">
        <f>+'8 Yr Forecast LT Adj Assump'!S8</f>
        <v>144000</v>
      </c>
      <c r="O7" s="71">
        <f>+'8 Yr Forecast LT Adj Assump'!U8</f>
        <v>144000</v>
      </c>
    </row>
    <row r="8" spans="3:16" x14ac:dyDescent="0.15">
      <c r="D8" s="260" t="s">
        <v>31</v>
      </c>
      <c r="F8" s="71">
        <f>+'8 Yr Forecast LT Adj Assump'!C9</f>
        <v>7500</v>
      </c>
      <c r="G8" s="71">
        <f>+'8 Yr Forecast LT Adj Assump'!E9</f>
        <v>3000</v>
      </c>
      <c r="H8" s="71">
        <f>+'8 Yr Forecast LT Adj Assump'!G9</f>
        <v>6000</v>
      </c>
      <c r="I8" s="71">
        <f>+'8 Yr Forecast LT Adj Assump'!I9</f>
        <v>3000</v>
      </c>
      <c r="J8" s="71">
        <f>+'8 Yr Forecast LT Adj Assump'!K9</f>
        <v>3000</v>
      </c>
      <c r="K8" s="71">
        <f>+'8 Yr Forecast LT Adj Assump'!M9</f>
        <v>3000</v>
      </c>
      <c r="L8" s="71">
        <f>+'8 Yr Forecast LT Adj Assump'!O9</f>
        <v>3000</v>
      </c>
      <c r="M8" s="71">
        <f>+'8 Yr Forecast LT Adj Assump'!Q9</f>
        <v>3000</v>
      </c>
      <c r="N8" s="71">
        <f>+'8 Yr Forecast LT Adj Assump'!S9</f>
        <v>3000</v>
      </c>
      <c r="O8" s="71">
        <f>+'8 Yr Forecast LT Adj Assump'!U9</f>
        <v>3000</v>
      </c>
    </row>
    <row r="9" spans="3:16" x14ac:dyDescent="0.15">
      <c r="D9" s="67" t="s">
        <v>43</v>
      </c>
      <c r="F9" s="71">
        <f>+'8 Yr Forecast LT Adj Assump'!C10</f>
        <v>50</v>
      </c>
      <c r="G9" s="71">
        <f>+'8 Yr Forecast LT Adj Assump'!E10</f>
        <v>0</v>
      </c>
      <c r="H9" s="71">
        <f>+'8 Yr Forecast LT Adj Assump'!G10</f>
        <v>50</v>
      </c>
      <c r="I9" s="71">
        <f>+'8 Yr Forecast LT Adj Assump'!I10</f>
        <v>0</v>
      </c>
      <c r="J9" s="71">
        <f>+'8 Yr Forecast LT Adj Assump'!K10</f>
        <v>0</v>
      </c>
      <c r="K9" s="71">
        <f>+'8 Yr Forecast LT Adj Assump'!M10</f>
        <v>0</v>
      </c>
      <c r="L9" s="71">
        <f>+'8 Yr Forecast LT Adj Assump'!O10</f>
        <v>0</v>
      </c>
      <c r="M9" s="71">
        <f>+'8 Yr Forecast LT Adj Assump'!Q10</f>
        <v>0</v>
      </c>
      <c r="N9" s="71">
        <f>+'8 Yr Forecast LT Adj Assump'!S10</f>
        <v>0</v>
      </c>
      <c r="O9" s="71">
        <f>+'8 Yr Forecast LT Adj Assump'!U10</f>
        <v>0</v>
      </c>
    </row>
    <row r="10" spans="3:16" ht="14" thickBot="1" x14ac:dyDescent="0.2">
      <c r="D10" s="260" t="s">
        <v>114</v>
      </c>
      <c r="F10" s="71">
        <f>+'Abbreviate P&amp;L'!C7</f>
        <v>31200</v>
      </c>
      <c r="G10" s="71">
        <f>+'Abbreviate P&amp;L'!E7</f>
        <v>31200</v>
      </c>
      <c r="H10" s="71">
        <f>+'Abbreviate P&amp;L'!G7</f>
        <v>31850</v>
      </c>
      <c r="I10" s="71">
        <f>+'Abbreviate P&amp;L'!I7</f>
        <v>100800</v>
      </c>
      <c r="J10" s="71">
        <f>+'Abbreviate P&amp;L'!K7</f>
        <v>100800</v>
      </c>
      <c r="K10" s="71">
        <f>+'Abbreviate P&amp;L'!M7</f>
        <v>100800</v>
      </c>
      <c r="L10" s="71">
        <f>+'Abbreviate P&amp;L'!O7</f>
        <v>100800</v>
      </c>
      <c r="M10" s="71">
        <f>+'Abbreviate P&amp;L'!Q7</f>
        <v>100800</v>
      </c>
      <c r="N10" s="71">
        <f>+'Abbreviate P&amp;L'!S7</f>
        <v>100800</v>
      </c>
      <c r="O10" s="71">
        <f>+'Abbreviate P&amp;L'!U7</f>
        <v>100800</v>
      </c>
    </row>
    <row r="11" spans="3:16" x14ac:dyDescent="0.15">
      <c r="D11" s="316" t="s">
        <v>2</v>
      </c>
      <c r="E11" s="271"/>
      <c r="F11" s="73">
        <f>SUM(F7:F10)</f>
        <v>217890</v>
      </c>
      <c r="G11" s="73">
        <f t="shared" ref="G11:O11" si="0">SUM(G7:G10)</f>
        <v>207000</v>
      </c>
      <c r="H11" s="73">
        <f t="shared" si="0"/>
        <v>213077</v>
      </c>
      <c r="I11" s="73">
        <f t="shared" si="0"/>
        <v>247800</v>
      </c>
      <c r="J11" s="73">
        <f t="shared" si="0"/>
        <v>247800</v>
      </c>
      <c r="K11" s="73">
        <f t="shared" si="0"/>
        <v>247800</v>
      </c>
      <c r="L11" s="73">
        <f t="shared" si="0"/>
        <v>247800</v>
      </c>
      <c r="M11" s="73">
        <f t="shared" si="0"/>
        <v>247800</v>
      </c>
      <c r="N11" s="73">
        <f t="shared" si="0"/>
        <v>247800</v>
      </c>
      <c r="O11" s="73">
        <f t="shared" si="0"/>
        <v>247800</v>
      </c>
    </row>
    <row r="12" spans="3:16" x14ac:dyDescent="0.15">
      <c r="F12" s="72"/>
      <c r="G12" s="72"/>
      <c r="H12" s="72"/>
      <c r="I12" s="72"/>
      <c r="J12" s="72"/>
      <c r="K12" s="72"/>
      <c r="L12" s="72"/>
      <c r="M12" s="72"/>
    </row>
    <row r="13" spans="3:16" x14ac:dyDescent="0.15">
      <c r="F13" s="72"/>
      <c r="G13" s="72"/>
      <c r="H13" s="72"/>
      <c r="I13" s="72"/>
      <c r="J13" s="72"/>
      <c r="K13" s="72"/>
      <c r="L13" s="72"/>
      <c r="M13" s="72"/>
    </row>
    <row r="14" spans="3:16" x14ac:dyDescent="0.15">
      <c r="F14" s="72"/>
      <c r="G14" s="72"/>
      <c r="H14" s="72"/>
      <c r="I14" s="72"/>
      <c r="J14" s="72"/>
      <c r="K14" s="72"/>
      <c r="L14" s="72"/>
      <c r="M14" s="72"/>
    </row>
    <row r="15" spans="3:16" ht="14" thickBot="1" x14ac:dyDescent="0.2">
      <c r="D15" s="67" t="s">
        <v>45</v>
      </c>
      <c r="F15" s="72"/>
      <c r="G15" s="72"/>
      <c r="H15" s="72"/>
      <c r="I15" s="72"/>
      <c r="J15" s="72"/>
      <c r="K15" s="72"/>
      <c r="L15" s="72"/>
      <c r="M15" s="72"/>
      <c r="P15"/>
    </row>
    <row r="16" spans="3:16" ht="14" thickBot="1" x14ac:dyDescent="0.2">
      <c r="D16" s="67" t="s">
        <v>46</v>
      </c>
      <c r="F16" s="73">
        <f>+'8 Yr Forecast LT Adj Assump'!C23</f>
        <v>55351.15</v>
      </c>
      <c r="G16" s="73">
        <f>+'8 Yr Forecast LT Adj Assump'!E23</f>
        <v>61430</v>
      </c>
      <c r="H16" s="73">
        <f>+'8 Yr Forecast LT Adj Assump'!G23</f>
        <v>57534.43</v>
      </c>
      <c r="I16" s="73">
        <f>+'8 Yr Forecast LT Adj Assump'!I23</f>
        <v>58755.523000000001</v>
      </c>
      <c r="J16" s="73">
        <f>+'8 Yr Forecast LT Adj Assump'!K23</f>
        <v>61105.743920000008</v>
      </c>
      <c r="K16" s="73">
        <f>+'8 Yr Forecast LT Adj Assump'!M23</f>
        <v>62938.916237600009</v>
      </c>
      <c r="L16" s="73">
        <f>+'8 Yr Forecast LT Adj Assump'!O23</f>
        <v>65141.778305915999</v>
      </c>
      <c r="M16" s="73">
        <f>+'8 Yr Forecast LT Adj Assump'!Q23</f>
        <v>67421.740546623056</v>
      </c>
      <c r="N16" s="73">
        <f>+'8 Yr Forecast LT Adj Assump'!S23</f>
        <v>70118.610168487983</v>
      </c>
      <c r="O16" s="73">
        <f>+'8 Yr Forecast LT Adj Assump'!U23</f>
        <v>72923.354575227495</v>
      </c>
      <c r="P16"/>
    </row>
    <row r="17" spans="4:17" ht="14" thickBot="1" x14ac:dyDescent="0.2">
      <c r="D17" s="67" t="s">
        <v>47</v>
      </c>
      <c r="F17" s="73">
        <f>+'8 Yr Forecast LT Adj Assump'!C27</f>
        <v>1737.84</v>
      </c>
      <c r="G17" s="73">
        <f>+'8 Yr Forecast LT Adj Assump'!E27</f>
        <v>1800</v>
      </c>
      <c r="H17" s="73">
        <f>+'8 Yr Forecast LT Adj Assump'!G27</f>
        <v>1805.82</v>
      </c>
      <c r="I17" s="73">
        <f>+'8 Yr Forecast LT Adj Assump'!I27</f>
        <v>1896.1109999999999</v>
      </c>
      <c r="J17" s="73">
        <f>+'8 Yr Forecast LT Adj Assump'!K27</f>
        <v>1971.95544</v>
      </c>
      <c r="K17" s="73">
        <f>+'8 Yr Forecast LT Adj Assump'!M27</f>
        <v>2031.1141032</v>
      </c>
      <c r="L17" s="73">
        <f>+'8 Yr Forecast LT Adj Assump'!O27</f>
        <v>2102.2030968119998</v>
      </c>
      <c r="M17" s="73">
        <f>+'8 Yr Forecast LT Adj Assump'!Q27</f>
        <v>2175.7802052004195</v>
      </c>
      <c r="N17" s="73">
        <f>+'8 Yr Forecast LT Adj Assump'!S27</f>
        <v>2262.8114134084367</v>
      </c>
      <c r="O17" s="73">
        <f>+'8 Yr Forecast LT Adj Assump'!U27</f>
        <v>2353.3238699447743</v>
      </c>
      <c r="P17"/>
    </row>
    <row r="18" spans="4:17" ht="14" thickBot="1" x14ac:dyDescent="0.2">
      <c r="D18" s="67" t="s">
        <v>48</v>
      </c>
      <c r="F18" s="73">
        <f>+'8 Yr Forecast LT Adj Assump'!C33</f>
        <v>43659.929999999993</v>
      </c>
      <c r="G18" s="73">
        <f>+'8 Yr Forecast LT Adj Assump'!E33</f>
        <v>45700</v>
      </c>
      <c r="H18" s="73">
        <f>+'8 Yr Forecast LT Adj Assump'!G33</f>
        <v>30662.95</v>
      </c>
      <c r="I18" s="73">
        <f>+'8 Yr Forecast LT Adj Assump'!I33</f>
        <v>34696.097500000003</v>
      </c>
      <c r="J18" s="73">
        <f>+'8 Yr Forecast LT Adj Assump'!K33</f>
        <v>36083.941400000003</v>
      </c>
      <c r="K18" s="73">
        <f>+'8 Yr Forecast LT Adj Assump'!M33</f>
        <v>37166.459642000002</v>
      </c>
      <c r="L18" s="73">
        <f>+'8 Yr Forecast LT Adj Assump'!O33</f>
        <v>38467.285729470001</v>
      </c>
      <c r="M18" s="73">
        <f>+'8 Yr Forecast LT Adj Assump'!Q33</f>
        <v>39813.640730001454</v>
      </c>
      <c r="N18" s="73">
        <f>+'8 Yr Forecast LT Adj Assump'!S33</f>
        <v>41406.186359201507</v>
      </c>
      <c r="O18" s="73">
        <f>+'8 Yr Forecast LT Adj Assump'!U33</f>
        <v>43062.433813569573</v>
      </c>
      <c r="P18"/>
    </row>
    <row r="19" spans="4:17" x14ac:dyDescent="0.15">
      <c r="D19" s="67" t="s">
        <v>49</v>
      </c>
      <c r="F19" s="73">
        <f>+'8 Yr Forecast LT Adj Assump'!C39</f>
        <v>24814.14</v>
      </c>
      <c r="G19" s="73">
        <f>+'8 Yr Forecast LT Adj Assump'!E39</f>
        <v>25625</v>
      </c>
      <c r="H19" s="73">
        <f>+'8 Yr Forecast LT Adj Assump'!G39</f>
        <v>24716.400000000001</v>
      </c>
      <c r="I19" s="73">
        <f>+'8 Yr Forecast LT Adj Assump'!I39</f>
        <v>25952.22</v>
      </c>
      <c r="J19" s="73">
        <f>+'8 Yr Forecast LT Adj Assump'!K39</f>
        <v>26990.308800000003</v>
      </c>
      <c r="K19" s="73">
        <f>+'8 Yr Forecast LT Adj Assump'!M39</f>
        <v>27800.018064000004</v>
      </c>
      <c r="L19" s="73">
        <f>+'8 Yr Forecast LT Adj Assump'!O39</f>
        <v>28773.01869624</v>
      </c>
      <c r="M19" s="73">
        <f>+'8 Yr Forecast LT Adj Assump'!Q39</f>
        <v>29780.074350608404</v>
      </c>
      <c r="N19" s="73">
        <f>+'8 Yr Forecast LT Adj Assump'!S39</f>
        <v>30971.277324632738</v>
      </c>
      <c r="O19" s="73">
        <f>+'8 Yr Forecast LT Adj Assump'!U39</f>
        <v>32210.128417618049</v>
      </c>
      <c r="P19"/>
    </row>
    <row r="20" spans="4:17" ht="14" thickBot="1" x14ac:dyDescent="0.2">
      <c r="D20" s="260" t="s">
        <v>127</v>
      </c>
      <c r="F20" s="69">
        <f>+'8 Yr Forecast LT Adj Assump'!C64</f>
        <v>82103.88</v>
      </c>
      <c r="G20" s="69">
        <f>+'8 Yr Forecast LT Adj Assump'!E64</f>
        <v>95000</v>
      </c>
      <c r="H20" s="69">
        <f>+'8 Yr Forecast LT Adj Assump'!G64</f>
        <v>124195.47</v>
      </c>
      <c r="I20" s="69">
        <f>+'8 Yr Forecast LT Adj Assump'!I64</f>
        <v>105750</v>
      </c>
      <c r="J20" s="69">
        <f>+'8 Yr Forecast LT Adj Assump'!K64</f>
        <v>92750</v>
      </c>
      <c r="K20" s="69">
        <f>+'8 Yr Forecast LT Adj Assump'!M64</f>
        <v>98250</v>
      </c>
      <c r="L20" s="69">
        <f>+'8 Yr Forecast LT Adj Assump'!O64</f>
        <v>90250</v>
      </c>
      <c r="M20" s="69">
        <f>+'8 Yr Forecast LT Adj Assump'!Q64</f>
        <v>82500</v>
      </c>
      <c r="N20" s="69">
        <f>+'8 Yr Forecast LT Adj Assump'!S64</f>
        <v>59000</v>
      </c>
      <c r="O20" s="69">
        <f>+'8 Yr Forecast LT Adj Assump'!U64</f>
        <v>90500</v>
      </c>
      <c r="P20"/>
    </row>
    <row r="21" spans="4:17" x14ac:dyDescent="0.15">
      <c r="D21" s="271" t="s">
        <v>50</v>
      </c>
      <c r="E21" s="271"/>
      <c r="F21" s="272">
        <f>SUM(F16:F20)</f>
        <v>207666.94</v>
      </c>
      <c r="G21" s="272">
        <f>SUM(G16:G20)</f>
        <v>229555</v>
      </c>
      <c r="H21" s="272">
        <f t="shared" ref="H21:L21" si="1">SUM(H16:H20)</f>
        <v>238915.07</v>
      </c>
      <c r="I21" s="272">
        <f t="shared" si="1"/>
        <v>227049.9515</v>
      </c>
      <c r="J21" s="272">
        <f t="shared" si="1"/>
        <v>218901.94956000001</v>
      </c>
      <c r="K21" s="272">
        <f t="shared" si="1"/>
        <v>228186.50804680001</v>
      </c>
      <c r="L21" s="272">
        <f t="shared" si="1"/>
        <v>224734.28582843801</v>
      </c>
      <c r="M21" s="272">
        <f>SUM(M16:M20)</f>
        <v>221691.23583243333</v>
      </c>
      <c r="N21" s="272">
        <f>SUM(N16:N20)</f>
        <v>203758.88526573067</v>
      </c>
      <c r="O21" s="272">
        <f>SUM(O16:O20)</f>
        <v>241049.24067635988</v>
      </c>
      <c r="P21"/>
    </row>
    <row r="22" spans="4:17" x14ac:dyDescent="0.15">
      <c r="F22" s="72"/>
      <c r="G22" s="72"/>
      <c r="H22" s="72"/>
      <c r="I22" s="72"/>
      <c r="J22" s="72"/>
      <c r="K22" s="72"/>
      <c r="L22" s="72"/>
      <c r="M22" s="72"/>
    </row>
    <row r="23" spans="4:17" x14ac:dyDescent="0.15">
      <c r="F23" s="72"/>
      <c r="G23" s="72"/>
      <c r="H23" s="72"/>
      <c r="I23" s="72"/>
      <c r="J23" s="72"/>
      <c r="K23" s="72"/>
      <c r="L23" s="72"/>
      <c r="M23" s="72"/>
    </row>
    <row r="24" spans="4:17" x14ac:dyDescent="0.15">
      <c r="F24" s="72"/>
      <c r="G24" s="72"/>
      <c r="H24" s="72"/>
      <c r="I24" s="72"/>
      <c r="J24" s="72"/>
      <c r="K24" s="72"/>
      <c r="L24" s="72"/>
      <c r="M24" s="72"/>
    </row>
    <row r="25" spans="4:17" x14ac:dyDescent="0.15">
      <c r="D25" s="67" t="s">
        <v>51</v>
      </c>
      <c r="F25" s="70">
        <f>+'Abbreviate P&amp;L'!C24</f>
        <v>-8098.8493344600247</v>
      </c>
      <c r="G25" s="70">
        <f>+'Abbreviate P&amp;L'!E24</f>
        <v>-75826.909334460041</v>
      </c>
      <c r="H25" s="70">
        <f>+'Abbreviate P&amp;L'!G24</f>
        <v>-79159.990000000005</v>
      </c>
      <c r="I25" s="70">
        <f>+'Abbreviate P&amp;L'!I24</f>
        <v>2478.139165539993</v>
      </c>
      <c r="J25" s="70">
        <f>+'Abbreviate P&amp;L'!K24</f>
        <v>10626.141105539955</v>
      </c>
      <c r="K25" s="70">
        <f>+'Abbreviate P&amp;L'!M24</f>
        <v>5413.4919531999913</v>
      </c>
      <c r="L25" s="70">
        <f>+'Abbreviate P&amp;L'!O24</f>
        <v>23065.714171561995</v>
      </c>
      <c r="M25" s="70">
        <f>+'Abbreviate P&amp;L'!Q24</f>
        <v>26108.764167566667</v>
      </c>
      <c r="N25" s="70">
        <f>+'Abbreviate P&amp;L'!S24</f>
        <v>44041.114734269329</v>
      </c>
      <c r="O25" s="70">
        <f>+'Abbreviate P&amp;L'!U24</f>
        <v>6750.7593236401153</v>
      </c>
      <c r="P25"/>
      <c r="Q25"/>
    </row>
    <row r="26" spans="4:17" x14ac:dyDescent="0.15">
      <c r="D26" s="67" t="s">
        <v>52</v>
      </c>
      <c r="F26" s="70">
        <f>+'8 Yr Forecast LT Adj Assump'!C76</f>
        <v>135514.57066554</v>
      </c>
      <c r="G26" s="70">
        <f>+'8 Yr Forecast LT Adj Assump'!E76</f>
        <v>59687.661331079958</v>
      </c>
      <c r="H26" s="70">
        <f>+'8 Yr Forecast LT Adj Assump'!G76</f>
        <v>55674.67</v>
      </c>
      <c r="I26" s="70">
        <f>+'8 Yr Forecast LT Adj Assump'!I76</f>
        <v>58882.709165540029</v>
      </c>
      <c r="J26" s="70">
        <f>+'8 Yr Forecast LT Adj Assump'!K76</f>
        <v>69508.85027107998</v>
      </c>
      <c r="K26" s="70">
        <f>+'8 Yr Forecast LT Adj Assump'!M76</f>
        <v>74922.342224279972</v>
      </c>
      <c r="L26" s="70">
        <f>+'8 Yr Forecast LT Adj Assump'!O76</f>
        <v>97988.056395841966</v>
      </c>
      <c r="M26" s="70">
        <f>+'8 Yr Forecast LT Adj Assump'!Q76</f>
        <v>124096.82056340863</v>
      </c>
      <c r="N26" s="70">
        <f>+'8 Yr Forecast LT Adj Assump'!S76</f>
        <v>168137.93529767796</v>
      </c>
      <c r="O26" s="70">
        <f>+'8 Yr Forecast LT Adj Assump'!U76</f>
        <v>174888.69462131808</v>
      </c>
      <c r="P26"/>
      <c r="Q26"/>
    </row>
    <row r="27" spans="4:17" x14ac:dyDescent="0.15"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8" spans="4:17" x14ac:dyDescent="0.15"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</row>
    <row r="29" spans="4:17" x14ac:dyDescent="0.15">
      <c r="D29" t="s">
        <v>0</v>
      </c>
      <c r="F29" s="70">
        <f>+F11</f>
        <v>217890</v>
      </c>
      <c r="G29" s="70">
        <f t="shared" ref="G29" si="2">+G11</f>
        <v>207000</v>
      </c>
      <c r="H29" s="70">
        <f t="shared" ref="H29:O29" si="3">+H11</f>
        <v>213077</v>
      </c>
      <c r="I29" s="70">
        <f t="shared" si="3"/>
        <v>247800</v>
      </c>
      <c r="J29" s="70">
        <f t="shared" si="3"/>
        <v>247800</v>
      </c>
      <c r="K29" s="70">
        <f t="shared" si="3"/>
        <v>247800</v>
      </c>
      <c r="L29" s="70">
        <f t="shared" si="3"/>
        <v>247800</v>
      </c>
      <c r="M29" s="70">
        <f t="shared" si="3"/>
        <v>247800</v>
      </c>
      <c r="N29" s="70">
        <f t="shared" si="3"/>
        <v>247800</v>
      </c>
      <c r="O29" s="70">
        <f t="shared" si="3"/>
        <v>247800</v>
      </c>
      <c r="P29"/>
      <c r="Q29"/>
    </row>
    <row r="30" spans="4:17" x14ac:dyDescent="0.15">
      <c r="D30" t="s">
        <v>3</v>
      </c>
      <c r="F30" s="70">
        <f>+F21</f>
        <v>207666.94</v>
      </c>
      <c r="G30" s="70">
        <f t="shared" ref="G30" si="4">+G21</f>
        <v>229555</v>
      </c>
      <c r="H30" s="70">
        <f t="shared" ref="H30:O30" si="5">+H21</f>
        <v>238915.07</v>
      </c>
      <c r="I30" s="70">
        <f t="shared" si="5"/>
        <v>227049.9515</v>
      </c>
      <c r="J30" s="70">
        <f t="shared" si="5"/>
        <v>218901.94956000001</v>
      </c>
      <c r="K30" s="70">
        <f t="shared" si="5"/>
        <v>228186.50804680001</v>
      </c>
      <c r="L30" s="70">
        <f t="shared" si="5"/>
        <v>224734.28582843801</v>
      </c>
      <c r="M30" s="70">
        <f t="shared" si="5"/>
        <v>221691.23583243333</v>
      </c>
      <c r="N30" s="70">
        <f t="shared" si="5"/>
        <v>203758.88526573067</v>
      </c>
      <c r="O30" s="70">
        <f t="shared" si="5"/>
        <v>241049.24067635988</v>
      </c>
      <c r="P30"/>
      <c r="Q30"/>
    </row>
    <row r="31" spans="4:17" x14ac:dyDescent="0.15">
      <c r="D31" t="s">
        <v>54</v>
      </c>
      <c r="F31" s="70">
        <f>+F25</f>
        <v>-8098.8493344600247</v>
      </c>
      <c r="G31" s="70">
        <f t="shared" ref="G31" si="6">+G25</f>
        <v>-75826.909334460041</v>
      </c>
      <c r="H31" s="70">
        <f t="shared" ref="H31:O31" si="7">+H25</f>
        <v>-79159.990000000005</v>
      </c>
      <c r="I31" s="70">
        <f t="shared" si="7"/>
        <v>2478.139165539993</v>
      </c>
      <c r="J31" s="70">
        <f t="shared" si="7"/>
        <v>10626.141105539955</v>
      </c>
      <c r="K31" s="70">
        <f t="shared" si="7"/>
        <v>5413.4919531999913</v>
      </c>
      <c r="L31" s="70">
        <f t="shared" si="7"/>
        <v>23065.714171561995</v>
      </c>
      <c r="M31" s="70">
        <f t="shared" si="7"/>
        <v>26108.764167566667</v>
      </c>
      <c r="N31" s="70">
        <f t="shared" si="7"/>
        <v>44041.114734269329</v>
      </c>
      <c r="O31" s="70">
        <f t="shared" si="7"/>
        <v>6750.7593236401153</v>
      </c>
      <c r="P31"/>
      <c r="Q31"/>
    </row>
    <row r="32" spans="4:17" x14ac:dyDescent="0.15">
      <c r="F32" s="107" t="s">
        <v>133</v>
      </c>
      <c r="G32" s="107" t="s">
        <v>135</v>
      </c>
      <c r="H32" s="107" t="s">
        <v>40</v>
      </c>
      <c r="I32" s="107" t="s">
        <v>57</v>
      </c>
      <c r="J32" s="107" t="s">
        <v>58</v>
      </c>
      <c r="K32" s="107" t="s">
        <v>59</v>
      </c>
      <c r="L32" s="107" t="s">
        <v>66</v>
      </c>
      <c r="M32" s="107" t="s">
        <v>100</v>
      </c>
      <c r="N32" s="107" t="s">
        <v>130</v>
      </c>
      <c r="O32" s="107" t="s">
        <v>137</v>
      </c>
    </row>
    <row r="33" spans="4:15" x14ac:dyDescent="0.15">
      <c r="D33" s="270" t="s">
        <v>53</v>
      </c>
      <c r="F33" s="70">
        <f>+'Abbreviate P&amp;L'!C10</f>
        <v>217840</v>
      </c>
      <c r="G33" s="70">
        <f>+'Abbreviate P&amp;L'!E10</f>
        <v>207000</v>
      </c>
      <c r="H33" s="70">
        <f>+'Abbreviate P&amp;L'!G10</f>
        <v>213027</v>
      </c>
      <c r="I33" s="70">
        <f>+'Abbreviate P&amp;L'!I10</f>
        <v>247800</v>
      </c>
      <c r="J33" s="70">
        <f>+'Abbreviate P&amp;L'!K10</f>
        <v>247800</v>
      </c>
      <c r="K33" s="70">
        <f>+'Abbreviate P&amp;L'!M10</f>
        <v>247800</v>
      </c>
      <c r="L33" s="70">
        <f>+'Abbreviate P&amp;L'!O10</f>
        <v>247800</v>
      </c>
      <c r="M33" s="70">
        <f>+'Abbreviate P&amp;L'!Q10</f>
        <v>247800</v>
      </c>
      <c r="N33" s="70">
        <f>+'Abbreviate P&amp;L'!S10</f>
        <v>247800</v>
      </c>
      <c r="O33" s="70">
        <f>+'Abbreviate P&amp;L'!U10</f>
        <v>247800</v>
      </c>
    </row>
    <row r="34" spans="4:15" x14ac:dyDescent="0.15">
      <c r="D34" s="66" t="s">
        <v>94</v>
      </c>
      <c r="F34" s="70">
        <f>+'Abbreviate P&amp;L'!C17</f>
        <v>125563.05999999998</v>
      </c>
      <c r="G34" s="70">
        <f>+'Abbreviate P&amp;L'!E17</f>
        <v>134555</v>
      </c>
      <c r="H34" s="70">
        <f>+'Abbreviate P&amp;L'!G17</f>
        <v>114719.6</v>
      </c>
      <c r="I34" s="70">
        <f>+'Abbreviate P&amp;L'!I17</f>
        <v>121299.9515</v>
      </c>
      <c r="J34" s="70">
        <f>+'Abbreviate P&amp;L'!K17</f>
        <v>126151.94956000001</v>
      </c>
      <c r="K34" s="70">
        <f>+'Abbreviate P&amp;L'!M17</f>
        <v>129936.50804680001</v>
      </c>
      <c r="L34" s="70">
        <f>+'Abbreviate P&amp;L'!O17</f>
        <v>134484.28582843801</v>
      </c>
      <c r="M34" s="70">
        <f>+'Abbreviate P&amp;L'!Q17</f>
        <v>139191.23583243333</v>
      </c>
      <c r="N34" s="70">
        <f>+'Abbreviate P&amp;L'!S17</f>
        <v>144758.88526573067</v>
      </c>
      <c r="O34" s="70">
        <f>+'Abbreviate P&amp;L'!U17</f>
        <v>150549.24067635988</v>
      </c>
    </row>
    <row r="35" spans="4:15" x14ac:dyDescent="0.15">
      <c r="D35" s="260" t="s">
        <v>127</v>
      </c>
      <c r="F35" s="70">
        <f>+'8 Yr Forecast LT Adj Assump'!C64</f>
        <v>82103.88</v>
      </c>
      <c r="G35" s="70">
        <f>+'8 Yr Forecast LT Adj Assump'!E64</f>
        <v>95000</v>
      </c>
      <c r="H35" s="70">
        <f>+'8 Yr Forecast LT Adj Assump'!G64</f>
        <v>124195.47</v>
      </c>
      <c r="I35" s="70">
        <f>+'8 Yr Forecast LT Adj Assump'!I64</f>
        <v>105750</v>
      </c>
      <c r="J35" s="70">
        <f>+'8 Yr Forecast LT Adj Assump'!K64</f>
        <v>92750</v>
      </c>
      <c r="K35" s="70">
        <f>+'8 Yr Forecast LT Adj Assump'!M64</f>
        <v>98250</v>
      </c>
      <c r="L35" s="70">
        <f>+'8 Yr Forecast LT Adj Assump'!O64</f>
        <v>90250</v>
      </c>
      <c r="M35" s="70">
        <f>+'8 Yr Forecast LT Adj Assump'!Q64</f>
        <v>82500</v>
      </c>
      <c r="N35" s="70">
        <f>+'8 Yr Forecast LT Adj Assump'!S64</f>
        <v>59000</v>
      </c>
      <c r="O35" s="70">
        <f>+'8 Yr Forecast LT Adj Assump'!U64</f>
        <v>90500</v>
      </c>
    </row>
    <row r="36" spans="4:15" x14ac:dyDescent="0.15">
      <c r="D36" s="66" t="s">
        <v>95</v>
      </c>
      <c r="F36" s="70">
        <f>+'Abbreviate P&amp;L'!C22*D39</f>
        <v>-18271.909334460037</v>
      </c>
      <c r="G36" s="70">
        <f>+'Abbreviate P&amp;L'!E22*D39</f>
        <v>-53271.909334460041</v>
      </c>
      <c r="H36" s="70">
        <f>+'Abbreviate P&amp;L'!G22*D39</f>
        <v>-53271.92</v>
      </c>
      <c r="I36" s="70">
        <f>+'Abbreviate P&amp;L'!I22*D39</f>
        <v>-18271.909334460011</v>
      </c>
      <c r="J36" s="70">
        <f>+'Abbreviate P&amp;L'!K22*D39</f>
        <v>-18271.909334460037</v>
      </c>
      <c r="K36" s="70">
        <f>+'Abbreviate P&amp;L'!M22*D39</f>
        <v>-14200</v>
      </c>
      <c r="L36" s="70">
        <f>+'Abbreviate P&amp;L'!O22*D39</f>
        <v>0</v>
      </c>
      <c r="M36" s="70">
        <f>+'Abbreviate P&amp;L'!Q22*D39</f>
        <v>0</v>
      </c>
      <c r="N36" s="70">
        <f>+'Abbreviate P&amp;L'!S22*D39</f>
        <v>0</v>
      </c>
      <c r="O36" s="70">
        <f>+'Abbreviate P&amp;L'!T22*E39</f>
        <v>0</v>
      </c>
    </row>
    <row r="37" spans="4:15" x14ac:dyDescent="0.15">
      <c r="D37" t="s">
        <v>54</v>
      </c>
      <c r="F37" s="70">
        <f>+'Abbreviate P&amp;L'!C24</f>
        <v>-8098.8493344600247</v>
      </c>
      <c r="G37" s="70">
        <f>+'Abbreviate P&amp;L'!E24</f>
        <v>-75826.909334460041</v>
      </c>
      <c r="H37" s="70">
        <f>+'Abbreviate P&amp;L'!G24</f>
        <v>-79159.990000000005</v>
      </c>
      <c r="I37" s="70">
        <f>+'Abbreviate P&amp;L'!I24</f>
        <v>2478.139165539993</v>
      </c>
      <c r="J37" s="70">
        <f>+'Abbreviate P&amp;L'!K24</f>
        <v>10626.141105539955</v>
      </c>
      <c r="K37" s="70">
        <f>+'Abbreviate P&amp;L'!M24</f>
        <v>5413.4919531999913</v>
      </c>
      <c r="L37" s="70">
        <f>+'Abbreviate P&amp;L'!O24</f>
        <v>23065.714171561995</v>
      </c>
      <c r="M37" s="70">
        <f>+'Abbreviate P&amp;L'!Q24</f>
        <v>26108.764167566667</v>
      </c>
      <c r="N37" s="70">
        <f>+'Abbreviate P&amp;L'!S24</f>
        <v>44041.114734269329</v>
      </c>
      <c r="O37" s="70">
        <f>+'Abbreviate P&amp;L'!U24</f>
        <v>6750.7593236401153</v>
      </c>
    </row>
    <row r="38" spans="4:15" x14ac:dyDescent="0.15">
      <c r="D38" s="260" t="s">
        <v>141</v>
      </c>
      <c r="F38" s="115">
        <f>+'Abbreviate P&amp;L'!C28</f>
        <v>135464.57066554003</v>
      </c>
      <c r="G38" s="115">
        <f>+'Abbreviate P&amp;L'!E28</f>
        <v>59687.661331079958</v>
      </c>
      <c r="H38" s="115">
        <f>+'Abbreviate P&amp;L'!G28</f>
        <v>56354.570000000022</v>
      </c>
      <c r="I38" s="115">
        <f>+'Abbreviate P&amp;L'!I28</f>
        <v>58882.709165540015</v>
      </c>
      <c r="J38" s="115">
        <f>+'Abbreviate P&amp;L'!K28</f>
        <v>69508.85027107998</v>
      </c>
      <c r="K38" s="115">
        <f>+'Abbreviate P&amp;L'!M28</f>
        <v>74922.342224279972</v>
      </c>
      <c r="L38" s="115">
        <f>+'Abbreviate P&amp;L'!O28</f>
        <v>97988.056395841966</v>
      </c>
      <c r="M38" s="115">
        <f>+'Abbreviate P&amp;L'!Q28</f>
        <v>124096.82056340863</v>
      </c>
      <c r="N38" s="115">
        <f>+'Abbreviate P&amp;L'!S28</f>
        <v>168137.93529767796</v>
      </c>
      <c r="O38" s="115">
        <f>+'Abbreviate P&amp;L'!U28</f>
        <v>174888.69462131808</v>
      </c>
    </row>
    <row r="39" spans="4:15" x14ac:dyDescent="0.15">
      <c r="D39" s="72">
        <v>-1</v>
      </c>
    </row>
    <row r="40" spans="4:15" ht="14" thickBot="1" x14ac:dyDescent="0.2">
      <c r="F40" s="72"/>
    </row>
    <row r="41" spans="4:15" ht="15" thickTop="1" thickBot="1" x14ac:dyDescent="0.2">
      <c r="D41" s="348"/>
      <c r="E41" s="349"/>
      <c r="F41" s="350" t="s">
        <v>133</v>
      </c>
      <c r="G41" s="350" t="s">
        <v>135</v>
      </c>
      <c r="H41" s="350" t="s">
        <v>40</v>
      </c>
      <c r="I41" s="350" t="s">
        <v>57</v>
      </c>
      <c r="J41" s="350" t="s">
        <v>58</v>
      </c>
      <c r="K41" s="350" t="s">
        <v>59</v>
      </c>
      <c r="L41" s="350" t="s">
        <v>66</v>
      </c>
      <c r="M41" s="350" t="s">
        <v>100</v>
      </c>
      <c r="N41" s="350" t="s">
        <v>130</v>
      </c>
      <c r="O41" s="351" t="s">
        <v>137</v>
      </c>
    </row>
    <row r="42" spans="4:15" x14ac:dyDescent="0.15">
      <c r="D42" s="357" t="s">
        <v>107</v>
      </c>
      <c r="E42" s="355"/>
      <c r="F42" s="355">
        <v>0</v>
      </c>
      <c r="G42" s="355">
        <v>32700</v>
      </c>
      <c r="H42" s="355">
        <v>34000</v>
      </c>
      <c r="I42" s="355">
        <v>36000</v>
      </c>
      <c r="J42" s="355"/>
      <c r="K42" s="355"/>
      <c r="L42" s="355"/>
      <c r="M42" s="355"/>
      <c r="N42" s="355"/>
      <c r="O42" s="358"/>
    </row>
    <row r="43" spans="4:15" x14ac:dyDescent="0.15">
      <c r="D43" s="357" t="s">
        <v>145</v>
      </c>
      <c r="E43" s="355"/>
      <c r="F43" s="355">
        <v>2300</v>
      </c>
      <c r="G43" s="355">
        <v>17800</v>
      </c>
      <c r="H43" s="355">
        <v>40000</v>
      </c>
      <c r="I43" s="355">
        <v>22000</v>
      </c>
      <c r="J43" s="355">
        <v>48000</v>
      </c>
      <c r="K43" s="355">
        <v>5000</v>
      </c>
      <c r="L43" s="355">
        <v>5000</v>
      </c>
      <c r="M43" s="355"/>
      <c r="N43" s="355"/>
      <c r="O43" s="358"/>
    </row>
    <row r="44" spans="4:15" x14ac:dyDescent="0.15">
      <c r="D44" s="357" t="s">
        <v>108</v>
      </c>
      <c r="E44" s="355"/>
      <c r="F44" s="355">
        <v>0</v>
      </c>
      <c r="G44" s="355"/>
      <c r="H44" s="355"/>
      <c r="I44" s="355"/>
      <c r="J44" s="355"/>
      <c r="K44" s="355"/>
      <c r="L44" s="355">
        <v>20000</v>
      </c>
      <c r="M44" s="355"/>
      <c r="N44" s="355"/>
      <c r="O44" s="358"/>
    </row>
    <row r="45" spans="4:15" x14ac:dyDescent="0.15">
      <c r="D45" s="357" t="s">
        <v>142</v>
      </c>
      <c r="E45" s="355"/>
      <c r="F45" s="355"/>
      <c r="G45" s="355">
        <v>6000</v>
      </c>
      <c r="H45" s="355">
        <v>8000</v>
      </c>
      <c r="I45" s="355">
        <v>8000</v>
      </c>
      <c r="J45" s="355"/>
      <c r="K45" s="355">
        <v>5000</v>
      </c>
      <c r="L45" s="355">
        <v>5000</v>
      </c>
      <c r="M45" s="355"/>
      <c r="N45" s="355"/>
      <c r="O45" s="358"/>
    </row>
    <row r="46" spans="4:15" x14ac:dyDescent="0.15">
      <c r="D46" s="357" t="s">
        <v>143</v>
      </c>
      <c r="E46" s="355"/>
      <c r="F46" s="355">
        <v>40000</v>
      </c>
      <c r="G46" s="355">
        <v>5500</v>
      </c>
      <c r="H46" s="355">
        <v>8000</v>
      </c>
      <c r="I46" s="355">
        <v>4000</v>
      </c>
      <c r="J46" s="355">
        <v>4000</v>
      </c>
      <c r="K46" s="355">
        <v>7500</v>
      </c>
      <c r="L46" s="355">
        <v>2500</v>
      </c>
      <c r="M46" s="355"/>
      <c r="N46" s="355"/>
      <c r="O46" s="358"/>
    </row>
    <row r="47" spans="4:15" ht="14" thickBot="1" x14ac:dyDescent="0.2">
      <c r="D47" s="359" t="s">
        <v>144</v>
      </c>
      <c r="E47" s="356"/>
      <c r="F47" s="356">
        <v>10000</v>
      </c>
      <c r="G47" s="356"/>
      <c r="H47" s="356"/>
      <c r="I47" s="356">
        <v>5000</v>
      </c>
      <c r="J47" s="356">
        <v>25000</v>
      </c>
      <c r="K47" s="356">
        <v>3500</v>
      </c>
      <c r="L47" s="356">
        <v>3500</v>
      </c>
      <c r="M47" s="356"/>
      <c r="N47" s="356"/>
      <c r="O47" s="360"/>
    </row>
    <row r="48" spans="4:15" ht="15" thickTop="1" thickBot="1" x14ac:dyDescent="0.2">
      <c r="D48" s="352" t="s">
        <v>44</v>
      </c>
      <c r="E48" s="353"/>
      <c r="F48" s="354">
        <f>SUM(F42:F47)</f>
        <v>52300</v>
      </c>
      <c r="G48" s="354">
        <f t="shared" ref="G48:O48" si="8">SUM(G42:G47)</f>
        <v>62000</v>
      </c>
      <c r="H48" s="354">
        <f t="shared" si="8"/>
        <v>90000</v>
      </c>
      <c r="I48" s="354">
        <f t="shared" si="8"/>
        <v>75000</v>
      </c>
      <c r="J48" s="354">
        <f t="shared" si="8"/>
        <v>77000</v>
      </c>
      <c r="K48" s="354">
        <f t="shared" si="8"/>
        <v>21000</v>
      </c>
      <c r="L48" s="354">
        <f t="shared" si="8"/>
        <v>36000</v>
      </c>
      <c r="M48" s="354">
        <f t="shared" si="8"/>
        <v>0</v>
      </c>
      <c r="N48" s="354">
        <f t="shared" si="8"/>
        <v>0</v>
      </c>
      <c r="O48" s="354">
        <f t="shared" si="8"/>
        <v>0</v>
      </c>
    </row>
    <row r="49" spans="3:6" ht="14" thickTop="1" x14ac:dyDescent="0.15"/>
    <row r="54" spans="3:6" x14ac:dyDescent="0.15">
      <c r="F54" s="69"/>
    </row>
    <row r="55" spans="3:6" x14ac:dyDescent="0.15">
      <c r="F55" s="69"/>
    </row>
    <row r="56" spans="3:6" x14ac:dyDescent="0.15">
      <c r="F56" s="69"/>
    </row>
    <row r="57" spans="3:6" x14ac:dyDescent="0.15">
      <c r="F57" s="69"/>
    </row>
    <row r="58" spans="3:6" x14ac:dyDescent="0.15">
      <c r="C58" s="69">
        <v>2400</v>
      </c>
      <c r="D58" s="67" t="s">
        <v>1</v>
      </c>
      <c r="F58" s="69" t="e">
        <f>+C58*D46</f>
        <v>#VALUE!</v>
      </c>
    </row>
    <row r="59" spans="3:6" x14ac:dyDescent="0.15">
      <c r="C59" s="69">
        <v>550</v>
      </c>
      <c r="D59" s="67" t="s">
        <v>42</v>
      </c>
      <c r="F59" s="69" t="e">
        <f>+D46*C59</f>
        <v>#VALUE!</v>
      </c>
    </row>
    <row r="60" spans="3:6" x14ac:dyDescent="0.15">
      <c r="C60" s="69">
        <v>1500</v>
      </c>
      <c r="D60" s="67" t="s">
        <v>43</v>
      </c>
      <c r="F60" s="69" t="e">
        <f>+D47*C60</f>
        <v>#VALUE!</v>
      </c>
    </row>
    <row r="61" spans="3:6" x14ac:dyDescent="0.15">
      <c r="F61" s="69"/>
    </row>
    <row r="62" spans="3:6" x14ac:dyDescent="0.15">
      <c r="D62" s="67" t="s">
        <v>53</v>
      </c>
      <c r="F62" s="69" t="e">
        <f>SUM(F58:F61)</f>
        <v>#VALUE!</v>
      </c>
    </row>
    <row r="63" spans="3:6" x14ac:dyDescent="0.15">
      <c r="F63" s="69"/>
    </row>
    <row r="64" spans="3:6" x14ac:dyDescent="0.15">
      <c r="F64" s="69"/>
    </row>
    <row r="65" spans="6:6" x14ac:dyDescent="0.15">
      <c r="F65" s="69"/>
    </row>
    <row r="66" spans="6:6" x14ac:dyDescent="0.15">
      <c r="F66" s="69"/>
    </row>
    <row r="67" spans="6:6" x14ac:dyDescent="0.15">
      <c r="F67" s="69"/>
    </row>
    <row r="68" spans="6:6" x14ac:dyDescent="0.15">
      <c r="F68" s="69"/>
    </row>
    <row r="69" spans="6:6" x14ac:dyDescent="0.15">
      <c r="F69" s="69"/>
    </row>
    <row r="70" spans="6:6" x14ac:dyDescent="0.15">
      <c r="F70" s="69"/>
    </row>
    <row r="71" spans="6:6" x14ac:dyDescent="0.15">
      <c r="F71" s="69"/>
    </row>
    <row r="72" spans="6:6" x14ac:dyDescent="0.15">
      <c r="F72" s="69"/>
    </row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BE0B-1366-4395-BDC3-B6BD1D324395}">
  <dimension ref="A1:R394"/>
  <sheetViews>
    <sheetView topLeftCell="A86" workbookViewId="0">
      <selection activeCell="H115" sqref="H115:K115"/>
    </sheetView>
  </sheetViews>
  <sheetFormatPr baseColWidth="10" defaultColWidth="8.6640625" defaultRowHeight="13" x14ac:dyDescent="0.15"/>
  <cols>
    <col min="1" max="1" width="8.6640625" style="67"/>
    <col min="2" max="2" width="15.5" style="67" customWidth="1"/>
    <col min="3" max="3" width="13.33203125" style="67" customWidth="1"/>
    <col min="4" max="5" width="12.1640625" style="67" customWidth="1"/>
    <col min="6" max="6" width="11.5" style="67" customWidth="1"/>
    <col min="7" max="7" width="12.33203125" style="67" customWidth="1"/>
    <col min="8" max="8" width="21.33203125" style="67" customWidth="1"/>
    <col min="9" max="9" width="11" style="67" customWidth="1"/>
    <col min="10" max="10" width="8.6640625" style="67"/>
    <col min="11" max="11" width="12.83203125" style="67" customWidth="1"/>
    <col min="12" max="12" width="13.83203125" style="67" customWidth="1"/>
    <col min="13" max="13" width="9.5" style="67" customWidth="1"/>
    <col min="14" max="14" width="12.5" style="67" customWidth="1"/>
    <col min="15" max="16" width="8.6640625" style="67"/>
    <col min="17" max="17" width="11.5" style="67" customWidth="1"/>
    <col min="18" max="16384" width="8.6640625" style="67"/>
  </cols>
  <sheetData>
    <row r="1" spans="1:14" x14ac:dyDescent="0.15">
      <c r="H1" s="107"/>
      <c r="I1" s="107"/>
    </row>
    <row r="2" spans="1:14" x14ac:dyDescent="0.15">
      <c r="H2" s="68"/>
      <c r="I2" s="68"/>
    </row>
    <row r="3" spans="1:14" x14ac:dyDescent="0.15">
      <c r="A3" s="68"/>
      <c r="B3" s="68"/>
      <c r="C3" s="68"/>
      <c r="D3" s="108"/>
      <c r="E3" s="68"/>
      <c r="F3" s="68"/>
      <c r="G3" s="68"/>
      <c r="H3" s="87"/>
      <c r="I3" s="108"/>
    </row>
    <row r="4" spans="1:14" x14ac:dyDescent="0.15">
      <c r="A4" s="68"/>
      <c r="B4" s="68"/>
      <c r="C4" s="68"/>
      <c r="D4" s="68"/>
      <c r="E4" s="68"/>
      <c r="F4" s="68"/>
      <c r="H4" s="87"/>
      <c r="I4" s="108"/>
    </row>
    <row r="5" spans="1:14" x14ac:dyDescent="0.15">
      <c r="A5" s="68"/>
      <c r="B5" s="68"/>
      <c r="C5" s="68"/>
      <c r="D5" s="108"/>
      <c r="E5" s="68"/>
      <c r="F5" s="68"/>
      <c r="H5" s="87"/>
      <c r="I5" s="108"/>
    </row>
    <row r="6" spans="1:14" x14ac:dyDescent="0.15">
      <c r="A6" s="68"/>
      <c r="B6" s="68"/>
      <c r="C6" s="68"/>
      <c r="D6" s="108"/>
      <c r="E6" s="68"/>
      <c r="F6" s="68"/>
      <c r="H6" s="87"/>
      <c r="I6" s="108"/>
      <c r="K6" s="109"/>
      <c r="L6" s="109"/>
    </row>
    <row r="7" spans="1:14" x14ac:dyDescent="0.15">
      <c r="A7" s="68"/>
      <c r="B7" s="68"/>
      <c r="C7" s="68"/>
      <c r="D7" s="108"/>
      <c r="E7" s="68"/>
      <c r="F7" s="68"/>
      <c r="H7" s="87"/>
      <c r="I7" s="108"/>
      <c r="K7" s="109"/>
      <c r="L7" s="109"/>
    </row>
    <row r="8" spans="1:14" x14ac:dyDescent="0.15">
      <c r="A8" s="68"/>
      <c r="B8" s="68"/>
      <c r="C8" s="68"/>
      <c r="D8" s="108"/>
      <c r="E8" s="68"/>
      <c r="F8" s="68"/>
      <c r="H8" s="87"/>
      <c r="I8" s="108"/>
      <c r="K8" s="109"/>
      <c r="L8" s="109"/>
    </row>
    <row r="9" spans="1:14" x14ac:dyDescent="0.15">
      <c r="A9" s="68" t="s">
        <v>73</v>
      </c>
      <c r="B9" s="68"/>
      <c r="C9" s="68"/>
      <c r="D9" s="108">
        <v>150000</v>
      </c>
      <c r="E9" s="68"/>
      <c r="F9" s="68"/>
      <c r="H9" s="87"/>
      <c r="I9" s="108"/>
      <c r="K9" s="109"/>
      <c r="L9" s="109"/>
    </row>
    <row r="10" spans="1:14" ht="18" x14ac:dyDescent="0.2">
      <c r="A10" s="68"/>
      <c r="B10" s="68"/>
      <c r="C10" s="68"/>
      <c r="D10" s="68"/>
      <c r="E10" s="68"/>
      <c r="F10" s="68"/>
      <c r="H10" s="87"/>
      <c r="I10" s="108"/>
      <c r="J10" s="110"/>
      <c r="K10" s="111"/>
      <c r="L10" s="109"/>
    </row>
    <row r="11" spans="1:14" x14ac:dyDescent="0.15">
      <c r="A11" s="68" t="s">
        <v>75</v>
      </c>
      <c r="B11" s="68"/>
      <c r="C11" s="68"/>
      <c r="D11" s="112">
        <f>+(0.04*365)/360</f>
        <v>4.0555555555555553E-2</v>
      </c>
      <c r="E11" s="68"/>
      <c r="F11" s="68"/>
      <c r="H11" s="87"/>
      <c r="I11" s="108"/>
      <c r="K11" s="109"/>
      <c r="L11" s="109"/>
    </row>
    <row r="12" spans="1:14" x14ac:dyDescent="0.15">
      <c r="A12" s="68"/>
      <c r="B12" s="68"/>
      <c r="C12" s="68"/>
      <c r="D12" s="68"/>
      <c r="E12" s="68"/>
      <c r="F12" s="68"/>
      <c r="H12" s="87"/>
      <c r="I12" s="108"/>
      <c r="K12" s="109"/>
      <c r="L12" s="109"/>
      <c r="M12" s="68"/>
      <c r="N12" s="108"/>
    </row>
    <row r="13" spans="1:14" x14ac:dyDescent="0.15">
      <c r="A13" s="68" t="s">
        <v>76</v>
      </c>
      <c r="B13" s="68"/>
      <c r="C13" s="68"/>
      <c r="D13" s="68">
        <v>84</v>
      </c>
      <c r="E13" s="68"/>
      <c r="H13" s="87"/>
      <c r="I13" s="108"/>
      <c r="K13" s="68"/>
      <c r="L13" s="68"/>
      <c r="M13" s="68"/>
      <c r="N13" s="108"/>
    </row>
    <row r="14" spans="1:14" x14ac:dyDescent="0.15">
      <c r="A14" s="68"/>
      <c r="B14" s="68"/>
      <c r="C14" s="68"/>
      <c r="D14" s="68"/>
      <c r="E14" s="68"/>
      <c r="F14" s="68"/>
      <c r="H14" s="87"/>
      <c r="I14" s="108"/>
      <c r="K14" s="68"/>
      <c r="L14" s="68"/>
      <c r="M14" s="68"/>
      <c r="N14" s="68"/>
    </row>
    <row r="15" spans="1:14" x14ac:dyDescent="0.15">
      <c r="A15" s="68" t="s">
        <v>77</v>
      </c>
      <c r="B15" s="68"/>
      <c r="C15" s="68"/>
      <c r="D15" s="113">
        <f>PMT(D11/12,D13,D9)+531.15+0.35</f>
        <v>-1522.6591112050032</v>
      </c>
      <c r="E15" s="68"/>
      <c r="F15" s="68"/>
      <c r="H15" s="68"/>
      <c r="I15" s="108"/>
      <c r="K15" s="68"/>
      <c r="L15" s="68"/>
      <c r="M15" s="68"/>
      <c r="N15" s="112"/>
    </row>
    <row r="16" spans="1:14" x14ac:dyDescent="0.15">
      <c r="A16" s="68"/>
      <c r="B16" s="68"/>
      <c r="C16" s="68"/>
      <c r="D16" s="68"/>
      <c r="E16" s="68"/>
      <c r="F16" s="68"/>
      <c r="H16" s="68"/>
      <c r="I16" s="108"/>
      <c r="K16" s="68"/>
      <c r="L16" s="68"/>
      <c r="M16" s="68"/>
      <c r="N16" s="68"/>
    </row>
    <row r="17" spans="1:18" x14ac:dyDescent="0.15">
      <c r="A17" s="68" t="s">
        <v>8</v>
      </c>
      <c r="B17" s="68"/>
      <c r="C17" s="68"/>
      <c r="D17" s="114">
        <v>0</v>
      </c>
      <c r="E17" s="68"/>
      <c r="F17" s="68"/>
      <c r="G17" s="87"/>
      <c r="H17" s="68"/>
      <c r="I17" s="108"/>
      <c r="K17" s="68"/>
      <c r="L17" s="68"/>
      <c r="M17" s="68"/>
      <c r="N17" s="68"/>
    </row>
    <row r="18" spans="1:18" x14ac:dyDescent="0.15">
      <c r="A18" s="68"/>
      <c r="B18" s="68"/>
      <c r="C18" s="68"/>
      <c r="D18" s="68"/>
      <c r="E18" s="68"/>
      <c r="F18" s="68"/>
      <c r="G18" s="68"/>
      <c r="H18" s="87"/>
      <c r="I18" s="108"/>
      <c r="K18" s="68"/>
      <c r="L18" s="68"/>
      <c r="M18" s="68"/>
      <c r="N18" s="68"/>
    </row>
    <row r="19" spans="1:18" x14ac:dyDescent="0.15">
      <c r="A19" s="68" t="s">
        <v>7</v>
      </c>
      <c r="B19" s="68"/>
      <c r="C19" s="68"/>
      <c r="D19" s="108">
        <v>0</v>
      </c>
      <c r="E19" s="68"/>
      <c r="F19" s="68"/>
      <c r="G19" s="68"/>
      <c r="H19" s="68"/>
      <c r="I19" s="108"/>
      <c r="K19" s="68"/>
      <c r="L19" s="68"/>
      <c r="M19" s="68"/>
      <c r="N19" s="113"/>
    </row>
    <row r="20" spans="1:18" x14ac:dyDescent="0.15">
      <c r="A20" s="68"/>
      <c r="B20" s="68"/>
      <c r="C20" s="68"/>
      <c r="D20" s="68"/>
      <c r="E20" s="68"/>
      <c r="F20" s="68"/>
      <c r="G20" s="68"/>
      <c r="H20" s="87"/>
      <c r="I20" s="108"/>
      <c r="K20" s="68"/>
      <c r="L20" s="68"/>
      <c r="M20" s="68"/>
      <c r="N20" s="68"/>
    </row>
    <row r="21" spans="1:18" x14ac:dyDescent="0.15">
      <c r="A21" s="68" t="s">
        <v>78</v>
      </c>
      <c r="B21" s="68"/>
      <c r="C21" s="68"/>
      <c r="D21" s="108">
        <f>+D15-((D17+D19)/12)</f>
        <v>-1522.6591112050032</v>
      </c>
      <c r="E21" s="68"/>
      <c r="F21" s="68"/>
      <c r="G21" s="68"/>
      <c r="H21" s="68"/>
      <c r="I21" s="108"/>
      <c r="K21" s="68"/>
      <c r="L21" s="68"/>
      <c r="M21" s="68"/>
      <c r="N21" s="108"/>
    </row>
    <row r="22" spans="1:18" x14ac:dyDescent="0.15">
      <c r="A22" s="68"/>
      <c r="B22" s="68"/>
      <c r="C22" s="68"/>
      <c r="D22" s="68"/>
      <c r="E22" s="68"/>
      <c r="F22" s="68"/>
      <c r="G22" s="68"/>
      <c r="H22" s="68"/>
      <c r="I22" s="108"/>
      <c r="K22" s="68"/>
      <c r="L22" s="68"/>
      <c r="M22" s="68"/>
      <c r="N22" s="108"/>
    </row>
    <row r="23" spans="1:18" x14ac:dyDescent="0.15">
      <c r="A23" s="68" t="s">
        <v>79</v>
      </c>
      <c r="B23" s="68"/>
      <c r="C23" s="68"/>
      <c r="D23" s="108">
        <f>+I7-D21</f>
        <v>1522.6591112050032</v>
      </c>
      <c r="E23" s="68"/>
      <c r="F23" s="68"/>
      <c r="G23" s="68"/>
      <c r="K23" s="68"/>
      <c r="L23" s="68"/>
      <c r="M23" s="68"/>
      <c r="N23" s="108"/>
    </row>
    <row r="24" spans="1:18" x14ac:dyDescent="0.15">
      <c r="A24" s="68"/>
      <c r="B24" s="68"/>
      <c r="C24" s="68"/>
      <c r="D24" s="68"/>
      <c r="E24" s="68"/>
      <c r="F24" s="68"/>
      <c r="G24" s="68"/>
      <c r="H24" s="68"/>
      <c r="I24" s="108"/>
      <c r="K24" s="68"/>
      <c r="L24" s="68"/>
      <c r="M24" s="68"/>
      <c r="N24" s="108"/>
    </row>
    <row r="25" spans="1:18" x14ac:dyDescent="0.15">
      <c r="A25" s="68"/>
      <c r="B25" s="68"/>
      <c r="C25" s="68"/>
      <c r="D25" s="68"/>
      <c r="E25" s="68"/>
      <c r="F25" s="68"/>
      <c r="G25" s="68"/>
      <c r="K25" s="68"/>
      <c r="L25" s="68"/>
      <c r="M25" s="68"/>
      <c r="N25" s="108"/>
    </row>
    <row r="26" spans="1:18" ht="28" x14ac:dyDescent="0.15">
      <c r="A26" s="68"/>
      <c r="B26" s="116" t="s">
        <v>27</v>
      </c>
      <c r="C26" s="107" t="s">
        <v>80</v>
      </c>
      <c r="D26" s="116" t="s">
        <v>81</v>
      </c>
      <c r="E26" s="107" t="s">
        <v>82</v>
      </c>
      <c r="F26" s="107" t="s">
        <v>83</v>
      </c>
      <c r="G26" s="107" t="s">
        <v>74</v>
      </c>
      <c r="H26" s="116" t="s">
        <v>29</v>
      </c>
      <c r="I26" s="68"/>
    </row>
    <row r="27" spans="1:18" x14ac:dyDescent="0.15">
      <c r="A27" s="68">
        <v>1</v>
      </c>
      <c r="B27" s="108">
        <v>150000</v>
      </c>
      <c r="C27" s="108">
        <f>+D14*-1</f>
        <v>0</v>
      </c>
      <c r="D27" s="108">
        <f>+(B27*D$11)/12</f>
        <v>506.9444444444444</v>
      </c>
      <c r="E27" s="115">
        <f>+C27-D27-F27-G27</f>
        <v>-506.9444444444444</v>
      </c>
      <c r="F27" s="115">
        <v>0</v>
      </c>
      <c r="G27" s="115">
        <f>+I6</f>
        <v>0</v>
      </c>
      <c r="H27" s="115">
        <f>+B27-E27</f>
        <v>150506.94444444444</v>
      </c>
      <c r="I27" s="119">
        <v>44197</v>
      </c>
      <c r="L27" s="117"/>
      <c r="M27" s="118"/>
      <c r="N27" s="117"/>
      <c r="Q27" s="117"/>
    </row>
    <row r="28" spans="1:18" x14ac:dyDescent="0.15">
      <c r="A28" s="68">
        <f>A27+1</f>
        <v>2</v>
      </c>
      <c r="B28" s="108">
        <f>+H27</f>
        <v>150506.94444444444</v>
      </c>
      <c r="C28" s="108">
        <f>+D15*-1</f>
        <v>1522.6591112050032</v>
      </c>
      <c r="D28" s="108">
        <f>+(B28*D$11)/12</f>
        <v>508.65772890946499</v>
      </c>
      <c r="E28" s="115">
        <f>+C28-D28-F28-G28</f>
        <v>1014.0013822955382</v>
      </c>
      <c r="F28" s="115">
        <v>0</v>
      </c>
      <c r="G28" s="115">
        <f>+I7</f>
        <v>0</v>
      </c>
      <c r="H28" s="115">
        <f>+B28-E28</f>
        <v>149492.9430621489</v>
      </c>
      <c r="I28" s="119">
        <v>44228</v>
      </c>
      <c r="K28" s="120"/>
      <c r="L28" s="108"/>
      <c r="M28" s="108"/>
      <c r="N28" s="108"/>
      <c r="O28" s="115"/>
      <c r="P28" s="115"/>
      <c r="Q28" s="115"/>
      <c r="R28" s="121"/>
    </row>
    <row r="29" spans="1:18" x14ac:dyDescent="0.15">
      <c r="A29" s="68">
        <f t="shared" ref="A29:A92" si="0">A28+1</f>
        <v>3</v>
      </c>
      <c r="B29" s="108">
        <f>+H28</f>
        <v>149492.9430621489</v>
      </c>
      <c r="C29" s="108">
        <f>+C28</f>
        <v>1522.6591112050032</v>
      </c>
      <c r="D29" s="108">
        <f t="shared" ref="D29:D92" si="1">+(B29*D$11)/12</f>
        <v>505.23077979337359</v>
      </c>
      <c r="E29" s="115">
        <f>+C29-D29-F29-G29</f>
        <v>1017.4283314116296</v>
      </c>
      <c r="F29" s="115">
        <f>+F28</f>
        <v>0</v>
      </c>
      <c r="G29" s="115">
        <f>+G28</f>
        <v>0</v>
      </c>
      <c r="H29" s="115">
        <f>+B29-E29</f>
        <v>148475.51473073728</v>
      </c>
      <c r="I29" s="119">
        <f>+I28+31</f>
        <v>44259</v>
      </c>
      <c r="K29" s="120"/>
      <c r="L29" s="108"/>
      <c r="M29" s="108"/>
      <c r="N29" s="108"/>
      <c r="O29" s="115"/>
      <c r="P29" s="115"/>
      <c r="Q29" s="115"/>
      <c r="R29" s="121"/>
    </row>
    <row r="30" spans="1:18" x14ac:dyDescent="0.15">
      <c r="A30" s="67">
        <f t="shared" si="0"/>
        <v>4</v>
      </c>
      <c r="B30" s="108">
        <f>+H29</f>
        <v>148475.51473073728</v>
      </c>
      <c r="C30" s="108">
        <f t="shared" ref="C30:C93" si="2">+C29</f>
        <v>1522.6591112050032</v>
      </c>
      <c r="D30" s="108">
        <f t="shared" si="1"/>
        <v>501.79224885851022</v>
      </c>
      <c r="E30" s="115">
        <f t="shared" ref="E30:E93" si="3">+C30-D30-F30-G30</f>
        <v>1020.866862346493</v>
      </c>
      <c r="F30" s="115">
        <f t="shared" ref="F30:G45" si="4">+F29</f>
        <v>0</v>
      </c>
      <c r="G30" s="115">
        <f t="shared" si="4"/>
        <v>0</v>
      </c>
      <c r="H30" s="115">
        <f t="shared" ref="H30:H93" si="5">+B30-E30</f>
        <v>147454.64786839078</v>
      </c>
      <c r="I30" s="121">
        <f t="shared" ref="I30:I93" si="6">+I29+31</f>
        <v>44290</v>
      </c>
      <c r="K30" s="120"/>
      <c r="L30" s="108"/>
      <c r="M30" s="108"/>
      <c r="N30" s="108"/>
      <c r="O30" s="115"/>
      <c r="P30" s="115"/>
      <c r="Q30" s="115"/>
      <c r="R30" s="121"/>
    </row>
    <row r="31" spans="1:18" x14ac:dyDescent="0.15">
      <c r="A31" s="67">
        <f t="shared" si="0"/>
        <v>5</v>
      </c>
      <c r="B31" s="108">
        <f t="shared" ref="B31:B94" si="7">+H30</f>
        <v>147454.64786839078</v>
      </c>
      <c r="C31" s="108">
        <f t="shared" si="2"/>
        <v>1522.6591112050032</v>
      </c>
      <c r="D31" s="108">
        <f t="shared" si="1"/>
        <v>498.34209696261695</v>
      </c>
      <c r="E31" s="115">
        <f t="shared" si="3"/>
        <v>1024.3170142423862</v>
      </c>
      <c r="F31" s="115">
        <f t="shared" si="4"/>
        <v>0</v>
      </c>
      <c r="G31" s="115">
        <f t="shared" si="4"/>
        <v>0</v>
      </c>
      <c r="H31" s="115">
        <f t="shared" si="5"/>
        <v>146430.3308541484</v>
      </c>
      <c r="I31" s="121">
        <f t="shared" si="6"/>
        <v>44321</v>
      </c>
      <c r="K31" s="120"/>
      <c r="L31" s="108"/>
      <c r="M31" s="108"/>
      <c r="N31" s="108"/>
      <c r="O31" s="115"/>
      <c r="P31" s="115"/>
      <c r="Q31" s="115"/>
      <c r="R31" s="121"/>
    </row>
    <row r="32" spans="1:18" x14ac:dyDescent="0.15">
      <c r="A32" s="67">
        <f t="shared" si="0"/>
        <v>6</v>
      </c>
      <c r="B32" s="108">
        <f t="shared" si="7"/>
        <v>146430.3308541484</v>
      </c>
      <c r="C32" s="108">
        <f t="shared" si="2"/>
        <v>1522.6591112050032</v>
      </c>
      <c r="D32" s="108">
        <f t="shared" si="1"/>
        <v>494.88028483114971</v>
      </c>
      <c r="E32" s="115">
        <f t="shared" si="3"/>
        <v>1027.7788263738535</v>
      </c>
      <c r="F32" s="115">
        <f t="shared" si="4"/>
        <v>0</v>
      </c>
      <c r="G32" s="115">
        <f t="shared" si="4"/>
        <v>0</v>
      </c>
      <c r="H32" s="115">
        <f t="shared" si="5"/>
        <v>145402.55202777454</v>
      </c>
      <c r="I32" s="121">
        <f t="shared" si="6"/>
        <v>44352</v>
      </c>
      <c r="K32" s="120"/>
      <c r="L32" s="108"/>
      <c r="M32" s="108"/>
      <c r="N32" s="108"/>
      <c r="O32" s="115"/>
      <c r="P32" s="115"/>
      <c r="Q32" s="115"/>
      <c r="R32" s="121"/>
    </row>
    <row r="33" spans="1:18" x14ac:dyDescent="0.15">
      <c r="A33" s="67">
        <f t="shared" si="0"/>
        <v>7</v>
      </c>
      <c r="B33" s="108">
        <f t="shared" si="7"/>
        <v>145402.55202777454</v>
      </c>
      <c r="C33" s="108">
        <f t="shared" si="2"/>
        <v>1522.6591112050032</v>
      </c>
      <c r="D33" s="108">
        <f t="shared" si="1"/>
        <v>491.40677305683062</v>
      </c>
      <c r="E33" s="115">
        <f t="shared" si="3"/>
        <v>1031.2523381481726</v>
      </c>
      <c r="F33" s="115">
        <f t="shared" si="4"/>
        <v>0</v>
      </c>
      <c r="G33" s="115">
        <f t="shared" si="4"/>
        <v>0</v>
      </c>
      <c r="H33" s="115">
        <f t="shared" si="5"/>
        <v>144371.29968962638</v>
      </c>
      <c r="I33" s="121">
        <f t="shared" si="6"/>
        <v>44383</v>
      </c>
      <c r="L33" s="108"/>
      <c r="M33" s="108"/>
      <c r="N33" s="108"/>
      <c r="O33" s="115"/>
      <c r="P33" s="115"/>
      <c r="Q33" s="115"/>
      <c r="R33" s="121"/>
    </row>
    <row r="34" spans="1:18" x14ac:dyDescent="0.15">
      <c r="A34" s="67">
        <f t="shared" si="0"/>
        <v>8</v>
      </c>
      <c r="B34" s="108">
        <f t="shared" si="7"/>
        <v>144371.29968962638</v>
      </c>
      <c r="C34" s="108">
        <f t="shared" si="2"/>
        <v>1522.6591112050032</v>
      </c>
      <c r="D34" s="108">
        <f t="shared" si="1"/>
        <v>487.92152209920022</v>
      </c>
      <c r="E34" s="115">
        <f t="shared" si="3"/>
        <v>1034.737589105803</v>
      </c>
      <c r="F34" s="115">
        <f t="shared" si="4"/>
        <v>0</v>
      </c>
      <c r="G34" s="115">
        <f t="shared" si="4"/>
        <v>0</v>
      </c>
      <c r="H34" s="115">
        <f t="shared" si="5"/>
        <v>143336.56210052059</v>
      </c>
      <c r="I34" s="121">
        <f t="shared" si="6"/>
        <v>44414</v>
      </c>
      <c r="L34" s="108"/>
      <c r="M34" s="108"/>
      <c r="N34" s="108"/>
      <c r="O34" s="115"/>
      <c r="P34" s="115"/>
      <c r="Q34" s="115"/>
      <c r="R34" s="121"/>
    </row>
    <row r="35" spans="1:18" x14ac:dyDescent="0.15">
      <c r="A35" s="67">
        <f t="shared" si="0"/>
        <v>9</v>
      </c>
      <c r="B35" s="108">
        <f t="shared" si="7"/>
        <v>143336.56210052059</v>
      </c>
      <c r="C35" s="108">
        <f t="shared" si="2"/>
        <v>1522.6591112050032</v>
      </c>
      <c r="D35" s="108">
        <f t="shared" si="1"/>
        <v>484.42449228416677</v>
      </c>
      <c r="E35" s="115">
        <f t="shared" si="3"/>
        <v>1038.2346189208365</v>
      </c>
      <c r="F35" s="115">
        <f t="shared" si="4"/>
        <v>0</v>
      </c>
      <c r="G35" s="115">
        <f t="shared" si="4"/>
        <v>0</v>
      </c>
      <c r="H35" s="115">
        <f t="shared" si="5"/>
        <v>142298.32748159976</v>
      </c>
      <c r="I35" s="121">
        <f t="shared" si="6"/>
        <v>44445</v>
      </c>
      <c r="L35" s="108"/>
      <c r="M35" s="108"/>
      <c r="N35" s="108"/>
      <c r="O35" s="115"/>
      <c r="P35" s="115"/>
      <c r="Q35" s="115"/>
      <c r="R35" s="121"/>
    </row>
    <row r="36" spans="1:18" x14ac:dyDescent="0.15">
      <c r="A36" s="67">
        <f t="shared" si="0"/>
        <v>10</v>
      </c>
      <c r="B36" s="108">
        <f t="shared" si="7"/>
        <v>142298.32748159976</v>
      </c>
      <c r="C36" s="108">
        <f t="shared" si="2"/>
        <v>1522.6591112050032</v>
      </c>
      <c r="D36" s="108">
        <f t="shared" si="1"/>
        <v>480.9156438035547</v>
      </c>
      <c r="E36" s="115">
        <f t="shared" si="3"/>
        <v>1041.7434674014485</v>
      </c>
      <c r="F36" s="115">
        <f t="shared" si="4"/>
        <v>0</v>
      </c>
      <c r="G36" s="115">
        <f t="shared" si="4"/>
        <v>0</v>
      </c>
      <c r="H36" s="115">
        <f t="shared" si="5"/>
        <v>141256.58401419831</v>
      </c>
      <c r="I36" s="121">
        <f t="shared" si="6"/>
        <v>44476</v>
      </c>
      <c r="L36" s="108"/>
      <c r="M36" s="108"/>
      <c r="N36" s="108"/>
      <c r="O36" s="115"/>
      <c r="P36" s="115"/>
      <c r="Q36" s="115"/>
      <c r="R36" s="121"/>
    </row>
    <row r="37" spans="1:18" x14ac:dyDescent="0.15">
      <c r="A37" s="67">
        <f t="shared" si="0"/>
        <v>11</v>
      </c>
      <c r="B37" s="108">
        <f t="shared" si="7"/>
        <v>141256.58401419831</v>
      </c>
      <c r="C37" s="108">
        <f t="shared" si="2"/>
        <v>1522.6591112050032</v>
      </c>
      <c r="D37" s="108">
        <f t="shared" si="1"/>
        <v>477.39493671465169</v>
      </c>
      <c r="E37" s="115">
        <f t="shared" si="3"/>
        <v>1045.2641744903515</v>
      </c>
      <c r="F37" s="115">
        <f t="shared" si="4"/>
        <v>0</v>
      </c>
      <c r="G37" s="115">
        <f t="shared" si="4"/>
        <v>0</v>
      </c>
      <c r="H37" s="115">
        <f t="shared" si="5"/>
        <v>140211.31983970795</v>
      </c>
      <c r="I37" s="121">
        <f t="shared" si="6"/>
        <v>44507</v>
      </c>
      <c r="L37" s="108"/>
      <c r="M37" s="108"/>
      <c r="N37" s="108"/>
      <c r="O37" s="115"/>
      <c r="P37" s="115"/>
      <c r="Q37" s="115"/>
      <c r="R37" s="121"/>
    </row>
    <row r="38" spans="1:18" x14ac:dyDescent="0.15">
      <c r="A38" s="67">
        <f t="shared" si="0"/>
        <v>12</v>
      </c>
      <c r="B38" s="108">
        <f t="shared" si="7"/>
        <v>140211.31983970795</v>
      </c>
      <c r="C38" s="108">
        <f t="shared" si="2"/>
        <v>1522.6591112050032</v>
      </c>
      <c r="D38" s="108">
        <f t="shared" si="1"/>
        <v>473.86233093975369</v>
      </c>
      <c r="E38" s="115">
        <f t="shared" si="3"/>
        <v>1048.7967802652495</v>
      </c>
      <c r="F38" s="115">
        <f t="shared" si="4"/>
        <v>0</v>
      </c>
      <c r="G38" s="115">
        <f t="shared" si="4"/>
        <v>0</v>
      </c>
      <c r="H38" s="115">
        <f t="shared" si="5"/>
        <v>139162.5230594427</v>
      </c>
      <c r="I38" s="121">
        <f t="shared" si="6"/>
        <v>44538</v>
      </c>
      <c r="K38" s="115">
        <f>SUM(C26:C38)</f>
        <v>16749.250223255032</v>
      </c>
      <c r="L38" s="108"/>
      <c r="M38" s="108"/>
      <c r="N38" s="108"/>
      <c r="O38" s="115"/>
      <c r="P38" s="115"/>
      <c r="Q38" s="115"/>
      <c r="R38" s="121"/>
    </row>
    <row r="39" spans="1:18" x14ac:dyDescent="0.15">
      <c r="A39" s="67">
        <f t="shared" si="0"/>
        <v>13</v>
      </c>
      <c r="B39" s="108">
        <f t="shared" si="7"/>
        <v>139162.5230594427</v>
      </c>
      <c r="C39" s="108">
        <f t="shared" si="2"/>
        <v>1522.6591112050032</v>
      </c>
      <c r="D39" s="108">
        <f t="shared" si="1"/>
        <v>470.31778626570912</v>
      </c>
      <c r="E39" s="115">
        <f t="shared" si="3"/>
        <v>1052.3413249392941</v>
      </c>
      <c r="F39" s="115">
        <f t="shared" si="4"/>
        <v>0</v>
      </c>
      <c r="G39" s="115">
        <f t="shared" si="4"/>
        <v>0</v>
      </c>
      <c r="H39" s="115">
        <f t="shared" si="5"/>
        <v>138110.18173450339</v>
      </c>
      <c r="I39" s="121">
        <f t="shared" si="6"/>
        <v>44569</v>
      </c>
      <c r="K39" s="120"/>
      <c r="L39" s="108"/>
      <c r="M39" s="108"/>
      <c r="N39" s="108"/>
      <c r="O39" s="115"/>
      <c r="P39" s="115"/>
      <c r="Q39" s="115"/>
      <c r="R39" s="121"/>
    </row>
    <row r="40" spans="1:18" x14ac:dyDescent="0.15">
      <c r="A40" s="67">
        <f t="shared" si="0"/>
        <v>14</v>
      </c>
      <c r="B40" s="108">
        <f t="shared" si="7"/>
        <v>138110.18173450339</v>
      </c>
      <c r="C40" s="108">
        <f t="shared" si="2"/>
        <v>1522.6591112050032</v>
      </c>
      <c r="D40" s="108">
        <f t="shared" si="1"/>
        <v>466.76126234346049</v>
      </c>
      <c r="E40" s="115">
        <f t="shared" si="3"/>
        <v>1055.8978488615428</v>
      </c>
      <c r="F40" s="115">
        <f t="shared" si="4"/>
        <v>0</v>
      </c>
      <c r="G40" s="115">
        <f t="shared" si="4"/>
        <v>0</v>
      </c>
      <c r="H40" s="115">
        <f t="shared" si="5"/>
        <v>137054.28388564184</v>
      </c>
      <c r="I40" s="121">
        <f t="shared" si="6"/>
        <v>44600</v>
      </c>
      <c r="L40" s="108"/>
      <c r="M40" s="108"/>
      <c r="N40" s="108"/>
      <c r="O40" s="115"/>
      <c r="P40" s="115"/>
      <c r="Q40" s="115"/>
      <c r="R40" s="121"/>
    </row>
    <row r="41" spans="1:18" x14ac:dyDescent="0.15">
      <c r="A41" s="67">
        <f t="shared" si="0"/>
        <v>15</v>
      </c>
      <c r="B41" s="108">
        <f t="shared" si="7"/>
        <v>137054.28388564184</v>
      </c>
      <c r="C41" s="108">
        <f t="shared" si="2"/>
        <v>1522.6591112050032</v>
      </c>
      <c r="D41" s="108">
        <f t="shared" si="1"/>
        <v>463.1927186875858</v>
      </c>
      <c r="E41" s="115">
        <f t="shared" si="3"/>
        <v>1059.4663925174175</v>
      </c>
      <c r="F41" s="115">
        <f t="shared" si="4"/>
        <v>0</v>
      </c>
      <c r="G41" s="115">
        <f t="shared" si="4"/>
        <v>0</v>
      </c>
      <c r="H41" s="115">
        <f t="shared" si="5"/>
        <v>135994.81749312443</v>
      </c>
      <c r="I41" s="121">
        <f t="shared" si="6"/>
        <v>44631</v>
      </c>
      <c r="L41" s="108"/>
      <c r="M41" s="108"/>
      <c r="N41" s="108"/>
      <c r="O41" s="115"/>
      <c r="P41" s="115"/>
      <c r="Q41" s="115"/>
      <c r="R41" s="121"/>
    </row>
    <row r="42" spans="1:18" x14ac:dyDescent="0.15">
      <c r="A42" s="67">
        <f t="shared" si="0"/>
        <v>16</v>
      </c>
      <c r="B42" s="108">
        <f t="shared" si="7"/>
        <v>135994.81749312443</v>
      </c>
      <c r="C42" s="108">
        <f t="shared" si="2"/>
        <v>1522.6591112050032</v>
      </c>
      <c r="D42" s="108">
        <f t="shared" si="1"/>
        <v>459.61211467583718</v>
      </c>
      <c r="E42" s="115">
        <f t="shared" si="3"/>
        <v>1063.0469965291661</v>
      </c>
      <c r="F42" s="115">
        <f t="shared" si="4"/>
        <v>0</v>
      </c>
      <c r="G42" s="115">
        <f t="shared" si="4"/>
        <v>0</v>
      </c>
      <c r="H42" s="115">
        <f t="shared" si="5"/>
        <v>134931.77049659527</v>
      </c>
      <c r="I42" s="121">
        <f t="shared" si="6"/>
        <v>44662</v>
      </c>
      <c r="K42" s="115"/>
      <c r="L42" s="108"/>
      <c r="M42" s="108"/>
      <c r="N42" s="108"/>
      <c r="O42" s="115"/>
      <c r="P42" s="115"/>
      <c r="Q42" s="115"/>
      <c r="R42" s="121"/>
    </row>
    <row r="43" spans="1:18" x14ac:dyDescent="0.15">
      <c r="A43" s="67">
        <f t="shared" si="0"/>
        <v>17</v>
      </c>
      <c r="B43" s="108">
        <f t="shared" si="7"/>
        <v>134931.77049659527</v>
      </c>
      <c r="C43" s="108">
        <f t="shared" si="2"/>
        <v>1522.6591112050032</v>
      </c>
      <c r="D43" s="108">
        <f t="shared" si="1"/>
        <v>456.01940954867842</v>
      </c>
      <c r="E43" s="115">
        <f t="shared" si="3"/>
        <v>1066.6397016563249</v>
      </c>
      <c r="F43" s="115">
        <f t="shared" si="4"/>
        <v>0</v>
      </c>
      <c r="G43" s="115">
        <f t="shared" si="4"/>
        <v>0</v>
      </c>
      <c r="H43" s="115">
        <f t="shared" si="5"/>
        <v>133865.13079493894</v>
      </c>
      <c r="I43" s="121">
        <f t="shared" si="6"/>
        <v>44693</v>
      </c>
      <c r="L43" s="108"/>
      <c r="M43" s="108"/>
      <c r="N43" s="108"/>
      <c r="O43" s="115"/>
      <c r="P43" s="115"/>
      <c r="Q43" s="115"/>
      <c r="R43" s="121"/>
    </row>
    <row r="44" spans="1:18" x14ac:dyDescent="0.15">
      <c r="A44" s="67">
        <f t="shared" si="0"/>
        <v>18</v>
      </c>
      <c r="B44" s="108">
        <f t="shared" si="7"/>
        <v>133865.13079493894</v>
      </c>
      <c r="C44" s="108">
        <f t="shared" si="2"/>
        <v>1522.6591112050032</v>
      </c>
      <c r="D44" s="108">
        <f t="shared" si="1"/>
        <v>452.41456240882144</v>
      </c>
      <c r="E44" s="115">
        <f t="shared" si="3"/>
        <v>1070.2445487961818</v>
      </c>
      <c r="F44" s="115">
        <f t="shared" si="4"/>
        <v>0</v>
      </c>
      <c r="G44" s="115">
        <f t="shared" si="4"/>
        <v>0</v>
      </c>
      <c r="H44" s="115">
        <f t="shared" si="5"/>
        <v>132794.88624614276</v>
      </c>
      <c r="I44" s="121">
        <f t="shared" si="6"/>
        <v>44724</v>
      </c>
      <c r="L44" s="108"/>
      <c r="M44" s="108"/>
      <c r="N44" s="108"/>
      <c r="O44" s="115"/>
      <c r="P44" s="115"/>
      <c r="Q44" s="115"/>
      <c r="R44" s="121"/>
    </row>
    <row r="45" spans="1:18" x14ac:dyDescent="0.15">
      <c r="A45" s="67">
        <f t="shared" si="0"/>
        <v>19</v>
      </c>
      <c r="B45" s="108">
        <f t="shared" si="7"/>
        <v>132794.88624614276</v>
      </c>
      <c r="C45" s="108">
        <f t="shared" si="2"/>
        <v>1522.6591112050032</v>
      </c>
      <c r="D45" s="108">
        <f t="shared" si="1"/>
        <v>448.79753222076027</v>
      </c>
      <c r="E45" s="115">
        <f t="shared" si="3"/>
        <v>1073.8615789842429</v>
      </c>
      <c r="F45" s="115">
        <f t="shared" si="4"/>
        <v>0</v>
      </c>
      <c r="G45" s="115">
        <f t="shared" si="4"/>
        <v>0</v>
      </c>
      <c r="H45" s="115">
        <f t="shared" si="5"/>
        <v>131721.02466715852</v>
      </c>
      <c r="I45" s="121">
        <f t="shared" si="6"/>
        <v>44755</v>
      </c>
      <c r="L45" s="108"/>
      <c r="M45" s="108"/>
      <c r="N45" s="108"/>
      <c r="O45" s="115"/>
      <c r="P45" s="115"/>
      <c r="Q45" s="115"/>
      <c r="R45" s="121"/>
    </row>
    <row r="46" spans="1:18" x14ac:dyDescent="0.15">
      <c r="A46" s="67">
        <f t="shared" si="0"/>
        <v>20</v>
      </c>
      <c r="B46" s="108">
        <f t="shared" si="7"/>
        <v>131721.02466715852</v>
      </c>
      <c r="C46" s="108">
        <f t="shared" si="2"/>
        <v>1522.6591112050032</v>
      </c>
      <c r="D46" s="108">
        <f t="shared" si="1"/>
        <v>445.16827781030423</v>
      </c>
      <c r="E46" s="115">
        <f t="shared" si="3"/>
        <v>1077.4908333946989</v>
      </c>
      <c r="F46" s="115">
        <f t="shared" ref="F46:G61" si="8">+F45</f>
        <v>0</v>
      </c>
      <c r="G46" s="115">
        <f t="shared" si="8"/>
        <v>0</v>
      </c>
      <c r="H46" s="115">
        <f t="shared" si="5"/>
        <v>130643.53383376382</v>
      </c>
      <c r="I46" s="121">
        <f t="shared" si="6"/>
        <v>44786</v>
      </c>
      <c r="L46" s="108"/>
      <c r="M46" s="108"/>
      <c r="N46" s="108"/>
      <c r="O46" s="115"/>
      <c r="P46" s="115"/>
      <c r="Q46" s="115"/>
      <c r="R46" s="121"/>
    </row>
    <row r="47" spans="1:18" x14ac:dyDescent="0.15">
      <c r="A47" s="67">
        <f t="shared" si="0"/>
        <v>21</v>
      </c>
      <c r="B47" s="108">
        <f t="shared" si="7"/>
        <v>130643.53383376382</v>
      </c>
      <c r="C47" s="108">
        <f t="shared" si="2"/>
        <v>1522.6591112050032</v>
      </c>
      <c r="D47" s="108">
        <f t="shared" si="1"/>
        <v>441.52675786410919</v>
      </c>
      <c r="E47" s="115">
        <f t="shared" si="3"/>
        <v>1081.132353340894</v>
      </c>
      <c r="F47" s="115">
        <f t="shared" si="8"/>
        <v>0</v>
      </c>
      <c r="G47" s="115">
        <f t="shared" si="8"/>
        <v>0</v>
      </c>
      <c r="H47" s="115">
        <f t="shared" si="5"/>
        <v>129562.40148042294</v>
      </c>
      <c r="I47" s="121">
        <f t="shared" si="6"/>
        <v>44817</v>
      </c>
      <c r="L47" s="108"/>
      <c r="M47" s="108"/>
      <c r="N47" s="108"/>
      <c r="O47" s="115"/>
      <c r="P47" s="115"/>
      <c r="Q47" s="115"/>
      <c r="R47" s="121"/>
    </row>
    <row r="48" spans="1:18" x14ac:dyDescent="0.15">
      <c r="A48" s="67">
        <f t="shared" si="0"/>
        <v>22</v>
      </c>
      <c r="B48" s="108">
        <f t="shared" si="7"/>
        <v>129562.40148042294</v>
      </c>
      <c r="C48" s="108">
        <f t="shared" si="2"/>
        <v>1522.6591112050032</v>
      </c>
      <c r="D48" s="108">
        <f t="shared" si="1"/>
        <v>437.87293092920709</v>
      </c>
      <c r="E48" s="115">
        <f t="shared" si="3"/>
        <v>1084.7861802757961</v>
      </c>
      <c r="F48" s="115">
        <f t="shared" si="8"/>
        <v>0</v>
      </c>
      <c r="G48" s="115">
        <f t="shared" si="8"/>
        <v>0</v>
      </c>
      <c r="H48" s="115">
        <f t="shared" si="5"/>
        <v>128477.61530014714</v>
      </c>
      <c r="I48" s="121">
        <f t="shared" si="6"/>
        <v>44848</v>
      </c>
      <c r="L48" s="108"/>
      <c r="M48" s="108"/>
      <c r="N48" s="108"/>
      <c r="O48" s="115"/>
      <c r="P48" s="115"/>
      <c r="Q48" s="115"/>
      <c r="R48" s="121"/>
    </row>
    <row r="49" spans="1:18" x14ac:dyDescent="0.15">
      <c r="A49" s="67">
        <f t="shared" si="0"/>
        <v>23</v>
      </c>
      <c r="B49" s="108">
        <f t="shared" si="7"/>
        <v>128477.61530014714</v>
      </c>
      <c r="C49" s="108">
        <f t="shared" si="2"/>
        <v>1522.6591112050032</v>
      </c>
      <c r="D49" s="108">
        <f t="shared" si="1"/>
        <v>434.20675541253428</v>
      </c>
      <c r="E49" s="115">
        <f t="shared" si="3"/>
        <v>1088.452355792469</v>
      </c>
      <c r="F49" s="115">
        <f t="shared" si="8"/>
        <v>0</v>
      </c>
      <c r="G49" s="115">
        <f t="shared" si="8"/>
        <v>0</v>
      </c>
      <c r="H49" s="115">
        <f t="shared" si="5"/>
        <v>127389.16294435467</v>
      </c>
      <c r="I49" s="121">
        <f t="shared" si="6"/>
        <v>44879</v>
      </c>
      <c r="L49" s="108"/>
      <c r="M49" s="108"/>
      <c r="N49" s="108"/>
      <c r="O49" s="115"/>
      <c r="P49" s="115"/>
      <c r="Q49" s="115"/>
      <c r="R49" s="121"/>
    </row>
    <row r="50" spans="1:18" x14ac:dyDescent="0.15">
      <c r="A50" s="67">
        <f t="shared" si="0"/>
        <v>24</v>
      </c>
      <c r="B50" s="108">
        <f t="shared" si="7"/>
        <v>127389.16294435467</v>
      </c>
      <c r="C50" s="108">
        <f>+C49</f>
        <v>1522.6591112050032</v>
      </c>
      <c r="D50" s="108">
        <f t="shared" si="1"/>
        <v>430.52818958045788</v>
      </c>
      <c r="E50" s="115">
        <f t="shared" si="3"/>
        <v>1092.1309216245454</v>
      </c>
      <c r="F50" s="115">
        <f t="shared" si="8"/>
        <v>0</v>
      </c>
      <c r="G50" s="115">
        <f t="shared" si="8"/>
        <v>0</v>
      </c>
      <c r="H50" s="115">
        <f t="shared" si="5"/>
        <v>126297.03202273013</v>
      </c>
      <c r="I50" s="121">
        <f t="shared" si="6"/>
        <v>44910</v>
      </c>
      <c r="K50" s="115">
        <f>SUM(C39:C50)</f>
        <v>18271.909334460037</v>
      </c>
      <c r="L50" s="108"/>
      <c r="M50" s="108"/>
      <c r="N50" s="108"/>
      <c r="O50" s="115"/>
      <c r="P50" s="115"/>
      <c r="Q50" s="115"/>
      <c r="R50" s="121"/>
    </row>
    <row r="51" spans="1:18" x14ac:dyDescent="0.15">
      <c r="A51" s="67">
        <f t="shared" si="0"/>
        <v>25</v>
      </c>
      <c r="B51" s="108">
        <f t="shared" si="7"/>
        <v>126297.03202273013</v>
      </c>
      <c r="C51" s="108">
        <f t="shared" si="2"/>
        <v>1522.6591112050032</v>
      </c>
      <c r="D51" s="108">
        <f t="shared" si="1"/>
        <v>426.8371915583009</v>
      </c>
      <c r="E51" s="115">
        <f t="shared" si="3"/>
        <v>1095.8219196467023</v>
      </c>
      <c r="F51" s="115">
        <f t="shared" si="8"/>
        <v>0</v>
      </c>
      <c r="G51" s="115">
        <f t="shared" si="8"/>
        <v>0</v>
      </c>
      <c r="H51" s="115">
        <f t="shared" si="5"/>
        <v>125201.21010308343</v>
      </c>
      <c r="I51" s="121">
        <f t="shared" si="6"/>
        <v>44941</v>
      </c>
      <c r="L51" s="108"/>
      <c r="M51" s="108"/>
      <c r="N51" s="108"/>
      <c r="O51" s="115"/>
      <c r="P51" s="115"/>
      <c r="Q51" s="115"/>
      <c r="R51" s="121"/>
    </row>
    <row r="52" spans="1:18" x14ac:dyDescent="0.15">
      <c r="A52" s="67">
        <f t="shared" si="0"/>
        <v>26</v>
      </c>
      <c r="B52" s="108">
        <f t="shared" si="7"/>
        <v>125201.21010308343</v>
      </c>
      <c r="C52" s="108">
        <f t="shared" si="2"/>
        <v>1522.6591112050032</v>
      </c>
      <c r="D52" s="108">
        <f t="shared" si="1"/>
        <v>423.13371932986524</v>
      </c>
      <c r="E52" s="115">
        <f t="shared" si="3"/>
        <v>1099.525391875138</v>
      </c>
      <c r="F52" s="115">
        <f t="shared" si="8"/>
        <v>0</v>
      </c>
      <c r="G52" s="115">
        <f t="shared" si="8"/>
        <v>0</v>
      </c>
      <c r="H52" s="115">
        <f t="shared" si="5"/>
        <v>124101.68471120829</v>
      </c>
      <c r="I52" s="121">
        <f t="shared" si="6"/>
        <v>44972</v>
      </c>
      <c r="L52" s="108"/>
      <c r="M52" s="108"/>
      <c r="N52" s="108"/>
      <c r="O52" s="115"/>
      <c r="P52" s="115"/>
      <c r="Q52" s="115"/>
      <c r="R52" s="121"/>
    </row>
    <row r="53" spans="1:18" x14ac:dyDescent="0.15">
      <c r="A53" s="67">
        <f t="shared" si="0"/>
        <v>27</v>
      </c>
      <c r="B53" s="108">
        <f t="shared" si="7"/>
        <v>124101.68471120829</v>
      </c>
      <c r="C53" s="108">
        <f t="shared" si="2"/>
        <v>1522.6591112050032</v>
      </c>
      <c r="D53" s="108">
        <f t="shared" si="1"/>
        <v>419.4177307369539</v>
      </c>
      <c r="E53" s="115">
        <f t="shared" si="3"/>
        <v>1103.2413804680493</v>
      </c>
      <c r="F53" s="115">
        <f t="shared" si="8"/>
        <v>0</v>
      </c>
      <c r="G53" s="115">
        <f t="shared" si="8"/>
        <v>0</v>
      </c>
      <c r="H53" s="115">
        <f t="shared" si="5"/>
        <v>122998.44333074024</v>
      </c>
      <c r="I53" s="121">
        <f t="shared" si="6"/>
        <v>45003</v>
      </c>
      <c r="L53" s="108"/>
      <c r="M53" s="108"/>
      <c r="N53" s="108"/>
      <c r="O53" s="115"/>
      <c r="P53" s="115"/>
      <c r="Q53" s="115"/>
      <c r="R53" s="121"/>
    </row>
    <row r="54" spans="1:18" x14ac:dyDescent="0.15">
      <c r="A54" s="67">
        <f t="shared" si="0"/>
        <v>28</v>
      </c>
      <c r="B54" s="108">
        <f t="shared" si="7"/>
        <v>122998.44333074024</v>
      </c>
      <c r="C54" s="108">
        <f t="shared" si="2"/>
        <v>1522.6591112050032</v>
      </c>
      <c r="D54" s="108">
        <f t="shared" si="1"/>
        <v>415.68918347889058</v>
      </c>
      <c r="E54" s="115">
        <f t="shared" si="3"/>
        <v>1106.9699277261127</v>
      </c>
      <c r="F54" s="115">
        <f t="shared" si="8"/>
        <v>0</v>
      </c>
      <c r="G54" s="115">
        <f t="shared" si="8"/>
        <v>0</v>
      </c>
      <c r="H54" s="115">
        <f t="shared" si="5"/>
        <v>121891.47340301413</v>
      </c>
      <c r="I54" s="121">
        <f t="shared" si="6"/>
        <v>45034</v>
      </c>
      <c r="K54" s="115"/>
      <c r="L54" s="108"/>
      <c r="M54" s="108"/>
      <c r="N54" s="108"/>
      <c r="O54" s="115"/>
      <c r="P54" s="115"/>
      <c r="Q54" s="115"/>
      <c r="R54" s="121"/>
    </row>
    <row r="55" spans="1:18" x14ac:dyDescent="0.15">
      <c r="A55" s="67">
        <f t="shared" si="0"/>
        <v>29</v>
      </c>
      <c r="B55" s="108">
        <f t="shared" si="7"/>
        <v>121891.47340301413</v>
      </c>
      <c r="C55" s="108">
        <f t="shared" si="2"/>
        <v>1522.6591112050032</v>
      </c>
      <c r="D55" s="108">
        <f t="shared" si="1"/>
        <v>411.94803511203844</v>
      </c>
      <c r="E55" s="115">
        <f t="shared" si="3"/>
        <v>1110.7110760929647</v>
      </c>
      <c r="F55" s="115">
        <f t="shared" si="8"/>
        <v>0</v>
      </c>
      <c r="G55" s="115">
        <f t="shared" si="8"/>
        <v>0</v>
      </c>
      <c r="H55" s="115">
        <f t="shared" si="5"/>
        <v>120780.76232692116</v>
      </c>
      <c r="I55" s="121">
        <f t="shared" si="6"/>
        <v>45065</v>
      </c>
      <c r="L55" s="108"/>
      <c r="M55" s="108"/>
      <c r="N55" s="108"/>
      <c r="O55" s="115"/>
      <c r="P55" s="115"/>
      <c r="Q55" s="115"/>
      <c r="R55" s="121"/>
    </row>
    <row r="56" spans="1:18" x14ac:dyDescent="0.15">
      <c r="A56" s="67">
        <f t="shared" si="0"/>
        <v>30</v>
      </c>
      <c r="B56" s="108">
        <f t="shared" si="7"/>
        <v>120780.76232692116</v>
      </c>
      <c r="C56" s="108">
        <f t="shared" si="2"/>
        <v>1522.6591112050032</v>
      </c>
      <c r="D56" s="108">
        <f t="shared" si="1"/>
        <v>408.19424304931687</v>
      </c>
      <c r="E56" s="115">
        <f t="shared" si="3"/>
        <v>1114.4648681556864</v>
      </c>
      <c r="F56" s="115">
        <f t="shared" si="8"/>
        <v>0</v>
      </c>
      <c r="G56" s="115">
        <f t="shared" si="8"/>
        <v>0</v>
      </c>
      <c r="H56" s="115">
        <f t="shared" si="5"/>
        <v>119666.29745876548</v>
      </c>
      <c r="I56" s="121">
        <f t="shared" si="6"/>
        <v>45096</v>
      </c>
      <c r="L56" s="108"/>
      <c r="M56" s="108"/>
      <c r="N56" s="108"/>
      <c r="O56" s="115"/>
      <c r="P56" s="115"/>
      <c r="Q56" s="115"/>
      <c r="R56" s="121"/>
    </row>
    <row r="57" spans="1:18" x14ac:dyDescent="0.15">
      <c r="A57" s="67">
        <f t="shared" si="0"/>
        <v>31</v>
      </c>
      <c r="B57" s="108">
        <f t="shared" si="7"/>
        <v>119666.29745876548</v>
      </c>
      <c r="C57" s="108">
        <f t="shared" si="2"/>
        <v>1522.6591112050032</v>
      </c>
      <c r="D57" s="108">
        <f t="shared" si="1"/>
        <v>404.42776455971665</v>
      </c>
      <c r="E57" s="115">
        <f t="shared" si="3"/>
        <v>1118.2313466452865</v>
      </c>
      <c r="F57" s="115">
        <f t="shared" si="8"/>
        <v>0</v>
      </c>
      <c r="G57" s="115">
        <f t="shared" si="8"/>
        <v>0</v>
      </c>
      <c r="H57" s="115">
        <f t="shared" si="5"/>
        <v>118548.06611212018</v>
      </c>
      <c r="I57" s="121">
        <f t="shared" si="6"/>
        <v>45127</v>
      </c>
      <c r="L57" s="108"/>
      <c r="M57" s="108"/>
      <c r="N57" s="108"/>
      <c r="O57" s="115"/>
      <c r="P57" s="115"/>
      <c r="Q57" s="115"/>
      <c r="R57" s="121"/>
    </row>
    <row r="58" spans="1:18" x14ac:dyDescent="0.15">
      <c r="A58" s="67">
        <f t="shared" si="0"/>
        <v>32</v>
      </c>
      <c r="B58" s="108">
        <f t="shared" si="7"/>
        <v>118548.06611212018</v>
      </c>
      <c r="C58" s="108">
        <f t="shared" si="2"/>
        <v>1522.6591112050032</v>
      </c>
      <c r="D58" s="108">
        <f t="shared" si="1"/>
        <v>400.64855676781355</v>
      </c>
      <c r="E58" s="115">
        <f t="shared" si="3"/>
        <v>1122.0105544371897</v>
      </c>
      <c r="F58" s="115">
        <f t="shared" si="8"/>
        <v>0</v>
      </c>
      <c r="G58" s="115">
        <f t="shared" si="8"/>
        <v>0</v>
      </c>
      <c r="H58" s="115">
        <f t="shared" si="5"/>
        <v>117426.05555768299</v>
      </c>
      <c r="I58" s="121">
        <f t="shared" si="6"/>
        <v>45158</v>
      </c>
      <c r="L58" s="108"/>
      <c r="M58" s="108"/>
      <c r="N58" s="108"/>
      <c r="O58" s="115"/>
      <c r="P58" s="115"/>
      <c r="Q58" s="115"/>
      <c r="R58" s="121"/>
    </row>
    <row r="59" spans="1:18" x14ac:dyDescent="0.15">
      <c r="A59" s="67">
        <f t="shared" si="0"/>
        <v>33</v>
      </c>
      <c r="B59" s="108">
        <f t="shared" si="7"/>
        <v>117426.05555768299</v>
      </c>
      <c r="C59" s="108">
        <f t="shared" si="2"/>
        <v>1522.6591112050032</v>
      </c>
      <c r="D59" s="108">
        <f t="shared" si="1"/>
        <v>396.85657665328046</v>
      </c>
      <c r="E59" s="115">
        <f t="shared" si="3"/>
        <v>1125.8025345517228</v>
      </c>
      <c r="F59" s="115">
        <f t="shared" si="8"/>
        <v>0</v>
      </c>
      <c r="G59" s="115">
        <f t="shared" si="8"/>
        <v>0</v>
      </c>
      <c r="H59" s="115">
        <f t="shared" si="5"/>
        <v>116300.25302313127</v>
      </c>
      <c r="I59" s="121">
        <f t="shared" si="6"/>
        <v>45189</v>
      </c>
      <c r="L59" s="108"/>
      <c r="M59" s="108"/>
      <c r="N59" s="108"/>
      <c r="O59" s="115"/>
      <c r="P59" s="115"/>
      <c r="Q59" s="115"/>
      <c r="R59" s="121"/>
    </row>
    <row r="60" spans="1:18" x14ac:dyDescent="0.15">
      <c r="A60" s="67">
        <f t="shared" si="0"/>
        <v>34</v>
      </c>
      <c r="B60" s="108">
        <f t="shared" si="7"/>
        <v>116300.25302313127</v>
      </c>
      <c r="C60" s="108">
        <f t="shared" si="2"/>
        <v>1522.6591112050032</v>
      </c>
      <c r="D60" s="108">
        <f t="shared" si="1"/>
        <v>393.05178105039732</v>
      </c>
      <c r="E60" s="115">
        <f t="shared" si="3"/>
        <v>1129.607330154606</v>
      </c>
      <c r="F60" s="115">
        <f t="shared" si="8"/>
        <v>0</v>
      </c>
      <c r="G60" s="115">
        <f t="shared" si="8"/>
        <v>0</v>
      </c>
      <c r="H60" s="115">
        <f t="shared" si="5"/>
        <v>115170.64569297666</v>
      </c>
      <c r="I60" s="121">
        <f t="shared" si="6"/>
        <v>45220</v>
      </c>
      <c r="L60" s="108"/>
      <c r="M60" s="108"/>
      <c r="N60" s="108"/>
      <c r="O60" s="115"/>
      <c r="P60" s="115"/>
      <c r="Q60" s="115"/>
      <c r="R60" s="121"/>
    </row>
    <row r="61" spans="1:18" x14ac:dyDescent="0.15">
      <c r="A61" s="67">
        <f t="shared" si="0"/>
        <v>35</v>
      </c>
      <c r="B61" s="108">
        <f t="shared" si="7"/>
        <v>115170.64569297666</v>
      </c>
      <c r="C61" s="108">
        <f t="shared" si="2"/>
        <v>1522.6591112050032</v>
      </c>
      <c r="D61" s="108">
        <f t="shared" si="1"/>
        <v>389.23412664756</v>
      </c>
      <c r="E61" s="115">
        <f t="shared" si="3"/>
        <v>1133.4249845574432</v>
      </c>
      <c r="F61" s="115">
        <f t="shared" si="8"/>
        <v>0</v>
      </c>
      <c r="G61" s="115">
        <f t="shared" si="8"/>
        <v>0</v>
      </c>
      <c r="H61" s="115">
        <f t="shared" si="5"/>
        <v>114037.22070841922</v>
      </c>
      <c r="I61" s="121">
        <f t="shared" si="6"/>
        <v>45251</v>
      </c>
      <c r="L61" s="108"/>
      <c r="M61" s="108"/>
      <c r="N61" s="108"/>
      <c r="O61" s="115"/>
      <c r="P61" s="115"/>
      <c r="Q61" s="115"/>
      <c r="R61" s="121"/>
    </row>
    <row r="62" spans="1:18" x14ac:dyDescent="0.15">
      <c r="A62" s="67">
        <f t="shared" si="0"/>
        <v>36</v>
      </c>
      <c r="B62" s="108">
        <f t="shared" si="7"/>
        <v>114037.22070841922</v>
      </c>
      <c r="C62" s="108">
        <f t="shared" si="2"/>
        <v>1522.6591112050032</v>
      </c>
      <c r="D62" s="108">
        <f t="shared" si="1"/>
        <v>385.4035699867872</v>
      </c>
      <c r="E62" s="115">
        <f t="shared" si="3"/>
        <v>1137.255541218216</v>
      </c>
      <c r="F62" s="115">
        <f t="shared" ref="F62:G77" si="9">+F61</f>
        <v>0</v>
      </c>
      <c r="G62" s="115">
        <f t="shared" si="9"/>
        <v>0</v>
      </c>
      <c r="H62" s="115">
        <f t="shared" si="5"/>
        <v>112899.96516720101</v>
      </c>
      <c r="I62" s="121">
        <f t="shared" si="6"/>
        <v>45282</v>
      </c>
      <c r="K62" s="115">
        <f>SUM(C51:C62)</f>
        <v>18271.909334460037</v>
      </c>
      <c r="L62" s="108"/>
      <c r="M62" s="108"/>
      <c r="N62" s="108"/>
      <c r="O62" s="115"/>
      <c r="P62" s="115"/>
      <c r="Q62" s="115"/>
      <c r="R62" s="121"/>
    </row>
    <row r="63" spans="1:18" x14ac:dyDescent="0.15">
      <c r="A63" s="67">
        <f t="shared" si="0"/>
        <v>37</v>
      </c>
      <c r="B63" s="108">
        <f t="shared" si="7"/>
        <v>112899.96516720101</v>
      </c>
      <c r="C63" s="108">
        <f t="shared" si="2"/>
        <v>1522.6591112050032</v>
      </c>
      <c r="D63" s="108">
        <f t="shared" si="1"/>
        <v>381.56006746322561</v>
      </c>
      <c r="E63" s="115">
        <f t="shared" si="3"/>
        <v>1141.0990437417777</v>
      </c>
      <c r="F63" s="115">
        <f t="shared" si="9"/>
        <v>0</v>
      </c>
      <c r="G63" s="115">
        <f t="shared" si="9"/>
        <v>0</v>
      </c>
      <c r="H63" s="115">
        <f t="shared" si="5"/>
        <v>111758.86612345923</v>
      </c>
      <c r="I63" s="121">
        <f t="shared" si="6"/>
        <v>45313</v>
      </c>
      <c r="L63" s="108"/>
      <c r="M63" s="108"/>
      <c r="N63" s="108"/>
      <c r="O63" s="115"/>
      <c r="P63" s="115"/>
      <c r="Q63" s="115"/>
      <c r="R63" s="121"/>
    </row>
    <row r="64" spans="1:18" x14ac:dyDescent="0.15">
      <c r="A64" s="67">
        <f t="shared" si="0"/>
        <v>38</v>
      </c>
      <c r="B64" s="108">
        <f t="shared" si="7"/>
        <v>111758.86612345923</v>
      </c>
      <c r="C64" s="108">
        <f t="shared" si="2"/>
        <v>1522.6591112050032</v>
      </c>
      <c r="D64" s="108">
        <f t="shared" si="1"/>
        <v>377.70357532465385</v>
      </c>
      <c r="E64" s="115">
        <f t="shared" si="3"/>
        <v>1144.9555358803493</v>
      </c>
      <c r="F64" s="115">
        <f t="shared" si="9"/>
        <v>0</v>
      </c>
      <c r="G64" s="115">
        <f t="shared" si="9"/>
        <v>0</v>
      </c>
      <c r="H64" s="115">
        <f t="shared" si="5"/>
        <v>110613.91058757888</v>
      </c>
      <c r="I64" s="121">
        <f t="shared" si="6"/>
        <v>45344</v>
      </c>
      <c r="L64" s="108"/>
      <c r="M64" s="108"/>
      <c r="N64" s="108"/>
      <c r="O64" s="115"/>
      <c r="P64" s="115"/>
      <c r="Q64" s="115"/>
      <c r="R64" s="121"/>
    </row>
    <row r="65" spans="1:18" x14ac:dyDescent="0.15">
      <c r="A65" s="67">
        <f t="shared" si="0"/>
        <v>39</v>
      </c>
      <c r="B65" s="108">
        <f t="shared" si="7"/>
        <v>110613.91058757888</v>
      </c>
      <c r="C65" s="108">
        <f t="shared" si="2"/>
        <v>1522.6591112050032</v>
      </c>
      <c r="D65" s="108">
        <f t="shared" si="1"/>
        <v>373.83404967098414</v>
      </c>
      <c r="E65" s="115">
        <f t="shared" si="3"/>
        <v>1148.8250615340191</v>
      </c>
      <c r="F65" s="115">
        <f t="shared" si="9"/>
        <v>0</v>
      </c>
      <c r="G65" s="115">
        <f t="shared" si="9"/>
        <v>0</v>
      </c>
      <c r="H65" s="115">
        <f t="shared" si="5"/>
        <v>109465.08552604486</v>
      </c>
      <c r="I65" s="121">
        <f t="shared" si="6"/>
        <v>45375</v>
      </c>
      <c r="L65" s="108"/>
      <c r="M65" s="108"/>
      <c r="N65" s="108"/>
      <c r="O65" s="115"/>
      <c r="P65" s="115"/>
      <c r="Q65" s="115"/>
      <c r="R65" s="121"/>
    </row>
    <row r="66" spans="1:18" x14ac:dyDescent="0.15">
      <c r="A66" s="67">
        <f t="shared" si="0"/>
        <v>40</v>
      </c>
      <c r="B66" s="108">
        <f t="shared" si="7"/>
        <v>109465.08552604486</v>
      </c>
      <c r="C66" s="108">
        <f t="shared" si="2"/>
        <v>1522.6591112050032</v>
      </c>
      <c r="D66" s="108">
        <f t="shared" si="1"/>
        <v>369.95144645376268</v>
      </c>
      <c r="E66" s="115">
        <f t="shared" si="3"/>
        <v>1152.7076647512406</v>
      </c>
      <c r="F66" s="115">
        <f t="shared" si="9"/>
        <v>0</v>
      </c>
      <c r="G66" s="115">
        <f t="shared" si="9"/>
        <v>0</v>
      </c>
      <c r="H66" s="115">
        <f t="shared" si="5"/>
        <v>108312.37786129361</v>
      </c>
      <c r="I66" s="121">
        <f t="shared" si="6"/>
        <v>45406</v>
      </c>
      <c r="K66" s="115"/>
      <c r="L66" s="108"/>
      <c r="M66" s="108"/>
      <c r="N66" s="108"/>
      <c r="O66" s="115"/>
      <c r="P66" s="115"/>
      <c r="Q66" s="115"/>
      <c r="R66" s="121"/>
    </row>
    <row r="67" spans="1:18" x14ac:dyDescent="0.15">
      <c r="A67" s="67">
        <f t="shared" si="0"/>
        <v>41</v>
      </c>
      <c r="B67" s="108">
        <f t="shared" si="7"/>
        <v>108312.37786129361</v>
      </c>
      <c r="C67" s="108">
        <f>+C66</f>
        <v>1522.6591112050032</v>
      </c>
      <c r="D67" s="108">
        <f t="shared" si="1"/>
        <v>366.05572147566818</v>
      </c>
      <c r="E67" s="115">
        <f t="shared" si="3"/>
        <v>1156.603389729335</v>
      </c>
      <c r="F67" s="115">
        <f t="shared" si="9"/>
        <v>0</v>
      </c>
      <c r="G67" s="115">
        <f t="shared" si="9"/>
        <v>0</v>
      </c>
      <c r="H67" s="115">
        <f t="shared" si="5"/>
        <v>107155.77447156428</v>
      </c>
      <c r="I67" s="121">
        <f t="shared" si="6"/>
        <v>45437</v>
      </c>
      <c r="L67" s="108"/>
      <c r="M67" s="108"/>
      <c r="N67" s="108"/>
      <c r="O67" s="115"/>
      <c r="P67" s="115"/>
      <c r="Q67" s="115"/>
      <c r="R67" s="121"/>
    </row>
    <row r="68" spans="1:18" x14ac:dyDescent="0.15">
      <c r="A68" s="67">
        <f t="shared" si="0"/>
        <v>42</v>
      </c>
      <c r="B68" s="108">
        <f t="shared" si="7"/>
        <v>107155.77447156428</v>
      </c>
      <c r="C68" s="108">
        <f>+C67</f>
        <v>1522.6591112050032</v>
      </c>
      <c r="D68" s="108">
        <f t="shared" si="1"/>
        <v>362.14683039000892</v>
      </c>
      <c r="E68" s="115">
        <f t="shared" si="3"/>
        <v>1160.5122808149943</v>
      </c>
      <c r="F68" s="115">
        <f t="shared" si="9"/>
        <v>0</v>
      </c>
      <c r="G68" s="115">
        <f t="shared" si="9"/>
        <v>0</v>
      </c>
      <c r="H68" s="115">
        <f t="shared" si="5"/>
        <v>105995.26219074929</v>
      </c>
      <c r="I68" s="121">
        <f t="shared" si="6"/>
        <v>45468</v>
      </c>
      <c r="L68" s="108"/>
      <c r="M68" s="108"/>
      <c r="N68" s="108"/>
      <c r="O68" s="115"/>
      <c r="P68" s="115"/>
      <c r="Q68" s="115"/>
      <c r="R68" s="121"/>
    </row>
    <row r="69" spans="1:18" x14ac:dyDescent="0.15">
      <c r="A69" s="67">
        <f t="shared" si="0"/>
        <v>43</v>
      </c>
      <c r="B69" s="108">
        <f t="shared" si="7"/>
        <v>105995.26219074929</v>
      </c>
      <c r="C69" s="108">
        <f t="shared" si="2"/>
        <v>1522.6591112050032</v>
      </c>
      <c r="D69" s="108">
        <f t="shared" si="1"/>
        <v>358.22472870021744</v>
      </c>
      <c r="E69" s="115">
        <f t="shared" si="3"/>
        <v>1164.4343825047858</v>
      </c>
      <c r="F69" s="115">
        <f t="shared" si="9"/>
        <v>0</v>
      </c>
      <c r="G69" s="115">
        <f t="shared" si="9"/>
        <v>0</v>
      </c>
      <c r="H69" s="115">
        <f t="shared" si="5"/>
        <v>104830.8278082445</v>
      </c>
      <c r="I69" s="121">
        <f t="shared" si="6"/>
        <v>45499</v>
      </c>
      <c r="L69" s="108"/>
      <c r="M69" s="108"/>
      <c r="N69" s="108"/>
      <c r="O69" s="115"/>
      <c r="P69" s="115"/>
      <c r="Q69" s="115"/>
      <c r="R69" s="121"/>
    </row>
    <row r="70" spans="1:18" x14ac:dyDescent="0.15">
      <c r="A70" s="67">
        <f t="shared" si="0"/>
        <v>44</v>
      </c>
      <c r="B70" s="108">
        <f t="shared" si="7"/>
        <v>104830.8278082445</v>
      </c>
      <c r="C70" s="108">
        <f t="shared" si="2"/>
        <v>1522.6591112050032</v>
      </c>
      <c r="D70" s="108">
        <f t="shared" si="1"/>
        <v>354.28937175934487</v>
      </c>
      <c r="E70" s="115">
        <f t="shared" si="3"/>
        <v>1168.3697394456583</v>
      </c>
      <c r="F70" s="115">
        <f t="shared" si="9"/>
        <v>0</v>
      </c>
      <c r="G70" s="115">
        <f t="shared" si="9"/>
        <v>0</v>
      </c>
      <c r="H70" s="115">
        <f t="shared" si="5"/>
        <v>103662.45806879885</v>
      </c>
      <c r="I70" s="121">
        <f t="shared" si="6"/>
        <v>45530</v>
      </c>
      <c r="L70" s="108"/>
      <c r="M70" s="108"/>
      <c r="N70" s="108"/>
      <c r="O70" s="115"/>
      <c r="P70" s="115"/>
      <c r="Q70" s="115"/>
      <c r="R70" s="121"/>
    </row>
    <row r="71" spans="1:18" x14ac:dyDescent="0.15">
      <c r="A71" s="67">
        <f t="shared" si="0"/>
        <v>45</v>
      </c>
      <c r="B71" s="108">
        <f t="shared" si="7"/>
        <v>103662.45806879885</v>
      </c>
      <c r="C71" s="108">
        <f t="shared" si="2"/>
        <v>1522.6591112050032</v>
      </c>
      <c r="D71" s="108">
        <f t="shared" si="1"/>
        <v>350.34071476955165</v>
      </c>
      <c r="E71" s="115">
        <f t="shared" si="3"/>
        <v>1172.3183964354516</v>
      </c>
      <c r="F71" s="115">
        <f t="shared" si="9"/>
        <v>0</v>
      </c>
      <c r="G71" s="115">
        <f t="shared" si="9"/>
        <v>0</v>
      </c>
      <c r="H71" s="115">
        <f t="shared" si="5"/>
        <v>102490.1396723634</v>
      </c>
      <c r="I71" s="121">
        <f t="shared" si="6"/>
        <v>45561</v>
      </c>
      <c r="L71" s="108"/>
      <c r="M71" s="108"/>
      <c r="N71" s="108"/>
      <c r="O71" s="115"/>
      <c r="P71" s="115"/>
      <c r="Q71" s="115"/>
      <c r="R71" s="121"/>
    </row>
    <row r="72" spans="1:18" x14ac:dyDescent="0.15">
      <c r="A72" s="67">
        <f t="shared" si="0"/>
        <v>46</v>
      </c>
      <c r="B72" s="108">
        <f t="shared" si="7"/>
        <v>102490.1396723634</v>
      </c>
      <c r="C72" s="108">
        <f t="shared" si="2"/>
        <v>1522.6591112050032</v>
      </c>
      <c r="D72" s="108">
        <f t="shared" si="1"/>
        <v>346.37871278159849</v>
      </c>
      <c r="E72" s="115">
        <f t="shared" si="3"/>
        <v>1176.2803984234047</v>
      </c>
      <c r="F72" s="115">
        <f t="shared" si="9"/>
        <v>0</v>
      </c>
      <c r="G72" s="115">
        <f t="shared" si="9"/>
        <v>0</v>
      </c>
      <c r="H72" s="115">
        <f t="shared" si="5"/>
        <v>101313.85927393999</v>
      </c>
      <c r="I72" s="121">
        <f t="shared" si="6"/>
        <v>45592</v>
      </c>
      <c r="L72" s="108"/>
      <c r="M72" s="108"/>
      <c r="N72" s="108"/>
      <c r="O72" s="115"/>
      <c r="P72" s="115"/>
      <c r="Q72" s="115"/>
      <c r="R72" s="121"/>
    </row>
    <row r="73" spans="1:18" x14ac:dyDescent="0.15">
      <c r="A73" s="67">
        <f t="shared" si="0"/>
        <v>47</v>
      </c>
      <c r="B73" s="108">
        <f t="shared" si="7"/>
        <v>101313.85927393999</v>
      </c>
      <c r="C73" s="108">
        <f t="shared" si="2"/>
        <v>1522.6591112050032</v>
      </c>
      <c r="D73" s="108">
        <f t="shared" si="1"/>
        <v>342.40332069433424</v>
      </c>
      <c r="E73" s="115">
        <f t="shared" si="3"/>
        <v>1180.2557905106689</v>
      </c>
      <c r="F73" s="115">
        <f t="shared" si="9"/>
        <v>0</v>
      </c>
      <c r="G73" s="115">
        <f t="shared" si="9"/>
        <v>0</v>
      </c>
      <c r="H73" s="115">
        <f t="shared" si="5"/>
        <v>100133.60348342932</v>
      </c>
      <c r="I73" s="121">
        <f t="shared" si="6"/>
        <v>45623</v>
      </c>
      <c r="L73" s="108"/>
      <c r="M73" s="108"/>
      <c r="N73" s="108"/>
      <c r="O73" s="115"/>
      <c r="P73" s="115"/>
      <c r="Q73" s="115"/>
      <c r="R73" s="121"/>
    </row>
    <row r="74" spans="1:18" x14ac:dyDescent="0.15">
      <c r="A74" s="67">
        <f t="shared" si="0"/>
        <v>48</v>
      </c>
      <c r="B74" s="108">
        <f t="shared" si="7"/>
        <v>100133.60348342932</v>
      </c>
      <c r="C74" s="108">
        <f t="shared" si="2"/>
        <v>1522.6591112050032</v>
      </c>
      <c r="D74" s="108">
        <f t="shared" si="1"/>
        <v>338.41449325418245</v>
      </c>
      <c r="E74" s="115">
        <f t="shared" si="3"/>
        <v>1184.2446179508208</v>
      </c>
      <c r="F74" s="115">
        <f t="shared" si="9"/>
        <v>0</v>
      </c>
      <c r="G74" s="115">
        <f t="shared" si="9"/>
        <v>0</v>
      </c>
      <c r="H74" s="115">
        <f t="shared" si="5"/>
        <v>98949.358865478498</v>
      </c>
      <c r="I74" s="121">
        <f t="shared" si="6"/>
        <v>45654</v>
      </c>
      <c r="K74" s="115">
        <f>SUM(C63:C74)</f>
        <v>18271.909334460037</v>
      </c>
      <c r="L74" s="108"/>
      <c r="M74" s="108"/>
      <c r="N74" s="108"/>
      <c r="O74" s="115"/>
      <c r="P74" s="115"/>
      <c r="Q74" s="115"/>
      <c r="R74" s="121"/>
    </row>
    <row r="75" spans="1:18" x14ac:dyDescent="0.15">
      <c r="A75" s="393">
        <f t="shared" si="0"/>
        <v>49</v>
      </c>
      <c r="B75" s="394">
        <f t="shared" si="7"/>
        <v>98949.358865478498</v>
      </c>
      <c r="C75" s="394">
        <f t="shared" si="2"/>
        <v>1522.6591112050032</v>
      </c>
      <c r="D75" s="394">
        <f t="shared" si="1"/>
        <v>334.41218505462638</v>
      </c>
      <c r="E75" s="395">
        <f t="shared" si="3"/>
        <v>1188.2469261503768</v>
      </c>
      <c r="F75" s="395">
        <f t="shared" si="9"/>
        <v>0</v>
      </c>
      <c r="G75" s="395">
        <f t="shared" si="9"/>
        <v>0</v>
      </c>
      <c r="H75" s="395">
        <f t="shared" si="5"/>
        <v>97761.111939328126</v>
      </c>
      <c r="I75" s="396">
        <f t="shared" si="6"/>
        <v>45685</v>
      </c>
      <c r="L75" s="108"/>
      <c r="M75" s="108"/>
      <c r="N75" s="108"/>
      <c r="O75" s="115"/>
      <c r="P75" s="115"/>
      <c r="Q75" s="115"/>
      <c r="R75" s="121"/>
    </row>
    <row r="76" spans="1:18" x14ac:dyDescent="0.15">
      <c r="A76" s="67">
        <f t="shared" si="0"/>
        <v>50</v>
      </c>
      <c r="B76" s="108">
        <f t="shared" si="7"/>
        <v>97761.111939328126</v>
      </c>
      <c r="C76" s="108">
        <f t="shared" si="2"/>
        <v>1522.6591112050032</v>
      </c>
      <c r="D76" s="108">
        <f t="shared" si="1"/>
        <v>330.39635053569225</v>
      </c>
      <c r="E76" s="115">
        <f t="shared" si="3"/>
        <v>1192.2627606693109</v>
      </c>
      <c r="F76" s="115">
        <f t="shared" si="9"/>
        <v>0</v>
      </c>
      <c r="G76" s="115">
        <f t="shared" si="9"/>
        <v>0</v>
      </c>
      <c r="H76" s="115">
        <f t="shared" si="5"/>
        <v>96568.849178658813</v>
      </c>
      <c r="I76" s="121">
        <f t="shared" si="6"/>
        <v>45716</v>
      </c>
      <c r="L76" s="108"/>
      <c r="M76" s="108"/>
      <c r="N76" s="108"/>
      <c r="O76" s="115"/>
      <c r="P76" s="115"/>
      <c r="Q76" s="115"/>
      <c r="R76" s="121"/>
    </row>
    <row r="77" spans="1:18" x14ac:dyDescent="0.15">
      <c r="A77" s="67">
        <f t="shared" si="0"/>
        <v>51</v>
      </c>
      <c r="B77" s="108">
        <f t="shared" si="7"/>
        <v>96568.849178658813</v>
      </c>
      <c r="C77" s="108">
        <f t="shared" si="2"/>
        <v>1522.6591112050032</v>
      </c>
      <c r="D77" s="108">
        <f t="shared" si="1"/>
        <v>326.36694398343019</v>
      </c>
      <c r="E77" s="115">
        <f t="shared" si="3"/>
        <v>1196.292167221573</v>
      </c>
      <c r="F77" s="115">
        <f t="shared" si="9"/>
        <v>0</v>
      </c>
      <c r="G77" s="115">
        <f t="shared" si="9"/>
        <v>0</v>
      </c>
      <c r="H77" s="115">
        <f t="shared" si="5"/>
        <v>95372.557011437239</v>
      </c>
      <c r="I77" s="121">
        <f t="shared" si="6"/>
        <v>45747</v>
      </c>
      <c r="L77" s="108"/>
      <c r="M77" s="108"/>
      <c r="N77" s="108"/>
      <c r="O77" s="115"/>
      <c r="P77" s="115"/>
      <c r="Q77" s="115"/>
      <c r="R77" s="121"/>
    </row>
    <row r="78" spans="1:18" x14ac:dyDescent="0.15">
      <c r="A78" s="67">
        <f t="shared" si="0"/>
        <v>52</v>
      </c>
      <c r="B78" s="108">
        <f t="shared" si="7"/>
        <v>95372.557011437239</v>
      </c>
      <c r="C78" s="108">
        <f t="shared" si="2"/>
        <v>1522.6591112050032</v>
      </c>
      <c r="D78" s="108">
        <f t="shared" si="1"/>
        <v>322.32391952939435</v>
      </c>
      <c r="E78" s="115">
        <f t="shared" si="3"/>
        <v>1200.3351916756089</v>
      </c>
      <c r="F78" s="115">
        <f t="shared" ref="F78:G93" si="10">+F77</f>
        <v>0</v>
      </c>
      <c r="G78" s="115">
        <f t="shared" si="10"/>
        <v>0</v>
      </c>
      <c r="H78" s="115">
        <f t="shared" si="5"/>
        <v>94172.221819761631</v>
      </c>
      <c r="I78" s="121">
        <f>+I77+22</f>
        <v>45769</v>
      </c>
      <c r="K78" s="115"/>
      <c r="L78" s="108"/>
      <c r="M78" s="108"/>
      <c r="N78" s="108"/>
      <c r="O78" s="115"/>
      <c r="P78" s="115"/>
      <c r="Q78" s="115"/>
      <c r="R78" s="121"/>
    </row>
    <row r="79" spans="1:18" x14ac:dyDescent="0.15">
      <c r="A79" s="67">
        <f t="shared" si="0"/>
        <v>53</v>
      </c>
      <c r="B79" s="108">
        <f t="shared" si="7"/>
        <v>94172.221819761631</v>
      </c>
      <c r="C79" s="108">
        <f t="shared" si="2"/>
        <v>1522.6591112050032</v>
      </c>
      <c r="D79" s="108">
        <f t="shared" si="1"/>
        <v>318.26723115012032</v>
      </c>
      <c r="E79" s="115">
        <f t="shared" si="3"/>
        <v>1204.3918800548829</v>
      </c>
      <c r="F79" s="115">
        <f t="shared" si="10"/>
        <v>0</v>
      </c>
      <c r="G79" s="115">
        <f t="shared" si="10"/>
        <v>0</v>
      </c>
      <c r="H79" s="115">
        <f t="shared" si="5"/>
        <v>92967.829939706746</v>
      </c>
      <c r="I79" s="121">
        <f t="shared" si="6"/>
        <v>45800</v>
      </c>
      <c r="L79" s="108"/>
      <c r="M79" s="108"/>
      <c r="N79" s="108"/>
      <c r="O79" s="115"/>
      <c r="P79" s="115"/>
      <c r="Q79" s="115"/>
      <c r="R79" s="121"/>
    </row>
    <row r="80" spans="1:18" x14ac:dyDescent="0.15">
      <c r="A80" s="67">
        <f t="shared" si="0"/>
        <v>54</v>
      </c>
      <c r="B80" s="108">
        <f t="shared" si="7"/>
        <v>92967.829939706746</v>
      </c>
      <c r="C80" s="108">
        <f t="shared" si="2"/>
        <v>1522.6591112050032</v>
      </c>
      <c r="D80" s="108">
        <f t="shared" si="1"/>
        <v>314.19683266660149</v>
      </c>
      <c r="E80" s="115">
        <f t="shared" si="3"/>
        <v>1208.4622785384017</v>
      </c>
      <c r="F80" s="115">
        <f t="shared" si="10"/>
        <v>0</v>
      </c>
      <c r="G80" s="115">
        <f t="shared" si="10"/>
        <v>0</v>
      </c>
      <c r="H80" s="115">
        <f t="shared" si="5"/>
        <v>91759.367661168348</v>
      </c>
      <c r="I80" s="121">
        <f t="shared" si="6"/>
        <v>45831</v>
      </c>
      <c r="L80" s="108"/>
      <c r="M80" s="108"/>
      <c r="N80" s="108"/>
      <c r="O80" s="115"/>
      <c r="P80" s="115"/>
      <c r="Q80" s="115"/>
      <c r="R80" s="121"/>
    </row>
    <row r="81" spans="1:18" x14ac:dyDescent="0.15">
      <c r="A81" s="67">
        <f t="shared" si="0"/>
        <v>55</v>
      </c>
      <c r="B81" s="108">
        <f t="shared" si="7"/>
        <v>91759.367661168348</v>
      </c>
      <c r="C81" s="108">
        <f t="shared" si="2"/>
        <v>1522.6591112050032</v>
      </c>
      <c r="D81" s="108">
        <f t="shared" si="1"/>
        <v>310.11267774376341</v>
      </c>
      <c r="E81" s="115">
        <f t="shared" si="3"/>
        <v>1212.5464334612398</v>
      </c>
      <c r="F81" s="115">
        <f t="shared" si="10"/>
        <v>0</v>
      </c>
      <c r="G81" s="115">
        <f t="shared" si="10"/>
        <v>0</v>
      </c>
      <c r="H81" s="115">
        <f t="shared" si="5"/>
        <v>90546.821227707114</v>
      </c>
      <c r="I81" s="121">
        <f t="shared" si="6"/>
        <v>45862</v>
      </c>
      <c r="L81" s="108"/>
      <c r="M81" s="108"/>
      <c r="N81" s="108"/>
      <c r="O81" s="115"/>
      <c r="P81" s="115"/>
      <c r="Q81" s="115"/>
      <c r="R81" s="121"/>
    </row>
    <row r="82" spans="1:18" x14ac:dyDescent="0.15">
      <c r="A82" s="67">
        <f t="shared" si="0"/>
        <v>56</v>
      </c>
      <c r="B82" s="108">
        <f t="shared" si="7"/>
        <v>90546.821227707114</v>
      </c>
      <c r="C82" s="108">
        <f t="shared" si="2"/>
        <v>1522.6591112050032</v>
      </c>
      <c r="D82" s="108">
        <f t="shared" si="1"/>
        <v>306.01471988993609</v>
      </c>
      <c r="E82" s="115">
        <f t="shared" si="3"/>
        <v>1216.6443913150672</v>
      </c>
      <c r="F82" s="115">
        <f t="shared" si="10"/>
        <v>0</v>
      </c>
      <c r="G82" s="115">
        <f t="shared" si="10"/>
        <v>0</v>
      </c>
      <c r="H82" s="115">
        <f t="shared" si="5"/>
        <v>89330.176836392042</v>
      </c>
      <c r="I82" s="121">
        <f t="shared" si="6"/>
        <v>45893</v>
      </c>
      <c r="L82" s="108"/>
      <c r="M82" s="108"/>
      <c r="N82" s="108"/>
      <c r="O82" s="115"/>
      <c r="P82" s="115"/>
      <c r="Q82" s="115"/>
      <c r="R82" s="121"/>
    </row>
    <row r="83" spans="1:18" x14ac:dyDescent="0.15">
      <c r="A83" s="67">
        <f t="shared" si="0"/>
        <v>57</v>
      </c>
      <c r="B83" s="108">
        <f t="shared" si="7"/>
        <v>89330.176836392042</v>
      </c>
      <c r="C83" s="108">
        <f t="shared" si="2"/>
        <v>1522.6591112050032</v>
      </c>
      <c r="D83" s="108">
        <f t="shared" si="1"/>
        <v>301.90291245632494</v>
      </c>
      <c r="E83" s="115">
        <f t="shared" si="3"/>
        <v>1220.7561987486783</v>
      </c>
      <c r="F83" s="115">
        <f t="shared" si="10"/>
        <v>0</v>
      </c>
      <c r="G83" s="115">
        <f t="shared" si="10"/>
        <v>0</v>
      </c>
      <c r="H83" s="115">
        <f t="shared" si="5"/>
        <v>88109.420637643358</v>
      </c>
      <c r="I83" s="121">
        <f t="shared" si="6"/>
        <v>45924</v>
      </c>
      <c r="L83" s="108"/>
      <c r="M83" s="108"/>
      <c r="N83" s="108"/>
      <c r="O83" s="115"/>
      <c r="P83" s="115"/>
      <c r="Q83" s="115"/>
      <c r="R83" s="121"/>
    </row>
    <row r="84" spans="1:18" x14ac:dyDescent="0.15">
      <c r="A84" s="67">
        <f t="shared" si="0"/>
        <v>58</v>
      </c>
      <c r="B84" s="108">
        <f t="shared" si="7"/>
        <v>88109.420637643358</v>
      </c>
      <c r="C84" s="108">
        <f t="shared" si="2"/>
        <v>1522.6591112050032</v>
      </c>
      <c r="D84" s="108">
        <f t="shared" si="1"/>
        <v>297.77720863647988</v>
      </c>
      <c r="E84" s="115">
        <f t="shared" si="3"/>
        <v>1224.8819025685234</v>
      </c>
      <c r="F84" s="115">
        <f t="shared" si="10"/>
        <v>0</v>
      </c>
      <c r="G84" s="115">
        <f t="shared" si="10"/>
        <v>0</v>
      </c>
      <c r="H84" s="115">
        <f t="shared" si="5"/>
        <v>86884.538735074835</v>
      </c>
      <c r="I84" s="121">
        <f>+I83+30</f>
        <v>45954</v>
      </c>
      <c r="L84" s="108"/>
      <c r="M84" s="108"/>
      <c r="N84" s="108"/>
      <c r="O84" s="115"/>
      <c r="P84" s="115"/>
      <c r="Q84" s="115"/>
      <c r="R84" s="121"/>
    </row>
    <row r="85" spans="1:18" x14ac:dyDescent="0.15">
      <c r="A85" s="67">
        <f t="shared" si="0"/>
        <v>59</v>
      </c>
      <c r="B85" s="108">
        <f t="shared" si="7"/>
        <v>86884.538735074835</v>
      </c>
      <c r="C85" s="108">
        <f t="shared" si="2"/>
        <v>1522.6591112050032</v>
      </c>
      <c r="D85" s="108">
        <f t="shared" si="1"/>
        <v>293.63756146576219</v>
      </c>
      <c r="E85" s="115">
        <f t="shared" si="3"/>
        <v>1229.021549739241</v>
      </c>
      <c r="F85" s="115">
        <f t="shared" si="10"/>
        <v>0</v>
      </c>
      <c r="G85" s="115">
        <f t="shared" si="10"/>
        <v>0</v>
      </c>
      <c r="H85" s="115">
        <f t="shared" si="5"/>
        <v>85655.517185335601</v>
      </c>
      <c r="I85" s="121">
        <f>+I84+31</f>
        <v>45985</v>
      </c>
      <c r="L85" s="108"/>
      <c r="M85" s="108"/>
      <c r="N85" s="108"/>
      <c r="O85" s="115"/>
      <c r="P85" s="115"/>
      <c r="Q85" s="115"/>
      <c r="R85" s="121"/>
    </row>
    <row r="86" spans="1:18" x14ac:dyDescent="0.15">
      <c r="A86" s="67">
        <f t="shared" si="0"/>
        <v>60</v>
      </c>
      <c r="B86" s="108">
        <f t="shared" si="7"/>
        <v>85655.517185335601</v>
      </c>
      <c r="C86" s="108">
        <f>+C85</f>
        <v>1522.6591112050032</v>
      </c>
      <c r="D86" s="108">
        <f t="shared" si="1"/>
        <v>289.48392382081011</v>
      </c>
      <c r="E86" s="115">
        <f t="shared" si="3"/>
        <v>1233.1751873841931</v>
      </c>
      <c r="F86" s="115">
        <f t="shared" si="10"/>
        <v>0</v>
      </c>
      <c r="G86" s="115">
        <f t="shared" si="10"/>
        <v>0</v>
      </c>
      <c r="H86" s="115">
        <f t="shared" si="5"/>
        <v>84422.341997951415</v>
      </c>
      <c r="I86" s="121">
        <f t="shared" si="6"/>
        <v>46016</v>
      </c>
      <c r="K86" s="115">
        <f>SUM(C75:C86)</f>
        <v>18271.909334460037</v>
      </c>
      <c r="L86" s="108"/>
      <c r="M86" s="108"/>
      <c r="N86" s="108"/>
      <c r="O86" s="115"/>
      <c r="P86" s="115"/>
      <c r="Q86" s="115"/>
      <c r="R86" s="121"/>
    </row>
    <row r="87" spans="1:18" x14ac:dyDescent="0.15">
      <c r="A87" s="67">
        <f t="shared" si="0"/>
        <v>61</v>
      </c>
      <c r="B87" s="108">
        <f t="shared" si="7"/>
        <v>84422.341997951415</v>
      </c>
      <c r="C87" s="108">
        <f>+C86</f>
        <v>1522.6591112050032</v>
      </c>
      <c r="D87" s="108">
        <f t="shared" si="1"/>
        <v>285.31624841900242</v>
      </c>
      <c r="E87" s="115">
        <f t="shared" si="3"/>
        <v>1237.3428627860008</v>
      </c>
      <c r="F87" s="115">
        <f t="shared" si="10"/>
        <v>0</v>
      </c>
      <c r="G87" s="115">
        <f t="shared" si="10"/>
        <v>0</v>
      </c>
      <c r="H87" s="115">
        <f t="shared" si="5"/>
        <v>83184.999135165417</v>
      </c>
      <c r="I87" s="121">
        <f t="shared" si="6"/>
        <v>46047</v>
      </c>
    </row>
    <row r="88" spans="1:18" x14ac:dyDescent="0.15">
      <c r="A88" s="67">
        <f t="shared" si="0"/>
        <v>62</v>
      </c>
      <c r="B88" s="108">
        <f t="shared" si="7"/>
        <v>83184.999135165417</v>
      </c>
      <c r="C88" s="108">
        <f t="shared" si="2"/>
        <v>1522.6591112050032</v>
      </c>
      <c r="D88" s="108">
        <f t="shared" si="1"/>
        <v>281.13448781792016</v>
      </c>
      <c r="E88" s="115">
        <f t="shared" si="3"/>
        <v>1241.524623387083</v>
      </c>
      <c r="F88" s="115">
        <f t="shared" si="10"/>
        <v>0</v>
      </c>
      <c r="G88" s="115">
        <f t="shared" si="10"/>
        <v>0</v>
      </c>
      <c r="H88" s="115">
        <f t="shared" si="5"/>
        <v>81943.474511778331</v>
      </c>
      <c r="I88" s="121">
        <f t="shared" si="6"/>
        <v>46078</v>
      </c>
    </row>
    <row r="89" spans="1:18" x14ac:dyDescent="0.15">
      <c r="A89" s="67">
        <f t="shared" si="0"/>
        <v>63</v>
      </c>
      <c r="B89" s="108">
        <f t="shared" si="7"/>
        <v>81943.474511778331</v>
      </c>
      <c r="C89" s="108">
        <f t="shared" si="2"/>
        <v>1522.6591112050032</v>
      </c>
      <c r="D89" s="108">
        <f t="shared" si="1"/>
        <v>276.93859441480635</v>
      </c>
      <c r="E89" s="115">
        <f t="shared" si="3"/>
        <v>1245.7205167901968</v>
      </c>
      <c r="F89" s="115">
        <f t="shared" si="10"/>
        <v>0</v>
      </c>
      <c r="G89" s="115">
        <f t="shared" si="10"/>
        <v>0</v>
      </c>
      <c r="H89" s="115">
        <f t="shared" si="5"/>
        <v>80697.753994988132</v>
      </c>
      <c r="I89" s="121">
        <f t="shared" si="6"/>
        <v>46109</v>
      </c>
    </row>
    <row r="90" spans="1:18" x14ac:dyDescent="0.15">
      <c r="A90" s="67">
        <f t="shared" si="0"/>
        <v>64</v>
      </c>
      <c r="B90" s="108">
        <f t="shared" si="7"/>
        <v>80697.753994988132</v>
      </c>
      <c r="C90" s="108">
        <f t="shared" si="2"/>
        <v>1522.6591112050032</v>
      </c>
      <c r="D90" s="108">
        <f t="shared" si="1"/>
        <v>272.72852044602467</v>
      </c>
      <c r="E90" s="115">
        <f t="shared" si="3"/>
        <v>1249.9305907589785</v>
      </c>
      <c r="F90" s="115">
        <v>0</v>
      </c>
      <c r="G90" s="115">
        <f t="shared" si="10"/>
        <v>0</v>
      </c>
      <c r="H90" s="115">
        <f t="shared" si="5"/>
        <v>79447.823404229159</v>
      </c>
      <c r="I90" s="121">
        <f t="shared" si="6"/>
        <v>46140</v>
      </c>
      <c r="K90" s="115"/>
    </row>
    <row r="91" spans="1:18" x14ac:dyDescent="0.15">
      <c r="A91" s="67">
        <f t="shared" si="0"/>
        <v>65</v>
      </c>
      <c r="B91" s="108">
        <f t="shared" si="7"/>
        <v>79447.823404229159</v>
      </c>
      <c r="C91" s="108">
        <f t="shared" si="2"/>
        <v>1522.6591112050032</v>
      </c>
      <c r="D91" s="108">
        <f t="shared" si="1"/>
        <v>268.50421798651519</v>
      </c>
      <c r="E91" s="115">
        <f t="shared" si="3"/>
        <v>1254.154893218488</v>
      </c>
      <c r="F91" s="115">
        <f t="shared" si="10"/>
        <v>0</v>
      </c>
      <c r="G91" s="115">
        <f t="shared" si="10"/>
        <v>0</v>
      </c>
      <c r="H91" s="115">
        <f t="shared" si="5"/>
        <v>78193.668511010677</v>
      </c>
      <c r="I91" s="121">
        <f t="shared" si="6"/>
        <v>46171</v>
      </c>
    </row>
    <row r="92" spans="1:18" x14ac:dyDescent="0.15">
      <c r="A92" s="67">
        <f t="shared" si="0"/>
        <v>66</v>
      </c>
      <c r="B92" s="108">
        <f t="shared" si="7"/>
        <v>78193.668511010677</v>
      </c>
      <c r="C92" s="108">
        <f t="shared" si="2"/>
        <v>1522.6591112050032</v>
      </c>
      <c r="D92" s="108">
        <f t="shared" si="1"/>
        <v>264.26563894924902</v>
      </c>
      <c r="E92" s="115">
        <f t="shared" si="3"/>
        <v>1258.3934722557542</v>
      </c>
      <c r="F92" s="115">
        <f t="shared" si="10"/>
        <v>0</v>
      </c>
      <c r="G92" s="115">
        <f t="shared" si="10"/>
        <v>0</v>
      </c>
      <c r="H92" s="115">
        <f t="shared" si="5"/>
        <v>76935.275038754917</v>
      </c>
      <c r="I92" s="121">
        <f t="shared" si="6"/>
        <v>46202</v>
      </c>
    </row>
    <row r="93" spans="1:18" x14ac:dyDescent="0.15">
      <c r="A93" s="67">
        <f t="shared" ref="A93:A111" si="11">A92+1</f>
        <v>67</v>
      </c>
      <c r="B93" s="108">
        <f t="shared" si="7"/>
        <v>76935.275038754917</v>
      </c>
      <c r="C93" s="108">
        <f t="shared" si="2"/>
        <v>1522.6591112050032</v>
      </c>
      <c r="D93" s="108">
        <f t="shared" ref="D93:D111" si="12">+(B93*D$11)/12</f>
        <v>260.01273508468097</v>
      </c>
      <c r="E93" s="115">
        <f t="shared" si="3"/>
        <v>1262.6463761203222</v>
      </c>
      <c r="F93" s="115">
        <f t="shared" si="10"/>
        <v>0</v>
      </c>
      <c r="G93" s="115">
        <f t="shared" si="10"/>
        <v>0</v>
      </c>
      <c r="H93" s="115">
        <f t="shared" si="5"/>
        <v>75672.628662634597</v>
      </c>
      <c r="I93" s="121">
        <f t="shared" si="6"/>
        <v>46233</v>
      </c>
    </row>
    <row r="94" spans="1:18" x14ac:dyDescent="0.15">
      <c r="A94" s="67">
        <f t="shared" si="11"/>
        <v>68</v>
      </c>
      <c r="B94" s="108">
        <f t="shared" si="7"/>
        <v>75672.628662634597</v>
      </c>
      <c r="C94" s="108">
        <f t="shared" ref="C94:C109" si="13">+C93</f>
        <v>1522.6591112050032</v>
      </c>
      <c r="D94" s="108">
        <f t="shared" si="12"/>
        <v>255.74545798020026</v>
      </c>
      <c r="E94" s="115">
        <f t="shared" ref="E94:E110" si="14">+C94-D94-F94-G94</f>
        <v>1266.9136532248031</v>
      </c>
      <c r="F94" s="115">
        <f t="shared" ref="F94:G109" si="15">+F93</f>
        <v>0</v>
      </c>
      <c r="G94" s="115">
        <f t="shared" si="15"/>
        <v>0</v>
      </c>
      <c r="H94" s="115">
        <f t="shared" ref="H94:H110" si="16">+B94-E94</f>
        <v>74405.715009409789</v>
      </c>
      <c r="I94" s="121">
        <f t="shared" ref="I94:I111" si="17">+I93+31</f>
        <v>46264</v>
      </c>
    </row>
    <row r="95" spans="1:18" x14ac:dyDescent="0.15">
      <c r="A95" s="67">
        <f t="shared" si="11"/>
        <v>69</v>
      </c>
      <c r="B95" s="108">
        <f t="shared" ref="B95:B110" si="18">+H94</f>
        <v>74405.715009409789</v>
      </c>
      <c r="C95" s="108">
        <f t="shared" si="13"/>
        <v>1522.6591112050032</v>
      </c>
      <c r="D95" s="108">
        <f t="shared" si="12"/>
        <v>251.46375905957936</v>
      </c>
      <c r="E95" s="115">
        <f t="shared" si="14"/>
        <v>1271.1953521454238</v>
      </c>
      <c r="F95" s="115">
        <f t="shared" si="15"/>
        <v>0</v>
      </c>
      <c r="G95" s="115">
        <f t="shared" si="15"/>
        <v>0</v>
      </c>
      <c r="H95" s="115">
        <f t="shared" si="16"/>
        <v>73134.519657264362</v>
      </c>
      <c r="I95" s="121">
        <f t="shared" si="17"/>
        <v>46295</v>
      </c>
      <c r="K95" s="122"/>
    </row>
    <row r="96" spans="1:18" x14ac:dyDescent="0.15">
      <c r="A96" s="67">
        <f t="shared" si="11"/>
        <v>70</v>
      </c>
      <c r="B96" s="108">
        <f t="shared" si="18"/>
        <v>73134.519657264362</v>
      </c>
      <c r="C96" s="108">
        <f t="shared" si="13"/>
        <v>1522.6591112050032</v>
      </c>
      <c r="D96" s="108">
        <f t="shared" si="12"/>
        <v>247.16758958242121</v>
      </c>
      <c r="E96" s="115">
        <f t="shared" si="14"/>
        <v>1275.491521622582</v>
      </c>
      <c r="F96" s="115">
        <f t="shared" si="15"/>
        <v>0</v>
      </c>
      <c r="G96" s="115">
        <f t="shared" si="15"/>
        <v>0</v>
      </c>
      <c r="H96" s="115">
        <f t="shared" si="16"/>
        <v>71859.028135641784</v>
      </c>
      <c r="I96" s="121">
        <f t="shared" si="17"/>
        <v>46326</v>
      </c>
      <c r="K96" s="122"/>
    </row>
    <row r="97" spans="1:12" x14ac:dyDescent="0.15">
      <c r="A97" s="67">
        <f t="shared" si="11"/>
        <v>71</v>
      </c>
      <c r="B97" s="108">
        <f t="shared" si="18"/>
        <v>71859.028135641784</v>
      </c>
      <c r="C97" s="108">
        <f t="shared" si="13"/>
        <v>1522.6591112050032</v>
      </c>
      <c r="D97" s="108">
        <f t="shared" si="12"/>
        <v>242.85690064360415</v>
      </c>
      <c r="E97" s="115">
        <f t="shared" si="14"/>
        <v>1279.8022105613991</v>
      </c>
      <c r="F97" s="115">
        <f t="shared" si="15"/>
        <v>0</v>
      </c>
      <c r="G97" s="115">
        <f t="shared" si="15"/>
        <v>0</v>
      </c>
      <c r="H97" s="115">
        <f t="shared" si="16"/>
        <v>70579.225925080391</v>
      </c>
      <c r="I97" s="121">
        <f>+I96+28</f>
        <v>46354</v>
      </c>
    </row>
    <row r="98" spans="1:12" x14ac:dyDescent="0.15">
      <c r="A98" s="67">
        <f t="shared" si="11"/>
        <v>72</v>
      </c>
      <c r="B98" s="108">
        <f t="shared" si="18"/>
        <v>70579.225925080391</v>
      </c>
      <c r="C98" s="108">
        <f>+C97</f>
        <v>1522.6591112050032</v>
      </c>
      <c r="D98" s="108">
        <f t="shared" si="12"/>
        <v>238.53164317272538</v>
      </c>
      <c r="E98" s="115">
        <f t="shared" si="14"/>
        <v>1284.1274680322779</v>
      </c>
      <c r="F98" s="115">
        <f t="shared" si="15"/>
        <v>0</v>
      </c>
      <c r="G98" s="115">
        <f t="shared" si="15"/>
        <v>0</v>
      </c>
      <c r="H98" s="115">
        <f t="shared" si="16"/>
        <v>69295.098457048109</v>
      </c>
      <c r="I98" s="121">
        <f t="shared" si="17"/>
        <v>46385</v>
      </c>
      <c r="K98" s="115">
        <f>SUM(C87:C98)</f>
        <v>18271.909334460037</v>
      </c>
    </row>
    <row r="99" spans="1:12" x14ac:dyDescent="0.15">
      <c r="A99" s="67">
        <f t="shared" si="11"/>
        <v>73</v>
      </c>
      <c r="B99" s="108">
        <f t="shared" si="18"/>
        <v>69295.098457048109</v>
      </c>
      <c r="C99" s="108">
        <f>+C98</f>
        <v>1522.6591112050032</v>
      </c>
      <c r="D99" s="108">
        <f t="shared" si="12"/>
        <v>234.1917679335422</v>
      </c>
      <c r="E99" s="115">
        <f t="shared" si="14"/>
        <v>1288.467343271461</v>
      </c>
      <c r="F99" s="115">
        <f t="shared" si="15"/>
        <v>0</v>
      </c>
      <c r="G99" s="115">
        <f t="shared" si="15"/>
        <v>0</v>
      </c>
      <c r="H99" s="115">
        <f t="shared" si="16"/>
        <v>68006.631113776646</v>
      </c>
      <c r="I99" s="121">
        <f t="shared" si="17"/>
        <v>46416</v>
      </c>
    </row>
    <row r="100" spans="1:12" x14ac:dyDescent="0.15">
      <c r="A100" s="67">
        <f t="shared" si="11"/>
        <v>74</v>
      </c>
      <c r="B100" s="108">
        <f t="shared" si="18"/>
        <v>68006.631113776646</v>
      </c>
      <c r="C100" s="108">
        <f>+C99</f>
        <v>1522.6591112050032</v>
      </c>
      <c r="D100" s="108">
        <f t="shared" si="12"/>
        <v>229.8372255234118</v>
      </c>
      <c r="E100" s="115">
        <f t="shared" si="14"/>
        <v>1292.8218856815915</v>
      </c>
      <c r="F100" s="115">
        <f t="shared" si="15"/>
        <v>0</v>
      </c>
      <c r="G100" s="115">
        <f t="shared" si="15"/>
        <v>0</v>
      </c>
      <c r="H100" s="115">
        <f t="shared" si="16"/>
        <v>66713.809228095051</v>
      </c>
      <c r="I100" s="121">
        <f>+I99+24</f>
        <v>46440</v>
      </c>
    </row>
    <row r="101" spans="1:12" x14ac:dyDescent="0.15">
      <c r="A101" s="67">
        <f t="shared" si="11"/>
        <v>75</v>
      </c>
      <c r="B101" s="108">
        <f t="shared" si="18"/>
        <v>66713.809228095051</v>
      </c>
      <c r="C101" s="108">
        <f t="shared" si="13"/>
        <v>1522.6591112050032</v>
      </c>
      <c r="D101" s="108">
        <f t="shared" si="12"/>
        <v>225.46796637272863</v>
      </c>
      <c r="E101" s="115">
        <f t="shared" si="14"/>
        <v>1297.1911448322746</v>
      </c>
      <c r="F101" s="115">
        <f t="shared" si="15"/>
        <v>0</v>
      </c>
      <c r="G101" s="115">
        <f t="shared" si="15"/>
        <v>0</v>
      </c>
      <c r="H101" s="115">
        <f t="shared" si="16"/>
        <v>65416.61808326278</v>
      </c>
      <c r="I101" s="121">
        <f t="shared" si="17"/>
        <v>46471</v>
      </c>
    </row>
    <row r="102" spans="1:12" x14ac:dyDescent="0.15">
      <c r="A102" s="67">
        <f t="shared" si="11"/>
        <v>76</v>
      </c>
      <c r="B102" s="108">
        <f t="shared" si="18"/>
        <v>65416.61808326278</v>
      </c>
      <c r="C102" s="108">
        <f>+C101</f>
        <v>1522.6591112050032</v>
      </c>
      <c r="D102" s="108">
        <f t="shared" si="12"/>
        <v>221.08394074436032</v>
      </c>
      <c r="E102" s="115">
        <f t="shared" si="14"/>
        <v>1301.575170460643</v>
      </c>
      <c r="F102" s="115">
        <f t="shared" si="15"/>
        <v>0</v>
      </c>
      <c r="G102" s="115">
        <f t="shared" si="15"/>
        <v>0</v>
      </c>
      <c r="H102" s="115">
        <f t="shared" si="16"/>
        <v>64115.042912802135</v>
      </c>
      <c r="I102" s="121">
        <f t="shared" si="17"/>
        <v>46502</v>
      </c>
      <c r="K102" s="115"/>
    </row>
    <row r="103" spans="1:12" x14ac:dyDescent="0.15">
      <c r="A103" s="67">
        <f t="shared" si="11"/>
        <v>77</v>
      </c>
      <c r="B103" s="108">
        <f t="shared" si="18"/>
        <v>64115.042912802135</v>
      </c>
      <c r="C103" s="108">
        <f t="shared" si="13"/>
        <v>1522.6591112050032</v>
      </c>
      <c r="D103" s="108">
        <f t="shared" si="12"/>
        <v>216.68509873308128</v>
      </c>
      <c r="E103" s="115">
        <f t="shared" si="14"/>
        <v>1305.9740124719219</v>
      </c>
      <c r="F103" s="115">
        <f t="shared" si="15"/>
        <v>0</v>
      </c>
      <c r="G103" s="115">
        <f t="shared" si="15"/>
        <v>0</v>
      </c>
      <c r="H103" s="115">
        <f t="shared" si="16"/>
        <v>62809.06890033021</v>
      </c>
      <c r="I103" s="121">
        <f t="shared" si="17"/>
        <v>46533</v>
      </c>
    </row>
    <row r="104" spans="1:12" x14ac:dyDescent="0.15">
      <c r="A104" s="67">
        <f t="shared" si="11"/>
        <v>78</v>
      </c>
      <c r="B104" s="108">
        <f t="shared" si="18"/>
        <v>62809.06890033021</v>
      </c>
      <c r="C104" s="108">
        <f>+C103</f>
        <v>1522.6591112050032</v>
      </c>
      <c r="D104" s="108">
        <f t="shared" si="12"/>
        <v>212.27139026500484</v>
      </c>
      <c r="E104" s="115">
        <f t="shared" si="14"/>
        <v>1310.3877209399984</v>
      </c>
      <c r="F104" s="115">
        <f t="shared" si="15"/>
        <v>0</v>
      </c>
      <c r="G104" s="115">
        <f t="shared" si="15"/>
        <v>0</v>
      </c>
      <c r="H104" s="115">
        <f t="shared" si="16"/>
        <v>61498.681179390209</v>
      </c>
      <c r="I104" s="121">
        <f t="shared" si="17"/>
        <v>46564</v>
      </c>
    </row>
    <row r="105" spans="1:12" x14ac:dyDescent="0.15">
      <c r="A105" s="67">
        <f t="shared" si="11"/>
        <v>79</v>
      </c>
      <c r="B105" s="108">
        <f t="shared" si="18"/>
        <v>61498.681179390209</v>
      </c>
      <c r="C105" s="108">
        <f t="shared" si="13"/>
        <v>1522.6591112050032</v>
      </c>
      <c r="D105" s="108">
        <f t="shared" si="12"/>
        <v>207.8427650970132</v>
      </c>
      <c r="E105" s="115">
        <f t="shared" si="14"/>
        <v>1314.8163461079901</v>
      </c>
      <c r="F105" s="115">
        <f t="shared" si="15"/>
        <v>0</v>
      </c>
      <c r="G105" s="115">
        <f t="shared" si="15"/>
        <v>0</v>
      </c>
      <c r="H105" s="115">
        <f t="shared" si="16"/>
        <v>60183.864833282219</v>
      </c>
      <c r="I105" s="121">
        <f t="shared" si="17"/>
        <v>46595</v>
      </c>
    </row>
    <row r="106" spans="1:12" x14ac:dyDescent="0.15">
      <c r="A106" s="67">
        <f t="shared" si="11"/>
        <v>80</v>
      </c>
      <c r="B106" s="108">
        <f t="shared" si="18"/>
        <v>60183.864833282219</v>
      </c>
      <c r="C106" s="108">
        <f t="shared" si="13"/>
        <v>1522.6591112050032</v>
      </c>
      <c r="D106" s="108">
        <f t="shared" si="12"/>
        <v>203.39917281618526</v>
      </c>
      <c r="E106" s="115">
        <f t="shared" si="14"/>
        <v>1319.259938388818</v>
      </c>
      <c r="F106" s="115">
        <f t="shared" si="15"/>
        <v>0</v>
      </c>
      <c r="G106" s="115">
        <f t="shared" si="15"/>
        <v>0</v>
      </c>
      <c r="H106" s="115">
        <f t="shared" si="16"/>
        <v>58864.604894893404</v>
      </c>
      <c r="I106" s="121">
        <f t="shared" si="17"/>
        <v>46626</v>
      </c>
    </row>
    <row r="107" spans="1:12" x14ac:dyDescent="0.15">
      <c r="A107" s="67">
        <f t="shared" si="11"/>
        <v>81</v>
      </c>
      <c r="B107" s="108">
        <f t="shared" si="18"/>
        <v>58864.604894893404</v>
      </c>
      <c r="C107" s="108">
        <f t="shared" si="13"/>
        <v>1522.6591112050032</v>
      </c>
      <c r="D107" s="108">
        <f t="shared" si="12"/>
        <v>198.94056283922305</v>
      </c>
      <c r="E107" s="115">
        <f t="shared" si="14"/>
        <v>1323.7185483657802</v>
      </c>
      <c r="F107" s="115">
        <f t="shared" si="15"/>
        <v>0</v>
      </c>
      <c r="G107" s="115">
        <f t="shared" si="15"/>
        <v>0</v>
      </c>
      <c r="H107" s="115">
        <f t="shared" si="16"/>
        <v>57540.886346527623</v>
      </c>
      <c r="I107" s="121">
        <f t="shared" si="17"/>
        <v>46657</v>
      </c>
      <c r="K107" s="115"/>
    </row>
    <row r="108" spans="1:12" x14ac:dyDescent="0.15">
      <c r="A108" s="67">
        <f t="shared" si="11"/>
        <v>82</v>
      </c>
      <c r="B108" s="108">
        <f t="shared" si="18"/>
        <v>57540.886346527623</v>
      </c>
      <c r="C108" s="108">
        <f t="shared" si="13"/>
        <v>1522.6591112050032</v>
      </c>
      <c r="D108" s="108">
        <f t="shared" si="12"/>
        <v>194.46688441187575</v>
      </c>
      <c r="E108" s="115">
        <f t="shared" si="14"/>
        <v>1328.1922267931275</v>
      </c>
      <c r="F108" s="115">
        <f t="shared" si="15"/>
        <v>0</v>
      </c>
      <c r="G108" s="115">
        <f t="shared" si="15"/>
        <v>0</v>
      </c>
      <c r="H108" s="115">
        <f t="shared" si="16"/>
        <v>56212.694119734493</v>
      </c>
      <c r="I108" s="121">
        <f t="shared" si="17"/>
        <v>46688</v>
      </c>
    </row>
    <row r="109" spans="1:12" x14ac:dyDescent="0.15">
      <c r="A109" s="67">
        <f t="shared" si="11"/>
        <v>83</v>
      </c>
      <c r="B109" s="108">
        <f t="shared" si="18"/>
        <v>56212.694119734493</v>
      </c>
      <c r="C109" s="108">
        <f t="shared" si="13"/>
        <v>1522.6591112050032</v>
      </c>
      <c r="D109" s="108">
        <f t="shared" si="12"/>
        <v>189.97808660836191</v>
      </c>
      <c r="E109" s="115">
        <f t="shared" si="14"/>
        <v>1332.6810245966412</v>
      </c>
      <c r="F109" s="115">
        <v>0</v>
      </c>
      <c r="G109" s="115">
        <f t="shared" si="15"/>
        <v>0</v>
      </c>
      <c r="H109" s="115">
        <f t="shared" si="16"/>
        <v>54880.013095137852</v>
      </c>
      <c r="I109" s="121">
        <f t="shared" si="17"/>
        <v>46719</v>
      </c>
      <c r="K109" s="115"/>
    </row>
    <row r="110" spans="1:12" x14ac:dyDescent="0.15">
      <c r="A110" s="67">
        <f t="shared" si="11"/>
        <v>84</v>
      </c>
      <c r="B110" s="108">
        <f t="shared" si="18"/>
        <v>54880.013095137852</v>
      </c>
      <c r="C110" s="108">
        <f>+C109</f>
        <v>1522.6591112050032</v>
      </c>
      <c r="D110" s="108">
        <f t="shared" si="12"/>
        <v>185.47411833078993</v>
      </c>
      <c r="E110" s="115">
        <f t="shared" si="14"/>
        <v>1337.1849928742133</v>
      </c>
      <c r="F110" s="115">
        <v>0</v>
      </c>
      <c r="G110" s="115">
        <f>+G109</f>
        <v>0</v>
      </c>
      <c r="H110" s="115">
        <f t="shared" si="16"/>
        <v>53542.828102263637</v>
      </c>
      <c r="I110" s="121">
        <f t="shared" si="17"/>
        <v>46750</v>
      </c>
      <c r="K110" s="115">
        <f>SUM(C99:C110)</f>
        <v>18271.909334460037</v>
      </c>
      <c r="L110" s="115">
        <v>53051.95</v>
      </c>
    </row>
    <row r="111" spans="1:12" x14ac:dyDescent="0.15">
      <c r="A111" s="67">
        <f t="shared" si="11"/>
        <v>85</v>
      </c>
      <c r="B111" s="108">
        <f>+H110</f>
        <v>53542.828102263637</v>
      </c>
      <c r="C111" s="108">
        <f>+L110</f>
        <v>53051.95</v>
      </c>
      <c r="D111" s="108">
        <f t="shared" si="12"/>
        <v>180.95492830857617</v>
      </c>
      <c r="E111" s="115">
        <f>+C111-D111-F111-G111</f>
        <v>53542.825071691426</v>
      </c>
      <c r="F111" s="115">
        <v>-671.83</v>
      </c>
      <c r="G111" s="115">
        <f>+G110</f>
        <v>0</v>
      </c>
      <c r="H111" s="115">
        <f>+B111-E111</f>
        <v>3.0305722102639265E-3</v>
      </c>
      <c r="I111" s="121">
        <f t="shared" si="17"/>
        <v>46781</v>
      </c>
      <c r="K111" s="115">
        <v>53051.95</v>
      </c>
    </row>
    <row r="112" spans="1:12" x14ac:dyDescent="0.15">
      <c r="B112" s="108"/>
      <c r="C112" s="108"/>
      <c r="D112" s="108"/>
      <c r="E112" s="115"/>
      <c r="F112" s="115"/>
      <c r="G112" s="115"/>
      <c r="H112" s="115"/>
      <c r="I112" s="121"/>
    </row>
    <row r="113" spans="2:12" x14ac:dyDescent="0.15">
      <c r="B113" s="108"/>
      <c r="C113" s="108"/>
      <c r="D113" s="108"/>
      <c r="E113" s="115"/>
      <c r="F113" s="115"/>
      <c r="G113" s="115"/>
      <c r="H113" s="115"/>
      <c r="I113" s="121"/>
      <c r="K113" s="120">
        <f>SUM(K28:K111)</f>
        <v>179432.65623001527</v>
      </c>
      <c r="L113" s="120"/>
    </row>
    <row r="114" spans="2:12" x14ac:dyDescent="0.15">
      <c r="B114" s="108"/>
      <c r="C114" s="108"/>
      <c r="D114" s="108"/>
      <c r="E114" s="115"/>
      <c r="F114" s="115"/>
      <c r="G114" s="115"/>
      <c r="H114" s="115"/>
      <c r="I114" s="121"/>
      <c r="K114" s="120"/>
    </row>
    <row r="115" spans="2:12" x14ac:dyDescent="0.15">
      <c r="B115" s="108"/>
      <c r="C115" s="108"/>
      <c r="D115" s="108"/>
      <c r="E115" s="115"/>
      <c r="F115" s="115"/>
      <c r="G115" s="115"/>
      <c r="H115" s="115" t="s">
        <v>148</v>
      </c>
      <c r="I115" s="397"/>
      <c r="K115" s="115">
        <f>SUM(D75:D111)</f>
        <v>9590.1521684738254</v>
      </c>
    </row>
    <row r="116" spans="2:12" x14ac:dyDescent="0.15">
      <c r="B116" s="108"/>
      <c r="C116" s="108"/>
      <c r="D116" s="108"/>
      <c r="E116" s="115"/>
      <c r="F116" s="115"/>
      <c r="G116" s="115"/>
      <c r="H116" s="115"/>
      <c r="I116" s="121"/>
    </row>
    <row r="117" spans="2:12" x14ac:dyDescent="0.15">
      <c r="B117" s="108"/>
      <c r="C117" s="108"/>
      <c r="D117" s="108"/>
      <c r="E117" s="115"/>
      <c r="F117" s="115"/>
      <c r="G117" s="115"/>
      <c r="H117" s="115"/>
      <c r="I117" s="121"/>
    </row>
    <row r="118" spans="2:12" x14ac:dyDescent="0.15">
      <c r="B118" s="108"/>
      <c r="C118" s="108"/>
      <c r="D118" s="108"/>
      <c r="E118" s="115"/>
      <c r="F118" s="115"/>
      <c r="G118" s="115"/>
      <c r="H118" s="115"/>
      <c r="I118" s="121"/>
    </row>
    <row r="119" spans="2:12" x14ac:dyDescent="0.15">
      <c r="B119" s="108"/>
      <c r="C119" s="108"/>
      <c r="D119" s="108"/>
      <c r="E119" s="115"/>
      <c r="F119" s="115"/>
      <c r="G119" s="115"/>
      <c r="H119" s="115"/>
      <c r="I119" s="121"/>
    </row>
    <row r="120" spans="2:12" x14ac:dyDescent="0.15">
      <c r="B120" s="108"/>
      <c r="C120" s="108"/>
      <c r="D120" s="108"/>
      <c r="E120" s="115"/>
      <c r="F120" s="115"/>
      <c r="G120" s="115"/>
      <c r="H120" s="115"/>
      <c r="I120" s="121"/>
    </row>
    <row r="121" spans="2:12" x14ac:dyDescent="0.15">
      <c r="B121" s="108"/>
      <c r="C121" s="108"/>
      <c r="D121" s="108"/>
      <c r="E121" s="115"/>
      <c r="F121" s="115"/>
      <c r="G121" s="115"/>
      <c r="H121" s="115"/>
      <c r="I121" s="121"/>
    </row>
    <row r="122" spans="2:12" x14ac:dyDescent="0.15">
      <c r="B122" s="108"/>
      <c r="C122" s="108"/>
      <c r="D122" s="108"/>
      <c r="E122" s="115"/>
      <c r="F122" s="115"/>
      <c r="G122" s="115"/>
      <c r="H122" s="115"/>
      <c r="I122" s="121"/>
    </row>
    <row r="123" spans="2:12" x14ac:dyDescent="0.15">
      <c r="B123" s="108"/>
      <c r="C123" s="108"/>
      <c r="D123" s="108"/>
      <c r="E123" s="115"/>
      <c r="F123" s="115"/>
      <c r="G123" s="115"/>
      <c r="H123" s="115"/>
      <c r="I123" s="121"/>
    </row>
    <row r="124" spans="2:12" x14ac:dyDescent="0.15">
      <c r="B124" s="108"/>
      <c r="C124" s="108"/>
      <c r="D124" s="108"/>
      <c r="E124" s="115"/>
      <c r="F124" s="115"/>
      <c r="G124" s="115"/>
      <c r="H124" s="115"/>
      <c r="I124" s="121"/>
    </row>
    <row r="125" spans="2:12" x14ac:dyDescent="0.15">
      <c r="B125" s="108"/>
      <c r="C125" s="108"/>
      <c r="D125" s="108"/>
      <c r="E125" s="115"/>
      <c r="F125" s="115"/>
      <c r="G125" s="115"/>
      <c r="H125" s="115"/>
      <c r="I125" s="121"/>
    </row>
    <row r="126" spans="2:12" x14ac:dyDescent="0.15">
      <c r="B126" s="108"/>
      <c r="C126" s="108"/>
      <c r="D126" s="108"/>
      <c r="E126" s="115"/>
      <c r="F126" s="115"/>
      <c r="G126" s="115"/>
      <c r="H126" s="115"/>
      <c r="I126" s="121"/>
    </row>
    <row r="127" spans="2:12" x14ac:dyDescent="0.15">
      <c r="B127" s="108"/>
      <c r="C127" s="108"/>
      <c r="D127" s="108"/>
      <c r="E127" s="115"/>
      <c r="F127" s="115"/>
      <c r="G127" s="115"/>
      <c r="H127" s="115"/>
      <c r="I127" s="121"/>
    </row>
    <row r="128" spans="2:12" x14ac:dyDescent="0.15">
      <c r="B128" s="108"/>
      <c r="C128" s="108"/>
      <c r="D128" s="108"/>
      <c r="E128" s="115"/>
      <c r="F128" s="115"/>
      <c r="G128" s="115"/>
      <c r="H128" s="115"/>
      <c r="I128" s="121"/>
    </row>
    <row r="129" spans="2:9" x14ac:dyDescent="0.15">
      <c r="B129" s="108"/>
      <c r="C129" s="108"/>
      <c r="D129" s="108"/>
      <c r="E129" s="115"/>
      <c r="F129" s="115"/>
      <c r="G129" s="115"/>
      <c r="H129" s="115"/>
      <c r="I129" s="121"/>
    </row>
    <row r="130" spans="2:9" x14ac:dyDescent="0.15">
      <c r="B130" s="108"/>
      <c r="C130" s="108"/>
      <c r="D130" s="108"/>
      <c r="E130" s="115"/>
      <c r="F130" s="115"/>
      <c r="G130" s="115"/>
      <c r="H130" s="115"/>
      <c r="I130" s="121"/>
    </row>
    <row r="131" spans="2:9" x14ac:dyDescent="0.15">
      <c r="B131" s="108"/>
      <c r="C131" s="108"/>
      <c r="D131" s="108"/>
      <c r="E131" s="115"/>
      <c r="F131" s="115"/>
      <c r="G131" s="115"/>
      <c r="H131" s="115"/>
      <c r="I131" s="121"/>
    </row>
    <row r="132" spans="2:9" x14ac:dyDescent="0.15">
      <c r="B132" s="108"/>
      <c r="C132" s="108"/>
      <c r="D132" s="108"/>
      <c r="E132" s="115"/>
      <c r="F132" s="115"/>
      <c r="G132" s="115"/>
      <c r="H132" s="115"/>
      <c r="I132" s="121"/>
    </row>
    <row r="133" spans="2:9" x14ac:dyDescent="0.15">
      <c r="B133" s="108"/>
      <c r="C133" s="108"/>
      <c r="D133" s="108"/>
      <c r="E133" s="115"/>
      <c r="F133" s="115"/>
      <c r="G133" s="115"/>
      <c r="H133" s="115"/>
      <c r="I133" s="121"/>
    </row>
    <row r="134" spans="2:9" x14ac:dyDescent="0.15">
      <c r="B134" s="108"/>
      <c r="C134" s="108"/>
      <c r="D134" s="108"/>
      <c r="E134" s="115"/>
      <c r="F134" s="115"/>
      <c r="G134" s="115"/>
      <c r="H134" s="115"/>
      <c r="I134" s="121"/>
    </row>
    <row r="135" spans="2:9" x14ac:dyDescent="0.15">
      <c r="B135" s="108"/>
      <c r="C135" s="108"/>
      <c r="D135" s="108"/>
      <c r="E135" s="115"/>
      <c r="F135" s="115"/>
      <c r="G135" s="115"/>
      <c r="H135" s="115"/>
      <c r="I135" s="121"/>
    </row>
    <row r="136" spans="2:9" x14ac:dyDescent="0.15">
      <c r="B136" s="108"/>
      <c r="C136" s="108"/>
      <c r="D136" s="108"/>
      <c r="E136" s="115"/>
      <c r="F136" s="115"/>
      <c r="G136" s="115"/>
      <c r="H136" s="115"/>
      <c r="I136" s="121"/>
    </row>
    <row r="137" spans="2:9" x14ac:dyDescent="0.15">
      <c r="B137" s="108"/>
      <c r="C137" s="108"/>
      <c r="D137" s="108"/>
      <c r="E137" s="115"/>
      <c r="F137" s="115"/>
      <c r="G137" s="115"/>
      <c r="H137" s="115"/>
      <c r="I137" s="121"/>
    </row>
    <row r="138" spans="2:9" x14ac:dyDescent="0.15">
      <c r="B138" s="108"/>
      <c r="C138" s="108"/>
      <c r="D138" s="108"/>
      <c r="E138" s="115"/>
      <c r="F138" s="115"/>
      <c r="G138" s="115"/>
      <c r="H138" s="115"/>
      <c r="I138" s="121"/>
    </row>
    <row r="139" spans="2:9" x14ac:dyDescent="0.15">
      <c r="B139" s="108"/>
      <c r="C139" s="108"/>
      <c r="D139" s="108"/>
      <c r="E139" s="115"/>
      <c r="F139" s="115"/>
      <c r="G139" s="115"/>
      <c r="H139" s="115"/>
      <c r="I139" s="121"/>
    </row>
    <row r="140" spans="2:9" x14ac:dyDescent="0.15">
      <c r="B140" s="108"/>
      <c r="C140" s="108"/>
      <c r="D140" s="108"/>
      <c r="E140" s="115"/>
      <c r="F140" s="115"/>
      <c r="G140" s="115"/>
      <c r="H140" s="115"/>
      <c r="I140" s="121"/>
    </row>
    <row r="141" spans="2:9" x14ac:dyDescent="0.15">
      <c r="B141" s="108"/>
      <c r="C141" s="108"/>
      <c r="D141" s="108"/>
      <c r="E141" s="115"/>
      <c r="F141" s="115"/>
      <c r="G141" s="115"/>
      <c r="H141" s="115"/>
      <c r="I141" s="121"/>
    </row>
    <row r="142" spans="2:9" x14ac:dyDescent="0.15">
      <c r="B142" s="108"/>
      <c r="C142" s="108"/>
      <c r="D142" s="108"/>
      <c r="E142" s="115"/>
      <c r="F142" s="115"/>
      <c r="G142" s="115"/>
      <c r="H142" s="115"/>
      <c r="I142" s="121"/>
    </row>
    <row r="143" spans="2:9" x14ac:dyDescent="0.15">
      <c r="B143" s="108"/>
      <c r="C143" s="108"/>
      <c r="D143" s="108"/>
      <c r="E143" s="115"/>
      <c r="F143" s="115"/>
      <c r="G143" s="115"/>
      <c r="H143" s="115"/>
      <c r="I143" s="121"/>
    </row>
    <row r="144" spans="2:9" x14ac:dyDescent="0.15">
      <c r="B144" s="108"/>
      <c r="C144" s="108"/>
      <c r="D144" s="108"/>
      <c r="E144" s="115"/>
      <c r="F144" s="115"/>
      <c r="G144" s="115"/>
      <c r="H144" s="115"/>
      <c r="I144" s="121"/>
    </row>
    <row r="145" spans="2:9" x14ac:dyDescent="0.15">
      <c r="B145" s="108"/>
      <c r="C145" s="108"/>
      <c r="D145" s="108"/>
      <c r="E145" s="115"/>
      <c r="F145" s="115"/>
      <c r="G145" s="115"/>
      <c r="H145" s="115"/>
      <c r="I145" s="121"/>
    </row>
    <row r="146" spans="2:9" x14ac:dyDescent="0.15">
      <c r="B146" s="108"/>
      <c r="C146" s="108"/>
      <c r="D146" s="108"/>
      <c r="E146" s="115"/>
      <c r="F146" s="115"/>
      <c r="G146" s="115"/>
      <c r="H146" s="115"/>
      <c r="I146" s="121"/>
    </row>
    <row r="147" spans="2:9" x14ac:dyDescent="0.15">
      <c r="B147" s="108"/>
      <c r="C147" s="108"/>
      <c r="D147" s="108"/>
      <c r="E147" s="115"/>
      <c r="F147" s="115"/>
      <c r="G147" s="115"/>
      <c r="H147" s="115"/>
      <c r="I147" s="121"/>
    </row>
    <row r="148" spans="2:9" x14ac:dyDescent="0.15">
      <c r="B148" s="108"/>
      <c r="C148" s="108"/>
      <c r="D148" s="108"/>
      <c r="E148" s="115"/>
      <c r="F148" s="115"/>
      <c r="G148" s="115"/>
      <c r="H148" s="115"/>
      <c r="I148" s="121"/>
    </row>
    <row r="149" spans="2:9" x14ac:dyDescent="0.15">
      <c r="B149" s="108"/>
      <c r="C149" s="108"/>
      <c r="D149" s="108"/>
      <c r="E149" s="115"/>
      <c r="F149" s="115"/>
      <c r="G149" s="115"/>
      <c r="H149" s="115"/>
      <c r="I149" s="121"/>
    </row>
    <row r="150" spans="2:9" x14ac:dyDescent="0.15">
      <c r="B150" s="108"/>
      <c r="C150" s="108"/>
      <c r="D150" s="108"/>
      <c r="E150" s="115"/>
      <c r="F150" s="115"/>
      <c r="G150" s="115"/>
      <c r="H150" s="115"/>
      <c r="I150" s="121"/>
    </row>
    <row r="151" spans="2:9" x14ac:dyDescent="0.15">
      <c r="B151" s="108"/>
      <c r="C151" s="108"/>
      <c r="D151" s="108"/>
      <c r="E151" s="115"/>
      <c r="F151" s="115"/>
      <c r="G151" s="115"/>
      <c r="H151" s="115"/>
      <c r="I151" s="121"/>
    </row>
    <row r="152" spans="2:9" x14ac:dyDescent="0.15">
      <c r="B152" s="108"/>
      <c r="C152" s="108"/>
      <c r="D152" s="108"/>
      <c r="E152" s="115"/>
      <c r="F152" s="115"/>
      <c r="G152" s="115"/>
      <c r="H152" s="115"/>
      <c r="I152" s="121"/>
    </row>
    <row r="153" spans="2:9" x14ac:dyDescent="0.15">
      <c r="B153" s="108"/>
      <c r="C153" s="108"/>
      <c r="D153" s="108"/>
      <c r="E153" s="115"/>
      <c r="F153" s="115"/>
      <c r="G153" s="115"/>
      <c r="H153" s="115"/>
      <c r="I153" s="121"/>
    </row>
    <row r="154" spans="2:9" x14ac:dyDescent="0.15">
      <c r="B154" s="108"/>
      <c r="C154" s="108"/>
      <c r="D154" s="108"/>
      <c r="E154" s="115"/>
      <c r="F154" s="115"/>
      <c r="G154" s="115"/>
      <c r="H154" s="115"/>
      <c r="I154" s="121"/>
    </row>
    <row r="155" spans="2:9" x14ac:dyDescent="0.15">
      <c r="B155" s="108"/>
      <c r="C155" s="108"/>
      <c r="D155" s="108"/>
      <c r="E155" s="115"/>
      <c r="F155" s="115"/>
      <c r="G155" s="115"/>
      <c r="H155" s="115"/>
      <c r="I155" s="121"/>
    </row>
    <row r="156" spans="2:9" x14ac:dyDescent="0.15">
      <c r="B156" s="108"/>
      <c r="C156" s="108"/>
      <c r="D156" s="108"/>
      <c r="E156" s="115"/>
      <c r="F156" s="115"/>
      <c r="G156" s="115"/>
      <c r="H156" s="115"/>
      <c r="I156" s="121"/>
    </row>
    <row r="157" spans="2:9" x14ac:dyDescent="0.15">
      <c r="B157" s="108"/>
      <c r="C157" s="108"/>
      <c r="D157" s="108"/>
      <c r="E157" s="115"/>
      <c r="F157" s="115"/>
      <c r="G157" s="115"/>
      <c r="H157" s="115"/>
      <c r="I157" s="121"/>
    </row>
    <row r="158" spans="2:9" x14ac:dyDescent="0.15">
      <c r="B158" s="108"/>
      <c r="C158" s="108"/>
      <c r="D158" s="108"/>
      <c r="E158" s="115"/>
      <c r="F158" s="115"/>
      <c r="G158" s="115"/>
      <c r="H158" s="115"/>
      <c r="I158" s="121"/>
    </row>
    <row r="159" spans="2:9" x14ac:dyDescent="0.15">
      <c r="B159" s="108"/>
      <c r="C159" s="108"/>
      <c r="D159" s="108"/>
      <c r="E159" s="115"/>
      <c r="F159" s="115"/>
      <c r="G159" s="115"/>
      <c r="H159" s="115"/>
      <c r="I159" s="121"/>
    </row>
    <row r="160" spans="2:9" x14ac:dyDescent="0.15">
      <c r="B160" s="108"/>
      <c r="C160" s="108"/>
      <c r="D160" s="108"/>
      <c r="E160" s="115"/>
      <c r="F160" s="115"/>
      <c r="G160" s="115"/>
      <c r="H160" s="115"/>
      <c r="I160" s="121"/>
    </row>
    <row r="161" spans="2:9" x14ac:dyDescent="0.15">
      <c r="B161" s="108"/>
      <c r="C161" s="108"/>
      <c r="D161" s="108"/>
      <c r="E161" s="115"/>
      <c r="F161" s="115"/>
      <c r="G161" s="115"/>
      <c r="H161" s="115"/>
      <c r="I161" s="121"/>
    </row>
    <row r="162" spans="2:9" x14ac:dyDescent="0.15">
      <c r="B162" s="108"/>
      <c r="C162" s="108"/>
      <c r="D162" s="108"/>
      <c r="E162" s="115"/>
      <c r="F162" s="115"/>
      <c r="G162" s="115"/>
      <c r="H162" s="115"/>
      <c r="I162" s="121"/>
    </row>
    <row r="163" spans="2:9" x14ac:dyDescent="0.15">
      <c r="B163" s="108"/>
      <c r="C163" s="108"/>
      <c r="D163" s="108"/>
      <c r="E163" s="115"/>
      <c r="F163" s="115"/>
      <c r="G163" s="115"/>
      <c r="H163" s="115"/>
      <c r="I163" s="121"/>
    </row>
    <row r="164" spans="2:9" x14ac:dyDescent="0.15">
      <c r="B164" s="108"/>
      <c r="C164" s="108"/>
      <c r="D164" s="108"/>
      <c r="E164" s="115"/>
      <c r="F164" s="115"/>
      <c r="G164" s="115"/>
      <c r="H164" s="115"/>
      <c r="I164" s="121"/>
    </row>
    <row r="165" spans="2:9" x14ac:dyDescent="0.15">
      <c r="B165" s="108"/>
      <c r="C165" s="108"/>
      <c r="D165" s="108"/>
      <c r="E165" s="115"/>
      <c r="F165" s="115"/>
      <c r="G165" s="115"/>
      <c r="H165" s="115"/>
      <c r="I165" s="121"/>
    </row>
    <row r="166" spans="2:9" x14ac:dyDescent="0.15">
      <c r="B166" s="108"/>
      <c r="C166" s="108"/>
      <c r="D166" s="108"/>
      <c r="E166" s="115"/>
      <c r="F166" s="115"/>
      <c r="G166" s="115"/>
      <c r="H166" s="115"/>
      <c r="I166" s="121"/>
    </row>
    <row r="167" spans="2:9" x14ac:dyDescent="0.15">
      <c r="B167" s="108"/>
      <c r="C167" s="108"/>
      <c r="D167" s="108"/>
      <c r="E167" s="115"/>
      <c r="F167" s="115"/>
      <c r="G167" s="115"/>
      <c r="H167" s="115"/>
      <c r="I167" s="121"/>
    </row>
    <row r="168" spans="2:9" x14ac:dyDescent="0.15">
      <c r="B168" s="108"/>
      <c r="C168" s="108"/>
      <c r="D168" s="108"/>
      <c r="E168" s="115"/>
      <c r="F168" s="115"/>
      <c r="G168" s="115"/>
      <c r="H168" s="115"/>
      <c r="I168" s="121"/>
    </row>
    <row r="169" spans="2:9" x14ac:dyDescent="0.15">
      <c r="B169" s="108"/>
      <c r="C169" s="108"/>
      <c r="D169" s="108"/>
      <c r="E169" s="115"/>
      <c r="F169" s="115"/>
      <c r="G169" s="115"/>
      <c r="H169" s="115"/>
      <c r="I169" s="121"/>
    </row>
    <row r="170" spans="2:9" x14ac:dyDescent="0.15">
      <c r="B170" s="108"/>
      <c r="C170" s="108"/>
      <c r="D170" s="108"/>
      <c r="E170" s="115"/>
      <c r="F170" s="115"/>
      <c r="G170" s="115"/>
      <c r="H170" s="115"/>
      <c r="I170" s="121"/>
    </row>
    <row r="171" spans="2:9" x14ac:dyDescent="0.15">
      <c r="B171" s="108"/>
      <c r="C171" s="108"/>
      <c r="D171" s="108"/>
      <c r="E171" s="115"/>
      <c r="F171" s="115"/>
      <c r="G171" s="115"/>
      <c r="H171" s="115"/>
      <c r="I171" s="121"/>
    </row>
    <row r="172" spans="2:9" x14ac:dyDescent="0.15">
      <c r="B172" s="108"/>
      <c r="C172" s="108"/>
      <c r="D172" s="108"/>
      <c r="E172" s="115"/>
      <c r="F172" s="115"/>
      <c r="G172" s="115"/>
      <c r="H172" s="115"/>
      <c r="I172" s="121"/>
    </row>
    <row r="173" spans="2:9" x14ac:dyDescent="0.15">
      <c r="B173" s="108"/>
      <c r="C173" s="108"/>
      <c r="D173" s="108"/>
      <c r="E173" s="115"/>
      <c r="F173" s="115"/>
      <c r="G173" s="115"/>
      <c r="H173" s="115"/>
      <c r="I173" s="121"/>
    </row>
    <row r="174" spans="2:9" x14ac:dyDescent="0.15">
      <c r="B174" s="108"/>
      <c r="C174" s="108"/>
      <c r="D174" s="108"/>
      <c r="E174" s="115"/>
      <c r="F174" s="115"/>
      <c r="G174" s="115"/>
      <c r="H174" s="115"/>
      <c r="I174" s="121"/>
    </row>
    <row r="175" spans="2:9" x14ac:dyDescent="0.15">
      <c r="B175" s="108"/>
      <c r="C175" s="108"/>
      <c r="D175" s="108"/>
      <c r="E175" s="115"/>
      <c r="F175" s="115"/>
      <c r="G175" s="115"/>
      <c r="H175" s="115"/>
      <c r="I175" s="121"/>
    </row>
    <row r="176" spans="2:9" x14ac:dyDescent="0.15">
      <c r="B176" s="108"/>
      <c r="C176" s="108"/>
      <c r="D176" s="108"/>
      <c r="E176" s="115"/>
      <c r="F176" s="115"/>
      <c r="G176" s="115"/>
      <c r="H176" s="115"/>
      <c r="I176" s="121"/>
    </row>
    <row r="177" spans="2:9" x14ac:dyDescent="0.15">
      <c r="B177" s="108"/>
      <c r="C177" s="108"/>
      <c r="D177" s="108"/>
      <c r="E177" s="115"/>
      <c r="F177" s="115"/>
      <c r="G177" s="115"/>
      <c r="H177" s="115"/>
      <c r="I177" s="121"/>
    </row>
    <row r="178" spans="2:9" x14ac:dyDescent="0.15">
      <c r="B178" s="108"/>
      <c r="C178" s="108"/>
      <c r="D178" s="108"/>
      <c r="E178" s="115"/>
      <c r="F178" s="115"/>
      <c r="G178" s="115"/>
      <c r="H178" s="115"/>
      <c r="I178" s="121"/>
    </row>
    <row r="179" spans="2:9" x14ac:dyDescent="0.15">
      <c r="B179" s="108"/>
      <c r="C179" s="108"/>
      <c r="D179" s="108"/>
      <c r="E179" s="115"/>
      <c r="F179" s="115"/>
      <c r="G179" s="115"/>
      <c r="H179" s="115"/>
      <c r="I179" s="121"/>
    </row>
    <row r="180" spans="2:9" x14ac:dyDescent="0.15">
      <c r="B180" s="108"/>
      <c r="C180" s="108"/>
      <c r="D180" s="108"/>
      <c r="E180" s="115"/>
      <c r="F180" s="115"/>
      <c r="G180" s="115"/>
      <c r="H180" s="115"/>
      <c r="I180" s="121"/>
    </row>
    <row r="181" spans="2:9" x14ac:dyDescent="0.15">
      <c r="B181" s="108"/>
      <c r="C181" s="108"/>
      <c r="D181" s="108"/>
      <c r="E181" s="115"/>
      <c r="F181" s="115"/>
      <c r="G181" s="115"/>
      <c r="H181" s="115"/>
      <c r="I181" s="121"/>
    </row>
    <row r="182" spans="2:9" x14ac:dyDescent="0.15">
      <c r="B182" s="108"/>
      <c r="C182" s="108"/>
      <c r="D182" s="108"/>
      <c r="E182" s="115"/>
      <c r="F182" s="115"/>
      <c r="G182" s="115"/>
      <c r="H182" s="115"/>
      <c r="I182" s="121"/>
    </row>
    <row r="183" spans="2:9" x14ac:dyDescent="0.15">
      <c r="B183" s="108"/>
      <c r="C183" s="108"/>
      <c r="D183" s="108"/>
      <c r="E183" s="115"/>
      <c r="F183" s="115"/>
      <c r="G183" s="115"/>
      <c r="H183" s="115"/>
      <c r="I183" s="121"/>
    </row>
    <row r="184" spans="2:9" x14ac:dyDescent="0.15">
      <c r="B184" s="108"/>
      <c r="C184" s="108"/>
      <c r="D184" s="108"/>
      <c r="E184" s="115"/>
      <c r="F184" s="115"/>
      <c r="G184" s="115"/>
      <c r="H184" s="115"/>
      <c r="I184" s="121"/>
    </row>
    <row r="185" spans="2:9" x14ac:dyDescent="0.15">
      <c r="B185" s="108"/>
      <c r="C185" s="108"/>
      <c r="D185" s="108"/>
      <c r="E185" s="115"/>
      <c r="F185" s="115"/>
      <c r="G185" s="115"/>
      <c r="H185" s="115"/>
      <c r="I185" s="121"/>
    </row>
    <row r="186" spans="2:9" x14ac:dyDescent="0.15">
      <c r="B186" s="108"/>
      <c r="C186" s="108"/>
      <c r="D186" s="108"/>
      <c r="E186" s="115"/>
      <c r="F186" s="115"/>
      <c r="G186" s="115"/>
      <c r="H186" s="115"/>
      <c r="I186" s="121"/>
    </row>
    <row r="187" spans="2:9" x14ac:dyDescent="0.15">
      <c r="B187" s="108"/>
      <c r="C187" s="108"/>
      <c r="D187" s="108"/>
      <c r="E187" s="115"/>
      <c r="F187" s="115"/>
      <c r="G187" s="115"/>
      <c r="H187" s="115"/>
      <c r="I187" s="121"/>
    </row>
    <row r="188" spans="2:9" x14ac:dyDescent="0.15">
      <c r="B188" s="108"/>
      <c r="C188" s="108"/>
      <c r="D188" s="108"/>
      <c r="E188" s="115"/>
      <c r="F188" s="115"/>
      <c r="G188" s="115"/>
      <c r="H188" s="115"/>
      <c r="I188" s="121"/>
    </row>
    <row r="189" spans="2:9" x14ac:dyDescent="0.15">
      <c r="B189" s="108"/>
      <c r="C189" s="108"/>
      <c r="D189" s="108"/>
      <c r="E189" s="115"/>
      <c r="F189" s="115"/>
      <c r="G189" s="115"/>
      <c r="H189" s="115"/>
      <c r="I189" s="121"/>
    </row>
    <row r="190" spans="2:9" x14ac:dyDescent="0.15">
      <c r="B190" s="108"/>
      <c r="C190" s="108"/>
      <c r="D190" s="108"/>
      <c r="E190" s="115"/>
      <c r="F190" s="115"/>
      <c r="G190" s="115"/>
      <c r="H190" s="115"/>
      <c r="I190" s="121"/>
    </row>
    <row r="191" spans="2:9" x14ac:dyDescent="0.15">
      <c r="B191" s="108"/>
      <c r="C191" s="108"/>
      <c r="D191" s="108"/>
      <c r="E191" s="115"/>
      <c r="F191" s="115"/>
      <c r="G191" s="115"/>
      <c r="H191" s="115"/>
      <c r="I191" s="121"/>
    </row>
    <row r="192" spans="2:9" x14ac:dyDescent="0.15">
      <c r="B192" s="108"/>
      <c r="C192" s="108"/>
      <c r="D192" s="108"/>
      <c r="E192" s="115"/>
      <c r="F192" s="115"/>
      <c r="G192" s="115"/>
      <c r="H192" s="115"/>
      <c r="I192" s="121"/>
    </row>
    <row r="193" spans="2:9" x14ac:dyDescent="0.15">
      <c r="B193" s="108"/>
      <c r="C193" s="108"/>
      <c r="D193" s="108"/>
      <c r="E193" s="115"/>
      <c r="F193" s="115"/>
      <c r="G193" s="115"/>
      <c r="H193" s="115"/>
      <c r="I193" s="121"/>
    </row>
    <row r="194" spans="2:9" x14ac:dyDescent="0.15">
      <c r="B194" s="108"/>
      <c r="C194" s="108"/>
      <c r="D194" s="108"/>
      <c r="E194" s="115"/>
      <c r="F194" s="115"/>
      <c r="G194" s="115"/>
      <c r="H194" s="115"/>
      <c r="I194" s="121"/>
    </row>
    <row r="195" spans="2:9" x14ac:dyDescent="0.15">
      <c r="B195" s="108"/>
      <c r="C195" s="108"/>
      <c r="D195" s="108"/>
      <c r="E195" s="115"/>
      <c r="F195" s="115"/>
      <c r="G195" s="115"/>
      <c r="H195" s="115"/>
      <c r="I195" s="121"/>
    </row>
    <row r="196" spans="2:9" x14ac:dyDescent="0.15">
      <c r="B196" s="108"/>
      <c r="C196" s="108"/>
      <c r="D196" s="108"/>
      <c r="E196" s="115"/>
      <c r="F196" s="115"/>
      <c r="G196" s="115"/>
      <c r="H196" s="115"/>
      <c r="I196" s="121"/>
    </row>
    <row r="197" spans="2:9" x14ac:dyDescent="0.15">
      <c r="B197" s="108"/>
      <c r="C197" s="108"/>
      <c r="D197" s="108"/>
      <c r="E197" s="115"/>
      <c r="F197" s="115"/>
      <c r="G197" s="115"/>
      <c r="H197" s="115"/>
      <c r="I197" s="121"/>
    </row>
    <row r="198" spans="2:9" x14ac:dyDescent="0.15">
      <c r="B198" s="108"/>
      <c r="C198" s="108"/>
      <c r="D198" s="108"/>
      <c r="E198" s="115"/>
      <c r="F198" s="115"/>
      <c r="G198" s="115"/>
      <c r="H198" s="115"/>
      <c r="I198" s="121"/>
    </row>
    <row r="199" spans="2:9" x14ac:dyDescent="0.15">
      <c r="B199" s="108"/>
      <c r="C199" s="108"/>
      <c r="D199" s="108"/>
      <c r="E199" s="115"/>
      <c r="F199" s="115"/>
      <c r="G199" s="115"/>
      <c r="H199" s="115"/>
      <c r="I199" s="121"/>
    </row>
    <row r="200" spans="2:9" x14ac:dyDescent="0.15">
      <c r="B200" s="108"/>
      <c r="C200" s="108"/>
      <c r="D200" s="108"/>
      <c r="E200" s="115"/>
      <c r="F200" s="115"/>
      <c r="G200" s="115"/>
      <c r="H200" s="115"/>
      <c r="I200" s="121"/>
    </row>
    <row r="201" spans="2:9" x14ac:dyDescent="0.15">
      <c r="B201" s="108"/>
      <c r="C201" s="108"/>
      <c r="D201" s="108"/>
      <c r="E201" s="115"/>
      <c r="F201" s="115"/>
      <c r="G201" s="115"/>
      <c r="H201" s="115"/>
      <c r="I201" s="121"/>
    </row>
    <row r="202" spans="2:9" x14ac:dyDescent="0.15">
      <c r="B202" s="108"/>
      <c r="C202" s="108"/>
      <c r="D202" s="108"/>
      <c r="E202" s="115"/>
      <c r="F202" s="115"/>
      <c r="G202" s="115"/>
      <c r="H202" s="115"/>
      <c r="I202" s="121"/>
    </row>
    <row r="203" spans="2:9" x14ac:dyDescent="0.15">
      <c r="B203" s="108"/>
      <c r="C203" s="108"/>
      <c r="D203" s="108"/>
      <c r="E203" s="115"/>
      <c r="F203" s="115"/>
      <c r="G203" s="115"/>
      <c r="H203" s="115"/>
      <c r="I203" s="121"/>
    </row>
    <row r="204" spans="2:9" x14ac:dyDescent="0.15">
      <c r="B204" s="108"/>
      <c r="C204" s="108"/>
      <c r="D204" s="108"/>
      <c r="E204" s="115"/>
      <c r="F204" s="115"/>
      <c r="G204" s="115"/>
      <c r="H204" s="115"/>
      <c r="I204" s="121"/>
    </row>
    <row r="205" spans="2:9" x14ac:dyDescent="0.15">
      <c r="B205" s="108"/>
      <c r="C205" s="108"/>
      <c r="D205" s="108"/>
      <c r="E205" s="115"/>
      <c r="F205" s="115"/>
      <c r="G205" s="115"/>
      <c r="H205" s="115"/>
      <c r="I205" s="121"/>
    </row>
    <row r="206" spans="2:9" x14ac:dyDescent="0.15">
      <c r="B206" s="108"/>
      <c r="C206" s="108"/>
      <c r="D206" s="108"/>
      <c r="E206" s="115"/>
      <c r="F206" s="115"/>
      <c r="G206" s="115"/>
      <c r="H206" s="115"/>
      <c r="I206" s="121"/>
    </row>
    <row r="207" spans="2:9" x14ac:dyDescent="0.15">
      <c r="B207" s="108"/>
      <c r="C207" s="108"/>
      <c r="D207" s="108"/>
      <c r="E207" s="115"/>
      <c r="F207" s="115"/>
      <c r="G207" s="115"/>
      <c r="H207" s="115"/>
      <c r="I207" s="121"/>
    </row>
    <row r="208" spans="2:9" x14ac:dyDescent="0.15">
      <c r="B208" s="108"/>
      <c r="C208" s="108"/>
      <c r="D208" s="108"/>
      <c r="E208" s="115"/>
      <c r="F208" s="115"/>
      <c r="G208" s="115"/>
      <c r="H208" s="115"/>
      <c r="I208" s="121"/>
    </row>
    <row r="209" spans="2:9" x14ac:dyDescent="0.15">
      <c r="B209" s="108"/>
      <c r="C209" s="108"/>
      <c r="D209" s="108"/>
      <c r="E209" s="115"/>
      <c r="F209" s="115"/>
      <c r="G209" s="115"/>
      <c r="H209" s="115"/>
      <c r="I209" s="121"/>
    </row>
    <row r="210" spans="2:9" x14ac:dyDescent="0.15">
      <c r="B210" s="108"/>
      <c r="C210" s="108"/>
      <c r="D210" s="108"/>
      <c r="E210" s="115"/>
      <c r="F210" s="115"/>
      <c r="G210" s="115"/>
      <c r="H210" s="115"/>
      <c r="I210" s="121"/>
    </row>
    <row r="211" spans="2:9" x14ac:dyDescent="0.15">
      <c r="B211" s="108"/>
      <c r="C211" s="108"/>
      <c r="D211" s="108"/>
      <c r="E211" s="115"/>
      <c r="F211" s="115"/>
      <c r="G211" s="115"/>
      <c r="H211" s="115"/>
      <c r="I211" s="121"/>
    </row>
    <row r="212" spans="2:9" x14ac:dyDescent="0.15">
      <c r="B212" s="108"/>
      <c r="C212" s="108"/>
      <c r="D212" s="108"/>
      <c r="E212" s="115"/>
      <c r="F212" s="115"/>
      <c r="G212" s="115"/>
      <c r="H212" s="115"/>
      <c r="I212" s="121"/>
    </row>
    <row r="213" spans="2:9" x14ac:dyDescent="0.15">
      <c r="B213" s="108"/>
      <c r="C213" s="108"/>
      <c r="D213" s="108"/>
      <c r="E213" s="115"/>
      <c r="F213" s="115"/>
      <c r="G213" s="115"/>
      <c r="H213" s="115"/>
      <c r="I213" s="121"/>
    </row>
    <row r="214" spans="2:9" x14ac:dyDescent="0.15">
      <c r="B214" s="108"/>
      <c r="C214" s="108"/>
      <c r="D214" s="108"/>
      <c r="E214" s="115"/>
      <c r="F214" s="115"/>
      <c r="G214" s="115"/>
      <c r="H214" s="115"/>
      <c r="I214" s="121"/>
    </row>
    <row r="215" spans="2:9" x14ac:dyDescent="0.15">
      <c r="B215" s="108"/>
      <c r="C215" s="108"/>
      <c r="D215" s="108"/>
      <c r="E215" s="115"/>
      <c r="F215" s="115"/>
      <c r="G215" s="115"/>
      <c r="H215" s="115"/>
      <c r="I215" s="121"/>
    </row>
    <row r="216" spans="2:9" x14ac:dyDescent="0.15">
      <c r="B216" s="108"/>
      <c r="C216" s="108"/>
      <c r="D216" s="108"/>
      <c r="E216" s="115"/>
      <c r="F216" s="115"/>
      <c r="G216" s="115"/>
      <c r="H216" s="115"/>
      <c r="I216" s="121"/>
    </row>
    <row r="217" spans="2:9" x14ac:dyDescent="0.15">
      <c r="B217" s="108"/>
      <c r="C217" s="108"/>
      <c r="D217" s="108"/>
      <c r="E217" s="115"/>
      <c r="F217" s="115"/>
      <c r="G217" s="115"/>
      <c r="H217" s="115"/>
      <c r="I217" s="121"/>
    </row>
    <row r="218" spans="2:9" x14ac:dyDescent="0.15">
      <c r="B218" s="108"/>
      <c r="C218" s="108"/>
      <c r="D218" s="108"/>
      <c r="E218" s="115"/>
      <c r="F218" s="115"/>
      <c r="G218" s="115"/>
      <c r="H218" s="115"/>
      <c r="I218" s="121"/>
    </row>
    <row r="219" spans="2:9" x14ac:dyDescent="0.15">
      <c r="B219" s="108"/>
      <c r="C219" s="108"/>
      <c r="D219" s="108"/>
      <c r="E219" s="115"/>
      <c r="F219" s="115"/>
      <c r="G219" s="115"/>
      <c r="H219" s="115"/>
      <c r="I219" s="121"/>
    </row>
    <row r="220" spans="2:9" x14ac:dyDescent="0.15">
      <c r="B220" s="108"/>
      <c r="C220" s="108"/>
      <c r="D220" s="108"/>
      <c r="E220" s="115"/>
      <c r="F220" s="115"/>
      <c r="G220" s="115"/>
      <c r="H220" s="115"/>
      <c r="I220" s="121"/>
    </row>
    <row r="221" spans="2:9" x14ac:dyDescent="0.15">
      <c r="B221" s="108"/>
      <c r="C221" s="108"/>
      <c r="D221" s="108"/>
      <c r="E221" s="115"/>
      <c r="F221" s="115"/>
      <c r="G221" s="115"/>
      <c r="H221" s="115"/>
      <c r="I221" s="121"/>
    </row>
    <row r="222" spans="2:9" x14ac:dyDescent="0.15">
      <c r="B222" s="108"/>
      <c r="C222" s="108"/>
      <c r="D222" s="108"/>
      <c r="E222" s="115"/>
      <c r="F222" s="115"/>
      <c r="G222" s="115"/>
      <c r="H222" s="115"/>
      <c r="I222" s="121"/>
    </row>
    <row r="223" spans="2:9" x14ac:dyDescent="0.15">
      <c r="B223" s="108"/>
      <c r="C223" s="108"/>
      <c r="D223" s="108"/>
      <c r="E223" s="115"/>
      <c r="F223" s="115"/>
      <c r="G223" s="115"/>
      <c r="H223" s="115"/>
      <c r="I223" s="121"/>
    </row>
    <row r="224" spans="2:9" x14ac:dyDescent="0.15">
      <c r="B224" s="108"/>
      <c r="C224" s="108"/>
      <c r="D224" s="108"/>
      <c r="E224" s="115"/>
      <c r="F224" s="115"/>
      <c r="G224" s="115"/>
      <c r="H224" s="115"/>
      <c r="I224" s="121"/>
    </row>
    <row r="225" spans="2:9" x14ac:dyDescent="0.15">
      <c r="B225" s="108"/>
      <c r="C225" s="108"/>
      <c r="D225" s="108"/>
      <c r="E225" s="115"/>
      <c r="F225" s="115"/>
      <c r="G225" s="115"/>
      <c r="H225" s="115"/>
      <c r="I225" s="121"/>
    </row>
    <row r="226" spans="2:9" x14ac:dyDescent="0.15">
      <c r="B226" s="108"/>
      <c r="C226" s="108"/>
      <c r="D226" s="108"/>
      <c r="E226" s="115"/>
      <c r="F226" s="115"/>
      <c r="G226" s="115"/>
      <c r="H226" s="115"/>
      <c r="I226" s="121"/>
    </row>
    <row r="227" spans="2:9" x14ac:dyDescent="0.15">
      <c r="B227" s="108"/>
      <c r="C227" s="108"/>
      <c r="D227" s="108"/>
      <c r="E227" s="115"/>
      <c r="F227" s="115"/>
      <c r="G227" s="115"/>
      <c r="H227" s="115"/>
      <c r="I227" s="121"/>
    </row>
    <row r="228" spans="2:9" x14ac:dyDescent="0.15">
      <c r="B228" s="108"/>
      <c r="C228" s="108"/>
      <c r="D228" s="108"/>
      <c r="E228" s="115"/>
      <c r="F228" s="115"/>
      <c r="G228" s="115"/>
      <c r="H228" s="115"/>
      <c r="I228" s="121"/>
    </row>
    <row r="229" spans="2:9" x14ac:dyDescent="0.15">
      <c r="B229" s="108"/>
      <c r="C229" s="108"/>
      <c r="D229" s="108"/>
      <c r="E229" s="115"/>
      <c r="F229" s="115"/>
      <c r="G229" s="115"/>
      <c r="H229" s="115"/>
      <c r="I229" s="121"/>
    </row>
    <row r="230" spans="2:9" x14ac:dyDescent="0.15">
      <c r="B230" s="108"/>
      <c r="C230" s="108"/>
      <c r="D230" s="108"/>
      <c r="E230" s="115"/>
      <c r="F230" s="115"/>
      <c r="G230" s="115"/>
      <c r="H230" s="115"/>
      <c r="I230" s="121"/>
    </row>
    <row r="231" spans="2:9" x14ac:dyDescent="0.15">
      <c r="B231" s="108"/>
      <c r="C231" s="108"/>
      <c r="D231" s="108"/>
      <c r="E231" s="115"/>
      <c r="F231" s="115"/>
      <c r="G231" s="115"/>
      <c r="H231" s="115"/>
      <c r="I231" s="121"/>
    </row>
    <row r="232" spans="2:9" x14ac:dyDescent="0.15">
      <c r="B232" s="108"/>
      <c r="C232" s="108"/>
      <c r="D232" s="108"/>
      <c r="E232" s="115"/>
      <c r="F232" s="115"/>
      <c r="G232" s="115"/>
      <c r="H232" s="115"/>
      <c r="I232" s="121"/>
    </row>
    <row r="233" spans="2:9" x14ac:dyDescent="0.15">
      <c r="B233" s="108"/>
      <c r="C233" s="108"/>
      <c r="D233" s="108"/>
      <c r="E233" s="115"/>
      <c r="F233" s="115"/>
      <c r="G233" s="115"/>
      <c r="H233" s="115"/>
      <c r="I233" s="121"/>
    </row>
    <row r="234" spans="2:9" x14ac:dyDescent="0.15">
      <c r="B234" s="108"/>
      <c r="C234" s="108"/>
      <c r="D234" s="108"/>
      <c r="E234" s="115"/>
      <c r="F234" s="115"/>
      <c r="G234" s="115"/>
      <c r="H234" s="115"/>
      <c r="I234" s="121"/>
    </row>
    <row r="235" spans="2:9" x14ac:dyDescent="0.15">
      <c r="B235" s="108"/>
      <c r="C235" s="108"/>
      <c r="D235" s="108"/>
      <c r="E235" s="115"/>
      <c r="F235" s="115"/>
      <c r="G235" s="115"/>
      <c r="H235" s="115"/>
      <c r="I235" s="121"/>
    </row>
    <row r="236" spans="2:9" x14ac:dyDescent="0.15">
      <c r="B236" s="108"/>
      <c r="C236" s="108"/>
      <c r="D236" s="108"/>
      <c r="E236" s="115"/>
      <c r="F236" s="115"/>
      <c r="G236" s="115"/>
      <c r="H236" s="115"/>
      <c r="I236" s="121"/>
    </row>
    <row r="237" spans="2:9" x14ac:dyDescent="0.15">
      <c r="B237" s="108"/>
      <c r="C237" s="108"/>
      <c r="D237" s="108"/>
      <c r="E237" s="115"/>
      <c r="F237" s="115"/>
      <c r="G237" s="115"/>
      <c r="H237" s="115"/>
      <c r="I237" s="121"/>
    </row>
    <row r="238" spans="2:9" x14ac:dyDescent="0.15">
      <c r="B238" s="108"/>
      <c r="C238" s="108"/>
      <c r="D238" s="108"/>
      <c r="E238" s="115"/>
      <c r="F238" s="115"/>
      <c r="G238" s="115"/>
      <c r="H238" s="115"/>
      <c r="I238" s="121"/>
    </row>
    <row r="239" spans="2:9" x14ac:dyDescent="0.15">
      <c r="B239" s="108"/>
      <c r="C239" s="108"/>
      <c r="D239" s="108"/>
      <c r="E239" s="115"/>
      <c r="F239" s="115"/>
      <c r="G239" s="115"/>
      <c r="H239" s="115"/>
      <c r="I239" s="121"/>
    </row>
    <row r="240" spans="2:9" x14ac:dyDescent="0.15">
      <c r="B240" s="108"/>
      <c r="C240" s="108"/>
      <c r="D240" s="108"/>
      <c r="E240" s="115"/>
      <c r="F240" s="115"/>
      <c r="G240" s="115"/>
      <c r="H240" s="115"/>
      <c r="I240" s="121"/>
    </row>
    <row r="241" spans="2:9" x14ac:dyDescent="0.15">
      <c r="B241" s="108"/>
      <c r="C241" s="108"/>
      <c r="D241" s="108"/>
      <c r="E241" s="115"/>
      <c r="F241" s="115"/>
      <c r="G241" s="115"/>
      <c r="H241" s="115"/>
      <c r="I241" s="121"/>
    </row>
    <row r="242" spans="2:9" x14ac:dyDescent="0.15">
      <c r="B242" s="108"/>
      <c r="C242" s="108"/>
      <c r="D242" s="108"/>
      <c r="E242" s="115"/>
      <c r="F242" s="115"/>
      <c r="G242" s="115"/>
      <c r="H242" s="115"/>
      <c r="I242" s="121"/>
    </row>
    <row r="243" spans="2:9" x14ac:dyDescent="0.15">
      <c r="B243" s="108"/>
      <c r="C243" s="108"/>
      <c r="D243" s="108"/>
      <c r="E243" s="115"/>
      <c r="F243" s="115"/>
      <c r="G243" s="115"/>
      <c r="H243" s="115"/>
      <c r="I243" s="121"/>
    </row>
    <row r="244" spans="2:9" x14ac:dyDescent="0.15">
      <c r="B244" s="108"/>
      <c r="C244" s="108"/>
      <c r="D244" s="108"/>
      <c r="E244" s="115"/>
      <c r="F244" s="115"/>
      <c r="G244" s="115"/>
      <c r="H244" s="115"/>
      <c r="I244" s="121"/>
    </row>
    <row r="245" spans="2:9" x14ac:dyDescent="0.15">
      <c r="B245" s="108"/>
      <c r="C245" s="108"/>
      <c r="D245" s="108"/>
      <c r="E245" s="115"/>
      <c r="F245" s="115"/>
      <c r="G245" s="115"/>
      <c r="H245" s="115"/>
      <c r="I245" s="121"/>
    </row>
    <row r="246" spans="2:9" x14ac:dyDescent="0.15">
      <c r="B246" s="108"/>
      <c r="C246" s="108"/>
      <c r="D246" s="108"/>
      <c r="E246" s="115"/>
      <c r="F246" s="115"/>
      <c r="G246" s="115"/>
      <c r="H246" s="115"/>
      <c r="I246" s="121"/>
    </row>
    <row r="247" spans="2:9" x14ac:dyDescent="0.15">
      <c r="B247" s="108"/>
      <c r="C247" s="108"/>
      <c r="D247" s="108"/>
      <c r="E247" s="115"/>
      <c r="F247" s="115"/>
      <c r="G247" s="115"/>
      <c r="H247" s="115"/>
      <c r="I247" s="121"/>
    </row>
    <row r="248" spans="2:9" x14ac:dyDescent="0.15">
      <c r="B248" s="108"/>
      <c r="C248" s="108"/>
      <c r="D248" s="108"/>
      <c r="E248" s="115"/>
      <c r="F248" s="115"/>
      <c r="G248" s="115"/>
      <c r="H248" s="115"/>
      <c r="I248" s="121"/>
    </row>
    <row r="249" spans="2:9" x14ac:dyDescent="0.15">
      <c r="B249" s="108"/>
      <c r="C249" s="108"/>
      <c r="D249" s="108"/>
      <c r="E249" s="115"/>
      <c r="F249" s="115"/>
      <c r="G249" s="115"/>
      <c r="H249" s="115"/>
      <c r="I249" s="121"/>
    </row>
    <row r="250" spans="2:9" x14ac:dyDescent="0.15">
      <c r="B250" s="108"/>
      <c r="C250" s="108"/>
      <c r="D250" s="108"/>
      <c r="E250" s="115"/>
      <c r="F250" s="115"/>
      <c r="G250" s="115"/>
      <c r="H250" s="115"/>
      <c r="I250" s="121"/>
    </row>
    <row r="251" spans="2:9" x14ac:dyDescent="0.15">
      <c r="B251" s="108"/>
      <c r="C251" s="108"/>
      <c r="D251" s="108"/>
      <c r="E251" s="115"/>
      <c r="F251" s="115"/>
      <c r="G251" s="115"/>
      <c r="H251" s="115"/>
      <c r="I251" s="121"/>
    </row>
    <row r="252" spans="2:9" x14ac:dyDescent="0.15">
      <c r="B252" s="108"/>
      <c r="C252" s="108"/>
      <c r="D252" s="108"/>
      <c r="E252" s="115"/>
      <c r="F252" s="115"/>
      <c r="G252" s="115"/>
      <c r="H252" s="115"/>
      <c r="I252" s="121"/>
    </row>
    <row r="253" spans="2:9" x14ac:dyDescent="0.15">
      <c r="B253" s="108"/>
      <c r="C253" s="108"/>
      <c r="D253" s="108"/>
      <c r="E253" s="115"/>
      <c r="F253" s="115"/>
      <c r="G253" s="115"/>
      <c r="H253" s="115"/>
      <c r="I253" s="121"/>
    </row>
    <row r="254" spans="2:9" x14ac:dyDescent="0.15">
      <c r="B254" s="108"/>
      <c r="C254" s="108"/>
      <c r="D254" s="108"/>
      <c r="E254" s="115"/>
      <c r="F254" s="115"/>
      <c r="G254" s="115"/>
      <c r="H254" s="115"/>
      <c r="I254" s="121"/>
    </row>
    <row r="255" spans="2:9" x14ac:dyDescent="0.15">
      <c r="B255" s="108"/>
      <c r="C255" s="108"/>
      <c r="D255" s="108"/>
      <c r="E255" s="115"/>
      <c r="F255" s="115"/>
      <c r="G255" s="115"/>
      <c r="H255" s="115"/>
      <c r="I255" s="121"/>
    </row>
    <row r="256" spans="2:9" x14ac:dyDescent="0.15">
      <c r="B256" s="108"/>
      <c r="C256" s="108"/>
      <c r="D256" s="108"/>
      <c r="E256" s="115"/>
      <c r="F256" s="115"/>
      <c r="G256" s="115"/>
      <c r="H256" s="115"/>
      <c r="I256" s="121"/>
    </row>
    <row r="257" spans="2:9" x14ac:dyDescent="0.15">
      <c r="B257" s="108"/>
      <c r="C257" s="108"/>
      <c r="D257" s="108"/>
      <c r="E257" s="115"/>
      <c r="F257" s="115"/>
      <c r="G257" s="115"/>
      <c r="H257" s="115"/>
      <c r="I257" s="121"/>
    </row>
    <row r="258" spans="2:9" x14ac:dyDescent="0.15">
      <c r="B258" s="108"/>
      <c r="C258" s="108"/>
      <c r="D258" s="108"/>
      <c r="E258" s="115"/>
      <c r="F258" s="115"/>
      <c r="G258" s="115"/>
      <c r="H258" s="115"/>
      <c r="I258" s="121"/>
    </row>
    <row r="259" spans="2:9" x14ac:dyDescent="0.15">
      <c r="B259" s="108"/>
      <c r="C259" s="108"/>
      <c r="D259" s="108"/>
      <c r="E259" s="115"/>
      <c r="F259" s="115"/>
      <c r="G259" s="115"/>
      <c r="H259" s="115"/>
      <c r="I259" s="121"/>
    </row>
    <row r="260" spans="2:9" x14ac:dyDescent="0.15">
      <c r="B260" s="108"/>
      <c r="C260" s="108"/>
      <c r="D260" s="108"/>
      <c r="E260" s="115"/>
      <c r="F260" s="115"/>
      <c r="G260" s="115"/>
      <c r="H260" s="115"/>
      <c r="I260" s="121"/>
    </row>
    <row r="261" spans="2:9" x14ac:dyDescent="0.15">
      <c r="B261" s="108"/>
      <c r="C261" s="108"/>
      <c r="D261" s="108"/>
      <c r="E261" s="115"/>
      <c r="F261" s="115"/>
      <c r="G261" s="115"/>
      <c r="H261" s="115"/>
      <c r="I261" s="121"/>
    </row>
    <row r="262" spans="2:9" x14ac:dyDescent="0.15">
      <c r="B262" s="108"/>
      <c r="C262" s="108"/>
      <c r="D262" s="108"/>
      <c r="E262" s="115"/>
      <c r="F262" s="115"/>
      <c r="G262" s="115"/>
      <c r="H262" s="115"/>
      <c r="I262" s="121"/>
    </row>
    <row r="263" spans="2:9" x14ac:dyDescent="0.15">
      <c r="B263" s="108"/>
      <c r="C263" s="108"/>
      <c r="D263" s="108"/>
      <c r="E263" s="115"/>
      <c r="F263" s="115"/>
      <c r="G263" s="115"/>
      <c r="H263" s="115"/>
      <c r="I263" s="121"/>
    </row>
    <row r="264" spans="2:9" x14ac:dyDescent="0.15">
      <c r="B264" s="108"/>
      <c r="C264" s="108"/>
      <c r="D264" s="108"/>
      <c r="E264" s="115"/>
      <c r="F264" s="115"/>
      <c r="G264" s="115"/>
      <c r="H264" s="115"/>
      <c r="I264" s="121"/>
    </row>
    <row r="265" spans="2:9" x14ac:dyDescent="0.15">
      <c r="B265" s="108"/>
      <c r="C265" s="108"/>
      <c r="D265" s="108"/>
      <c r="E265" s="115"/>
      <c r="F265" s="115"/>
      <c r="G265" s="115"/>
      <c r="H265" s="115"/>
      <c r="I265" s="121"/>
    </row>
    <row r="266" spans="2:9" x14ac:dyDescent="0.15">
      <c r="B266" s="108"/>
      <c r="C266" s="108"/>
      <c r="D266" s="108"/>
      <c r="E266" s="115"/>
      <c r="F266" s="115"/>
      <c r="G266" s="115"/>
      <c r="H266" s="115"/>
      <c r="I266" s="121"/>
    </row>
    <row r="267" spans="2:9" x14ac:dyDescent="0.15">
      <c r="B267" s="108"/>
      <c r="C267" s="108"/>
      <c r="D267" s="108"/>
      <c r="E267" s="115"/>
      <c r="F267" s="115"/>
      <c r="G267" s="115"/>
      <c r="H267" s="115"/>
      <c r="I267" s="121"/>
    </row>
    <row r="268" spans="2:9" x14ac:dyDescent="0.15">
      <c r="B268" s="108"/>
      <c r="C268" s="108"/>
      <c r="D268" s="108"/>
      <c r="E268" s="115"/>
      <c r="F268" s="115"/>
      <c r="G268" s="115"/>
      <c r="H268" s="115"/>
      <c r="I268" s="121"/>
    </row>
    <row r="269" spans="2:9" x14ac:dyDescent="0.15">
      <c r="B269" s="108"/>
      <c r="C269" s="108"/>
      <c r="D269" s="108"/>
      <c r="E269" s="115"/>
      <c r="F269" s="115"/>
      <c r="G269" s="115"/>
      <c r="H269" s="115"/>
      <c r="I269" s="121"/>
    </row>
    <row r="270" spans="2:9" x14ac:dyDescent="0.15">
      <c r="B270" s="108"/>
      <c r="C270" s="108"/>
      <c r="D270" s="108"/>
      <c r="E270" s="115"/>
      <c r="F270" s="115"/>
      <c r="G270" s="115"/>
      <c r="H270" s="115"/>
      <c r="I270" s="121"/>
    </row>
    <row r="271" spans="2:9" x14ac:dyDescent="0.15">
      <c r="B271" s="108"/>
      <c r="C271" s="108"/>
      <c r="D271" s="108"/>
      <c r="E271" s="115"/>
      <c r="F271" s="115"/>
      <c r="G271" s="115"/>
      <c r="H271" s="115"/>
      <c r="I271" s="121"/>
    </row>
    <row r="272" spans="2:9" x14ac:dyDescent="0.15">
      <c r="B272" s="108"/>
      <c r="C272" s="108"/>
      <c r="D272" s="108"/>
      <c r="E272" s="115"/>
      <c r="F272" s="115"/>
      <c r="G272" s="115"/>
      <c r="H272" s="115"/>
      <c r="I272" s="121"/>
    </row>
    <row r="273" spans="2:9" x14ac:dyDescent="0.15">
      <c r="B273" s="108"/>
      <c r="C273" s="108"/>
      <c r="D273" s="108"/>
      <c r="E273" s="115"/>
      <c r="F273" s="115"/>
      <c r="G273" s="115"/>
      <c r="H273" s="115"/>
      <c r="I273" s="121"/>
    </row>
    <row r="274" spans="2:9" x14ac:dyDescent="0.15">
      <c r="B274" s="108"/>
      <c r="C274" s="108"/>
      <c r="D274" s="108"/>
      <c r="E274" s="115"/>
      <c r="F274" s="115"/>
      <c r="G274" s="115"/>
      <c r="H274" s="115"/>
      <c r="I274" s="121"/>
    </row>
    <row r="275" spans="2:9" x14ac:dyDescent="0.15">
      <c r="B275" s="108"/>
      <c r="C275" s="108"/>
      <c r="D275" s="108"/>
      <c r="E275" s="115"/>
      <c r="F275" s="115"/>
      <c r="G275" s="115"/>
      <c r="H275" s="115"/>
      <c r="I275" s="121"/>
    </row>
    <row r="276" spans="2:9" x14ac:dyDescent="0.15">
      <c r="B276" s="108"/>
      <c r="C276" s="108"/>
      <c r="D276" s="108"/>
      <c r="E276" s="115"/>
      <c r="F276" s="115"/>
      <c r="G276" s="115"/>
      <c r="H276" s="115"/>
      <c r="I276" s="121"/>
    </row>
    <row r="277" spans="2:9" x14ac:dyDescent="0.15">
      <c r="B277" s="108"/>
      <c r="C277" s="108"/>
      <c r="D277" s="108"/>
      <c r="E277" s="115"/>
      <c r="F277" s="115"/>
      <c r="G277" s="115"/>
      <c r="H277" s="115"/>
      <c r="I277" s="121"/>
    </row>
    <row r="278" spans="2:9" x14ac:dyDescent="0.15">
      <c r="B278" s="108"/>
      <c r="C278" s="108"/>
      <c r="D278" s="108"/>
      <c r="E278" s="115"/>
      <c r="F278" s="115"/>
      <c r="G278" s="115"/>
      <c r="H278" s="115"/>
      <c r="I278" s="121"/>
    </row>
    <row r="279" spans="2:9" x14ac:dyDescent="0.15">
      <c r="B279" s="108"/>
      <c r="C279" s="108"/>
      <c r="D279" s="108"/>
      <c r="E279" s="115"/>
      <c r="F279" s="115"/>
      <c r="G279" s="115"/>
      <c r="H279" s="115"/>
      <c r="I279" s="121"/>
    </row>
    <row r="280" spans="2:9" x14ac:dyDescent="0.15">
      <c r="B280" s="108"/>
      <c r="C280" s="108"/>
      <c r="D280" s="108"/>
      <c r="E280" s="115"/>
      <c r="F280" s="115"/>
      <c r="G280" s="115"/>
      <c r="H280" s="115"/>
      <c r="I280" s="121"/>
    </row>
    <row r="281" spans="2:9" x14ac:dyDescent="0.15">
      <c r="B281" s="108"/>
      <c r="C281" s="108"/>
      <c r="D281" s="108"/>
      <c r="E281" s="115"/>
      <c r="F281" s="115"/>
      <c r="G281" s="115"/>
      <c r="H281" s="115"/>
      <c r="I281" s="121"/>
    </row>
    <row r="282" spans="2:9" x14ac:dyDescent="0.15">
      <c r="B282" s="108"/>
      <c r="C282" s="108"/>
      <c r="D282" s="108"/>
      <c r="E282" s="115"/>
      <c r="F282" s="115"/>
      <c r="G282" s="115"/>
      <c r="H282" s="115"/>
      <c r="I282" s="121"/>
    </row>
    <row r="283" spans="2:9" x14ac:dyDescent="0.15">
      <c r="B283" s="108"/>
      <c r="C283" s="108"/>
      <c r="D283" s="108"/>
      <c r="E283" s="115"/>
      <c r="F283" s="115"/>
      <c r="G283" s="115"/>
      <c r="H283" s="115"/>
      <c r="I283" s="121"/>
    </row>
    <row r="284" spans="2:9" x14ac:dyDescent="0.15">
      <c r="B284" s="108"/>
      <c r="C284" s="108"/>
      <c r="D284" s="108"/>
      <c r="E284" s="115"/>
      <c r="F284" s="115"/>
      <c r="G284" s="115"/>
      <c r="H284" s="115"/>
      <c r="I284" s="121"/>
    </row>
    <row r="285" spans="2:9" x14ac:dyDescent="0.15">
      <c r="B285" s="108"/>
      <c r="C285" s="108"/>
      <c r="D285" s="108"/>
      <c r="E285" s="115"/>
      <c r="F285" s="115"/>
      <c r="G285" s="115"/>
      <c r="H285" s="115"/>
      <c r="I285" s="121"/>
    </row>
    <row r="286" spans="2:9" x14ac:dyDescent="0.15">
      <c r="B286" s="108"/>
      <c r="C286" s="108"/>
      <c r="D286" s="108"/>
      <c r="E286" s="115"/>
      <c r="F286" s="115"/>
      <c r="G286" s="115"/>
      <c r="H286" s="115"/>
      <c r="I286" s="121"/>
    </row>
    <row r="287" spans="2:9" x14ac:dyDescent="0.15">
      <c r="B287" s="108"/>
      <c r="C287" s="108"/>
      <c r="D287" s="108"/>
      <c r="E287" s="115"/>
      <c r="F287" s="115"/>
      <c r="G287" s="115"/>
      <c r="H287" s="115"/>
      <c r="I287" s="121"/>
    </row>
    <row r="288" spans="2:9" x14ac:dyDescent="0.15">
      <c r="B288" s="108"/>
      <c r="C288" s="108"/>
      <c r="D288" s="108"/>
      <c r="E288" s="115"/>
      <c r="F288" s="115"/>
      <c r="G288" s="115"/>
      <c r="H288" s="115"/>
      <c r="I288" s="121"/>
    </row>
    <row r="289" spans="2:9" x14ac:dyDescent="0.15">
      <c r="B289" s="108"/>
      <c r="C289" s="108"/>
      <c r="D289" s="108"/>
      <c r="E289" s="115"/>
      <c r="F289" s="115"/>
      <c r="G289" s="115"/>
      <c r="H289" s="115"/>
      <c r="I289" s="121"/>
    </row>
    <row r="290" spans="2:9" x14ac:dyDescent="0.15">
      <c r="B290" s="108"/>
      <c r="C290" s="108"/>
      <c r="D290" s="108"/>
      <c r="E290" s="115"/>
      <c r="F290" s="115"/>
      <c r="G290" s="115"/>
      <c r="H290" s="115"/>
      <c r="I290" s="121"/>
    </row>
    <row r="291" spans="2:9" x14ac:dyDescent="0.15">
      <c r="B291" s="108"/>
      <c r="C291" s="108"/>
      <c r="D291" s="108"/>
      <c r="E291" s="115"/>
      <c r="F291" s="115"/>
      <c r="G291" s="115"/>
      <c r="H291" s="115"/>
      <c r="I291" s="121"/>
    </row>
    <row r="292" spans="2:9" x14ac:dyDescent="0.15">
      <c r="B292" s="108"/>
      <c r="C292" s="108"/>
      <c r="D292" s="108"/>
      <c r="E292" s="115"/>
      <c r="F292" s="115"/>
      <c r="G292" s="115"/>
      <c r="H292" s="115"/>
      <c r="I292" s="121"/>
    </row>
    <row r="293" spans="2:9" x14ac:dyDescent="0.15">
      <c r="B293" s="108"/>
      <c r="C293" s="108"/>
      <c r="D293" s="108"/>
      <c r="E293" s="115"/>
      <c r="F293" s="115"/>
      <c r="G293" s="115"/>
      <c r="H293" s="115"/>
      <c r="I293" s="121"/>
    </row>
    <row r="294" spans="2:9" x14ac:dyDescent="0.15">
      <c r="B294" s="108"/>
      <c r="C294" s="108"/>
      <c r="D294" s="108"/>
      <c r="E294" s="115"/>
      <c r="F294" s="115"/>
      <c r="G294" s="115"/>
      <c r="H294" s="115"/>
      <c r="I294" s="121"/>
    </row>
    <row r="295" spans="2:9" x14ac:dyDescent="0.15">
      <c r="B295" s="108"/>
      <c r="C295" s="108"/>
      <c r="D295" s="108"/>
      <c r="E295" s="115"/>
      <c r="F295" s="115"/>
      <c r="G295" s="115"/>
      <c r="H295" s="115"/>
      <c r="I295" s="121"/>
    </row>
    <row r="296" spans="2:9" x14ac:dyDescent="0.15">
      <c r="B296" s="108"/>
      <c r="C296" s="108"/>
      <c r="D296" s="108"/>
      <c r="E296" s="115"/>
      <c r="F296" s="115"/>
      <c r="G296" s="115"/>
      <c r="H296" s="115"/>
      <c r="I296" s="121"/>
    </row>
    <row r="297" spans="2:9" x14ac:dyDescent="0.15">
      <c r="B297" s="108"/>
      <c r="C297" s="108"/>
      <c r="D297" s="108"/>
      <c r="E297" s="115"/>
      <c r="F297" s="115"/>
      <c r="G297" s="115"/>
      <c r="H297" s="115"/>
      <c r="I297" s="121"/>
    </row>
    <row r="298" spans="2:9" x14ac:dyDescent="0.15">
      <c r="B298" s="108"/>
      <c r="C298" s="108"/>
      <c r="D298" s="108"/>
      <c r="E298" s="115"/>
      <c r="F298" s="115"/>
      <c r="G298" s="115"/>
      <c r="H298" s="115"/>
      <c r="I298" s="121"/>
    </row>
    <row r="299" spans="2:9" x14ac:dyDescent="0.15">
      <c r="B299" s="108"/>
      <c r="C299" s="108"/>
      <c r="D299" s="108"/>
      <c r="E299" s="115"/>
      <c r="F299" s="115"/>
      <c r="G299" s="115"/>
      <c r="H299" s="115"/>
      <c r="I299" s="121"/>
    </row>
    <row r="300" spans="2:9" x14ac:dyDescent="0.15">
      <c r="B300" s="108"/>
      <c r="C300" s="108"/>
      <c r="D300" s="108"/>
      <c r="E300" s="115"/>
      <c r="F300" s="115"/>
      <c r="G300" s="115"/>
      <c r="H300" s="115"/>
      <c r="I300" s="121"/>
    </row>
    <row r="301" spans="2:9" x14ac:dyDescent="0.15">
      <c r="B301" s="108"/>
      <c r="C301" s="108"/>
      <c r="D301" s="108"/>
      <c r="E301" s="115"/>
      <c r="F301" s="115"/>
      <c r="G301" s="115"/>
      <c r="H301" s="115"/>
      <c r="I301" s="121"/>
    </row>
    <row r="302" spans="2:9" x14ac:dyDescent="0.15">
      <c r="B302" s="108"/>
      <c r="C302" s="108"/>
      <c r="D302" s="108"/>
      <c r="E302" s="115"/>
      <c r="F302" s="115"/>
      <c r="G302" s="115"/>
      <c r="H302" s="115"/>
      <c r="I302" s="121"/>
    </row>
    <row r="303" spans="2:9" x14ac:dyDescent="0.15">
      <c r="B303" s="108"/>
      <c r="C303" s="108"/>
      <c r="D303" s="108"/>
      <c r="E303" s="115"/>
      <c r="F303" s="115"/>
      <c r="G303" s="115"/>
      <c r="H303" s="115"/>
      <c r="I303" s="121"/>
    </row>
    <row r="304" spans="2:9" x14ac:dyDescent="0.15">
      <c r="B304" s="108"/>
      <c r="C304" s="108"/>
      <c r="D304" s="108"/>
      <c r="E304" s="115"/>
      <c r="F304" s="115"/>
      <c r="G304" s="115"/>
      <c r="H304" s="115"/>
      <c r="I304" s="121"/>
    </row>
    <row r="305" spans="2:9" x14ac:dyDescent="0.15">
      <c r="B305" s="108"/>
      <c r="C305" s="108"/>
      <c r="D305" s="108"/>
      <c r="E305" s="115"/>
      <c r="F305" s="115"/>
      <c r="G305" s="115"/>
      <c r="H305" s="115"/>
      <c r="I305" s="121"/>
    </row>
    <row r="306" spans="2:9" x14ac:dyDescent="0.15">
      <c r="B306" s="108"/>
      <c r="C306" s="108"/>
      <c r="D306" s="108"/>
      <c r="E306" s="115"/>
      <c r="F306" s="115"/>
      <c r="G306" s="115"/>
      <c r="H306" s="115"/>
      <c r="I306" s="121"/>
    </row>
    <row r="307" spans="2:9" x14ac:dyDescent="0.15">
      <c r="B307" s="108"/>
      <c r="C307" s="108"/>
      <c r="D307" s="108"/>
      <c r="E307" s="115"/>
      <c r="F307" s="115"/>
      <c r="G307" s="115"/>
      <c r="H307" s="115"/>
      <c r="I307" s="121"/>
    </row>
    <row r="308" spans="2:9" x14ac:dyDescent="0.15">
      <c r="B308" s="108"/>
      <c r="C308" s="108"/>
      <c r="D308" s="108"/>
      <c r="E308" s="115"/>
      <c r="F308" s="115"/>
      <c r="G308" s="115"/>
      <c r="H308" s="115"/>
      <c r="I308" s="121"/>
    </row>
    <row r="309" spans="2:9" x14ac:dyDescent="0.15">
      <c r="B309" s="108"/>
      <c r="C309" s="108"/>
      <c r="D309" s="108"/>
      <c r="E309" s="115"/>
      <c r="F309" s="115"/>
      <c r="G309" s="115"/>
      <c r="H309" s="115"/>
      <c r="I309" s="121"/>
    </row>
    <row r="310" spans="2:9" x14ac:dyDescent="0.15">
      <c r="B310" s="108"/>
      <c r="C310" s="108"/>
      <c r="D310" s="108"/>
      <c r="E310" s="115"/>
      <c r="F310" s="115"/>
      <c r="G310" s="115"/>
      <c r="H310" s="115"/>
      <c r="I310" s="121"/>
    </row>
    <row r="311" spans="2:9" x14ac:dyDescent="0.15">
      <c r="B311" s="108"/>
      <c r="C311" s="108"/>
      <c r="D311" s="108"/>
      <c r="E311" s="115"/>
      <c r="F311" s="115"/>
      <c r="G311" s="115"/>
      <c r="H311" s="115"/>
      <c r="I311" s="121"/>
    </row>
    <row r="312" spans="2:9" x14ac:dyDescent="0.15">
      <c r="B312" s="108"/>
      <c r="C312" s="108"/>
      <c r="D312" s="108"/>
      <c r="E312" s="115"/>
      <c r="F312" s="115"/>
      <c r="G312" s="115"/>
      <c r="H312" s="115"/>
      <c r="I312" s="121"/>
    </row>
    <row r="313" spans="2:9" x14ac:dyDescent="0.15">
      <c r="B313" s="108"/>
      <c r="C313" s="108"/>
      <c r="D313" s="108"/>
      <c r="E313" s="115"/>
      <c r="F313" s="115"/>
      <c r="G313" s="115"/>
      <c r="H313" s="115"/>
      <c r="I313" s="121"/>
    </row>
    <row r="314" spans="2:9" x14ac:dyDescent="0.15">
      <c r="B314" s="108"/>
      <c r="C314" s="108"/>
      <c r="D314" s="108"/>
      <c r="E314" s="115"/>
      <c r="F314" s="115"/>
      <c r="G314" s="115"/>
      <c r="H314" s="115"/>
      <c r="I314" s="121"/>
    </row>
    <row r="315" spans="2:9" x14ac:dyDescent="0.15">
      <c r="B315" s="108"/>
      <c r="C315" s="108"/>
      <c r="D315" s="108"/>
      <c r="E315" s="115"/>
      <c r="F315" s="115"/>
      <c r="G315" s="115"/>
      <c r="H315" s="115"/>
      <c r="I315" s="121"/>
    </row>
    <row r="316" spans="2:9" x14ac:dyDescent="0.15">
      <c r="B316" s="108"/>
      <c r="C316" s="108"/>
      <c r="D316" s="108"/>
      <c r="E316" s="115"/>
      <c r="F316" s="115"/>
      <c r="G316" s="115"/>
      <c r="H316" s="115"/>
      <c r="I316" s="121"/>
    </row>
    <row r="317" spans="2:9" x14ac:dyDescent="0.15">
      <c r="B317" s="108"/>
      <c r="C317" s="108"/>
      <c r="D317" s="108"/>
      <c r="E317" s="115"/>
      <c r="F317" s="115"/>
      <c r="G317" s="115"/>
      <c r="H317" s="115"/>
      <c r="I317" s="121"/>
    </row>
    <row r="318" spans="2:9" x14ac:dyDescent="0.15">
      <c r="B318" s="108"/>
      <c r="C318" s="108"/>
      <c r="D318" s="108"/>
      <c r="E318" s="115"/>
      <c r="F318" s="115"/>
      <c r="G318" s="115"/>
      <c r="H318" s="115"/>
      <c r="I318" s="121"/>
    </row>
    <row r="319" spans="2:9" x14ac:dyDescent="0.15">
      <c r="B319" s="108"/>
      <c r="C319" s="108"/>
      <c r="D319" s="108"/>
      <c r="E319" s="115"/>
      <c r="F319" s="115"/>
      <c r="G319" s="115"/>
      <c r="H319" s="115"/>
      <c r="I319" s="121"/>
    </row>
    <row r="320" spans="2:9" x14ac:dyDescent="0.15">
      <c r="B320" s="108"/>
      <c r="C320" s="108"/>
      <c r="D320" s="108"/>
      <c r="E320" s="115"/>
      <c r="F320" s="115"/>
      <c r="G320" s="115"/>
      <c r="H320" s="115"/>
      <c r="I320" s="121"/>
    </row>
    <row r="321" spans="2:9" x14ac:dyDescent="0.15">
      <c r="B321" s="108"/>
      <c r="C321" s="108"/>
      <c r="D321" s="108"/>
      <c r="E321" s="115"/>
      <c r="F321" s="115"/>
      <c r="G321" s="115"/>
      <c r="H321" s="115"/>
      <c r="I321" s="121"/>
    </row>
    <row r="322" spans="2:9" x14ac:dyDescent="0.15">
      <c r="B322" s="108"/>
      <c r="C322" s="108"/>
      <c r="D322" s="108"/>
      <c r="E322" s="115"/>
      <c r="F322" s="115"/>
      <c r="G322" s="115"/>
      <c r="H322" s="115"/>
      <c r="I322" s="121"/>
    </row>
    <row r="323" spans="2:9" x14ac:dyDescent="0.15">
      <c r="B323" s="108"/>
      <c r="C323" s="108"/>
      <c r="D323" s="108"/>
      <c r="E323" s="115"/>
      <c r="F323" s="115"/>
      <c r="G323" s="115"/>
      <c r="H323" s="115"/>
      <c r="I323" s="121"/>
    </row>
    <row r="324" spans="2:9" x14ac:dyDescent="0.15">
      <c r="B324" s="108"/>
      <c r="C324" s="108"/>
      <c r="D324" s="108"/>
      <c r="E324" s="115"/>
      <c r="F324" s="115"/>
      <c r="G324" s="115"/>
      <c r="H324" s="115"/>
      <c r="I324" s="121"/>
    </row>
    <row r="325" spans="2:9" x14ac:dyDescent="0.15">
      <c r="B325" s="108"/>
      <c r="C325" s="108"/>
      <c r="D325" s="108"/>
      <c r="E325" s="115"/>
      <c r="F325" s="115"/>
      <c r="G325" s="115"/>
      <c r="H325" s="115"/>
      <c r="I325" s="121"/>
    </row>
    <row r="326" spans="2:9" x14ac:dyDescent="0.15">
      <c r="B326" s="108"/>
      <c r="C326" s="108"/>
      <c r="D326" s="108"/>
      <c r="E326" s="115"/>
      <c r="F326" s="115"/>
      <c r="G326" s="115"/>
      <c r="H326" s="115"/>
      <c r="I326" s="121"/>
    </row>
    <row r="327" spans="2:9" x14ac:dyDescent="0.15">
      <c r="B327" s="108"/>
      <c r="C327" s="108"/>
      <c r="D327" s="108"/>
      <c r="E327" s="115"/>
      <c r="F327" s="115"/>
      <c r="G327" s="115"/>
      <c r="H327" s="115"/>
      <c r="I327" s="121"/>
    </row>
    <row r="328" spans="2:9" x14ac:dyDescent="0.15">
      <c r="B328" s="108"/>
      <c r="C328" s="108"/>
      <c r="D328" s="108"/>
      <c r="E328" s="115"/>
      <c r="F328" s="115"/>
      <c r="G328" s="115"/>
      <c r="H328" s="115"/>
      <c r="I328" s="121"/>
    </row>
    <row r="329" spans="2:9" x14ac:dyDescent="0.15">
      <c r="B329" s="108"/>
      <c r="C329" s="108"/>
      <c r="D329" s="108"/>
      <c r="E329" s="115"/>
      <c r="F329" s="115"/>
      <c r="G329" s="115"/>
      <c r="H329" s="115"/>
      <c r="I329" s="121"/>
    </row>
    <row r="330" spans="2:9" x14ac:dyDescent="0.15">
      <c r="B330" s="108"/>
      <c r="C330" s="108"/>
      <c r="D330" s="108"/>
      <c r="E330" s="115"/>
      <c r="F330" s="115"/>
      <c r="G330" s="115"/>
      <c r="H330" s="115"/>
      <c r="I330" s="121"/>
    </row>
    <row r="331" spans="2:9" x14ac:dyDescent="0.15">
      <c r="B331" s="108"/>
      <c r="C331" s="108"/>
      <c r="D331" s="108"/>
      <c r="E331" s="115"/>
      <c r="F331" s="115"/>
      <c r="G331" s="115"/>
      <c r="H331" s="115"/>
      <c r="I331" s="121"/>
    </row>
    <row r="332" spans="2:9" x14ac:dyDescent="0.15">
      <c r="B332" s="108"/>
      <c r="C332" s="108"/>
      <c r="D332" s="108"/>
      <c r="E332" s="115"/>
      <c r="F332" s="115"/>
      <c r="G332" s="115"/>
      <c r="H332" s="115"/>
      <c r="I332" s="121"/>
    </row>
    <row r="333" spans="2:9" x14ac:dyDescent="0.15">
      <c r="B333" s="108"/>
      <c r="C333" s="108"/>
      <c r="D333" s="108"/>
      <c r="E333" s="115"/>
      <c r="F333" s="115"/>
      <c r="G333" s="115"/>
      <c r="H333" s="115"/>
      <c r="I333" s="121"/>
    </row>
    <row r="334" spans="2:9" x14ac:dyDescent="0.15">
      <c r="B334" s="108"/>
      <c r="C334" s="108"/>
      <c r="D334" s="108"/>
      <c r="E334" s="115"/>
      <c r="F334" s="115"/>
      <c r="G334" s="115"/>
      <c r="H334" s="115"/>
      <c r="I334" s="121"/>
    </row>
    <row r="335" spans="2:9" x14ac:dyDescent="0.15">
      <c r="B335" s="108"/>
      <c r="C335" s="108"/>
      <c r="D335" s="108"/>
      <c r="E335" s="115"/>
      <c r="F335" s="115"/>
      <c r="G335" s="115"/>
      <c r="H335" s="115"/>
      <c r="I335" s="121"/>
    </row>
    <row r="336" spans="2:9" x14ac:dyDescent="0.15">
      <c r="B336" s="108"/>
      <c r="C336" s="108"/>
      <c r="D336" s="108"/>
      <c r="E336" s="115"/>
      <c r="F336" s="115"/>
      <c r="G336" s="115"/>
      <c r="H336" s="115"/>
      <c r="I336" s="121"/>
    </row>
    <row r="337" spans="2:9" x14ac:dyDescent="0.15">
      <c r="B337" s="108"/>
      <c r="C337" s="108"/>
      <c r="D337" s="108"/>
      <c r="E337" s="115"/>
      <c r="F337" s="115"/>
      <c r="G337" s="115"/>
      <c r="H337" s="115"/>
      <c r="I337" s="121"/>
    </row>
    <row r="338" spans="2:9" x14ac:dyDescent="0.15">
      <c r="B338" s="108"/>
      <c r="C338" s="108"/>
      <c r="D338" s="108"/>
      <c r="E338" s="115"/>
      <c r="F338" s="115"/>
      <c r="G338" s="115"/>
      <c r="H338" s="115"/>
      <c r="I338" s="121"/>
    </row>
    <row r="339" spans="2:9" x14ac:dyDescent="0.15">
      <c r="B339" s="108"/>
      <c r="C339" s="108"/>
      <c r="D339" s="108"/>
      <c r="E339" s="115"/>
      <c r="F339" s="115"/>
      <c r="G339" s="115"/>
      <c r="H339" s="115"/>
      <c r="I339" s="121"/>
    </row>
    <row r="340" spans="2:9" x14ac:dyDescent="0.15">
      <c r="B340" s="108"/>
      <c r="C340" s="108"/>
      <c r="D340" s="108"/>
      <c r="E340" s="115"/>
      <c r="F340" s="115"/>
      <c r="G340" s="115"/>
      <c r="H340" s="115"/>
      <c r="I340" s="121"/>
    </row>
    <row r="341" spans="2:9" x14ac:dyDescent="0.15">
      <c r="B341" s="108"/>
      <c r="C341" s="108"/>
      <c r="D341" s="108"/>
      <c r="E341" s="115"/>
      <c r="F341" s="115"/>
      <c r="G341" s="115"/>
      <c r="H341" s="115"/>
      <c r="I341" s="121"/>
    </row>
    <row r="342" spans="2:9" x14ac:dyDescent="0.15">
      <c r="B342" s="108"/>
      <c r="C342" s="108"/>
      <c r="D342" s="108"/>
      <c r="E342" s="115"/>
      <c r="F342" s="115"/>
      <c r="G342" s="115"/>
      <c r="H342" s="115"/>
      <c r="I342" s="121"/>
    </row>
    <row r="343" spans="2:9" x14ac:dyDescent="0.15">
      <c r="B343" s="108"/>
      <c r="C343" s="108"/>
      <c r="D343" s="108"/>
      <c r="E343" s="115"/>
      <c r="F343" s="115"/>
      <c r="G343" s="115"/>
      <c r="H343" s="115"/>
      <c r="I343" s="121"/>
    </row>
    <row r="344" spans="2:9" x14ac:dyDescent="0.15">
      <c r="B344" s="108"/>
      <c r="C344" s="108"/>
      <c r="D344" s="108"/>
      <c r="E344" s="115"/>
      <c r="F344" s="115"/>
      <c r="G344" s="115"/>
      <c r="H344" s="115"/>
      <c r="I344" s="121"/>
    </row>
    <row r="345" spans="2:9" x14ac:dyDescent="0.15">
      <c r="B345" s="108"/>
      <c r="C345" s="108"/>
      <c r="D345" s="108"/>
      <c r="E345" s="115"/>
      <c r="F345" s="115"/>
      <c r="G345" s="115"/>
      <c r="H345" s="115"/>
      <c r="I345" s="121"/>
    </row>
    <row r="346" spans="2:9" x14ac:dyDescent="0.15">
      <c r="B346" s="108"/>
      <c r="C346" s="108"/>
      <c r="D346" s="108"/>
      <c r="E346" s="115"/>
      <c r="F346" s="115"/>
      <c r="G346" s="115"/>
      <c r="H346" s="115"/>
      <c r="I346" s="121"/>
    </row>
    <row r="347" spans="2:9" x14ac:dyDescent="0.15">
      <c r="B347" s="108"/>
      <c r="C347" s="108"/>
      <c r="D347" s="108"/>
      <c r="E347" s="115"/>
      <c r="F347" s="115"/>
      <c r="G347" s="115"/>
      <c r="H347" s="115"/>
      <c r="I347" s="121"/>
    </row>
    <row r="348" spans="2:9" x14ac:dyDescent="0.15">
      <c r="B348" s="108"/>
      <c r="C348" s="108"/>
      <c r="D348" s="108"/>
      <c r="E348" s="115"/>
      <c r="F348" s="115"/>
      <c r="G348" s="115"/>
      <c r="H348" s="115"/>
      <c r="I348" s="121"/>
    </row>
    <row r="349" spans="2:9" x14ac:dyDescent="0.15">
      <c r="B349" s="108"/>
      <c r="C349" s="108"/>
      <c r="D349" s="108"/>
      <c r="E349" s="115"/>
      <c r="F349" s="115"/>
      <c r="G349" s="115"/>
      <c r="H349" s="115"/>
      <c r="I349" s="121"/>
    </row>
    <row r="350" spans="2:9" x14ac:dyDescent="0.15">
      <c r="B350" s="108"/>
      <c r="C350" s="108"/>
      <c r="D350" s="108"/>
      <c r="E350" s="115"/>
      <c r="F350" s="115"/>
      <c r="G350" s="115"/>
      <c r="H350" s="115"/>
      <c r="I350" s="121"/>
    </row>
    <row r="351" spans="2:9" x14ac:dyDescent="0.15">
      <c r="B351" s="108"/>
      <c r="C351" s="108"/>
      <c r="D351" s="108"/>
      <c r="E351" s="115"/>
      <c r="F351" s="115"/>
      <c r="G351" s="115"/>
      <c r="H351" s="115"/>
      <c r="I351" s="121"/>
    </row>
    <row r="352" spans="2:9" x14ac:dyDescent="0.15">
      <c r="B352" s="108"/>
      <c r="C352" s="108"/>
      <c r="D352" s="108"/>
      <c r="E352" s="115"/>
      <c r="F352" s="115"/>
      <c r="G352" s="115"/>
      <c r="H352" s="115"/>
      <c r="I352" s="121"/>
    </row>
    <row r="353" spans="2:9" x14ac:dyDescent="0.15">
      <c r="B353" s="108"/>
      <c r="C353" s="108"/>
      <c r="D353" s="108"/>
      <c r="E353" s="115"/>
      <c r="F353" s="115"/>
      <c r="G353" s="115"/>
      <c r="H353" s="115"/>
      <c r="I353" s="121"/>
    </row>
    <row r="354" spans="2:9" x14ac:dyDescent="0.15">
      <c r="B354" s="108"/>
      <c r="C354" s="108"/>
      <c r="D354" s="108"/>
      <c r="E354" s="115"/>
      <c r="F354" s="115"/>
      <c r="G354" s="115"/>
      <c r="H354" s="115"/>
      <c r="I354" s="121"/>
    </row>
    <row r="355" spans="2:9" x14ac:dyDescent="0.15">
      <c r="B355" s="108"/>
      <c r="C355" s="108"/>
      <c r="D355" s="108"/>
      <c r="E355" s="115"/>
      <c r="F355" s="115"/>
      <c r="G355" s="115"/>
      <c r="H355" s="115"/>
      <c r="I355" s="121"/>
    </row>
    <row r="356" spans="2:9" x14ac:dyDescent="0.15">
      <c r="B356" s="108"/>
      <c r="C356" s="108"/>
      <c r="D356" s="108"/>
      <c r="E356" s="115"/>
      <c r="F356" s="115"/>
      <c r="G356" s="115"/>
      <c r="H356" s="115"/>
      <c r="I356" s="121"/>
    </row>
    <row r="357" spans="2:9" x14ac:dyDescent="0.15">
      <c r="B357" s="108"/>
      <c r="C357" s="108"/>
      <c r="D357" s="108"/>
      <c r="E357" s="115"/>
      <c r="F357" s="115"/>
      <c r="G357" s="115"/>
      <c r="H357" s="115"/>
      <c r="I357" s="121"/>
    </row>
    <row r="358" spans="2:9" x14ac:dyDescent="0.15">
      <c r="B358" s="108"/>
      <c r="C358" s="108"/>
      <c r="D358" s="108"/>
      <c r="E358" s="115"/>
      <c r="F358" s="115"/>
      <c r="G358" s="115"/>
      <c r="H358" s="115"/>
      <c r="I358" s="121"/>
    </row>
    <row r="359" spans="2:9" x14ac:dyDescent="0.15">
      <c r="B359" s="108"/>
      <c r="C359" s="108"/>
      <c r="D359" s="108"/>
      <c r="E359" s="115"/>
      <c r="F359" s="115"/>
      <c r="G359" s="115"/>
      <c r="H359" s="115"/>
      <c r="I359" s="121"/>
    </row>
    <row r="360" spans="2:9" x14ac:dyDescent="0.15">
      <c r="B360" s="108"/>
      <c r="C360" s="108"/>
      <c r="D360" s="108"/>
      <c r="E360" s="115"/>
      <c r="F360" s="115"/>
      <c r="G360" s="115"/>
      <c r="H360" s="115"/>
      <c r="I360" s="121"/>
    </row>
    <row r="361" spans="2:9" x14ac:dyDescent="0.15">
      <c r="B361" s="108"/>
      <c r="C361" s="108"/>
      <c r="D361" s="108"/>
      <c r="E361" s="115"/>
      <c r="F361" s="115"/>
      <c r="G361" s="115"/>
      <c r="H361" s="115"/>
      <c r="I361" s="121"/>
    </row>
    <row r="362" spans="2:9" x14ac:dyDescent="0.15">
      <c r="B362" s="108"/>
      <c r="C362" s="108"/>
      <c r="D362" s="108"/>
      <c r="E362" s="115"/>
      <c r="F362" s="115"/>
      <c r="G362" s="115"/>
      <c r="H362" s="115"/>
      <c r="I362" s="121"/>
    </row>
    <row r="363" spans="2:9" x14ac:dyDescent="0.15">
      <c r="B363" s="108"/>
      <c r="C363" s="108"/>
      <c r="D363" s="108"/>
      <c r="E363" s="115"/>
      <c r="F363" s="115"/>
      <c r="G363" s="115"/>
      <c r="H363" s="115"/>
      <c r="I363" s="121"/>
    </row>
    <row r="364" spans="2:9" x14ac:dyDescent="0.15">
      <c r="B364" s="108"/>
      <c r="C364" s="108"/>
      <c r="D364" s="108"/>
      <c r="E364" s="115"/>
      <c r="F364" s="115"/>
      <c r="G364" s="115"/>
      <c r="H364" s="115"/>
      <c r="I364" s="121"/>
    </row>
    <row r="365" spans="2:9" x14ac:dyDescent="0.15">
      <c r="B365" s="108"/>
      <c r="C365" s="108"/>
      <c r="D365" s="108"/>
      <c r="E365" s="115"/>
      <c r="F365" s="115"/>
      <c r="G365" s="115"/>
      <c r="H365" s="115"/>
      <c r="I365" s="121"/>
    </row>
    <row r="366" spans="2:9" x14ac:dyDescent="0.15">
      <c r="B366" s="108"/>
      <c r="C366" s="108"/>
      <c r="D366" s="108"/>
      <c r="E366" s="115"/>
      <c r="F366" s="115"/>
      <c r="G366" s="115"/>
      <c r="H366" s="115"/>
      <c r="I366" s="121"/>
    </row>
    <row r="367" spans="2:9" x14ac:dyDescent="0.15">
      <c r="B367" s="108"/>
      <c r="C367" s="108"/>
      <c r="D367" s="108"/>
      <c r="E367" s="115"/>
      <c r="F367" s="115"/>
      <c r="G367" s="115"/>
      <c r="H367" s="115"/>
      <c r="I367" s="121"/>
    </row>
    <row r="368" spans="2:9" x14ac:dyDescent="0.15">
      <c r="B368" s="108"/>
      <c r="C368" s="108"/>
      <c r="D368" s="108"/>
      <c r="E368" s="115"/>
      <c r="F368" s="115"/>
      <c r="G368" s="115"/>
      <c r="H368" s="115"/>
      <c r="I368" s="121"/>
    </row>
    <row r="369" spans="2:9" x14ac:dyDescent="0.15">
      <c r="B369" s="108"/>
      <c r="C369" s="108"/>
      <c r="D369" s="108"/>
      <c r="E369" s="115"/>
      <c r="F369" s="115"/>
      <c r="G369" s="115"/>
      <c r="H369" s="115"/>
      <c r="I369" s="121"/>
    </row>
    <row r="370" spans="2:9" x14ac:dyDescent="0.15">
      <c r="B370" s="108"/>
      <c r="C370" s="108"/>
      <c r="D370" s="108"/>
      <c r="E370" s="115"/>
      <c r="F370" s="115"/>
      <c r="G370" s="115"/>
      <c r="H370" s="115"/>
      <c r="I370" s="121"/>
    </row>
    <row r="371" spans="2:9" x14ac:dyDescent="0.15">
      <c r="B371" s="108"/>
      <c r="C371" s="108"/>
      <c r="D371" s="108"/>
      <c r="E371" s="115"/>
      <c r="F371" s="115"/>
      <c r="G371" s="115"/>
      <c r="H371" s="115"/>
      <c r="I371" s="121"/>
    </row>
    <row r="372" spans="2:9" x14ac:dyDescent="0.15">
      <c r="B372" s="108"/>
      <c r="C372" s="108"/>
      <c r="D372" s="108"/>
      <c r="E372" s="115"/>
      <c r="F372" s="115"/>
      <c r="G372" s="115"/>
      <c r="H372" s="115"/>
      <c r="I372" s="121"/>
    </row>
    <row r="373" spans="2:9" x14ac:dyDescent="0.15">
      <c r="B373" s="108"/>
      <c r="C373" s="108"/>
      <c r="D373" s="108"/>
      <c r="E373" s="115"/>
      <c r="F373" s="115"/>
      <c r="G373" s="115"/>
      <c r="H373" s="115"/>
      <c r="I373" s="121"/>
    </row>
    <row r="374" spans="2:9" x14ac:dyDescent="0.15">
      <c r="B374" s="108"/>
      <c r="C374" s="108"/>
      <c r="D374" s="108"/>
      <c r="E374" s="115"/>
      <c r="F374" s="115"/>
      <c r="G374" s="115"/>
      <c r="H374" s="115"/>
      <c r="I374" s="121"/>
    </row>
    <row r="375" spans="2:9" x14ac:dyDescent="0.15">
      <c r="B375" s="108"/>
      <c r="C375" s="108"/>
      <c r="D375" s="108"/>
      <c r="E375" s="115"/>
      <c r="F375" s="115"/>
      <c r="G375" s="115"/>
      <c r="H375" s="115"/>
      <c r="I375" s="121"/>
    </row>
    <row r="376" spans="2:9" x14ac:dyDescent="0.15">
      <c r="B376" s="108"/>
      <c r="C376" s="108"/>
      <c r="D376" s="108"/>
      <c r="E376" s="115"/>
      <c r="F376" s="115"/>
      <c r="G376" s="115"/>
      <c r="H376" s="115"/>
      <c r="I376" s="121"/>
    </row>
    <row r="377" spans="2:9" x14ac:dyDescent="0.15">
      <c r="B377" s="108"/>
      <c r="C377" s="108"/>
      <c r="D377" s="108"/>
      <c r="E377" s="115"/>
      <c r="F377" s="115"/>
      <c r="G377" s="115"/>
      <c r="H377" s="115"/>
      <c r="I377" s="121"/>
    </row>
    <row r="378" spans="2:9" x14ac:dyDescent="0.15">
      <c r="B378" s="108"/>
      <c r="C378" s="108"/>
      <c r="D378" s="108"/>
      <c r="E378" s="115"/>
      <c r="F378" s="115"/>
      <c r="G378" s="115"/>
      <c r="H378" s="115"/>
      <c r="I378" s="121"/>
    </row>
    <row r="379" spans="2:9" x14ac:dyDescent="0.15">
      <c r="B379" s="108"/>
      <c r="C379" s="108"/>
      <c r="D379" s="108"/>
      <c r="E379" s="115"/>
      <c r="F379" s="115"/>
      <c r="G379" s="115"/>
      <c r="H379" s="115"/>
      <c r="I379" s="121"/>
    </row>
    <row r="380" spans="2:9" x14ac:dyDescent="0.15">
      <c r="B380" s="108"/>
      <c r="C380" s="108"/>
      <c r="D380" s="108"/>
      <c r="E380" s="115"/>
      <c r="F380" s="115"/>
      <c r="G380" s="115"/>
      <c r="H380" s="115"/>
      <c r="I380" s="121"/>
    </row>
    <row r="381" spans="2:9" x14ac:dyDescent="0.15">
      <c r="B381" s="108"/>
      <c r="C381" s="108"/>
      <c r="D381" s="108"/>
      <c r="E381" s="115"/>
      <c r="F381" s="115"/>
      <c r="G381" s="115"/>
      <c r="H381" s="115"/>
      <c r="I381" s="121"/>
    </row>
    <row r="382" spans="2:9" x14ac:dyDescent="0.15">
      <c r="B382" s="108"/>
      <c r="C382" s="108"/>
      <c r="D382" s="108"/>
      <c r="E382" s="115"/>
      <c r="F382" s="115"/>
      <c r="G382" s="115"/>
      <c r="H382" s="115"/>
      <c r="I382" s="121"/>
    </row>
    <row r="383" spans="2:9" x14ac:dyDescent="0.15">
      <c r="B383" s="108"/>
      <c r="C383" s="108"/>
      <c r="D383" s="108"/>
      <c r="E383" s="115"/>
      <c r="F383" s="115"/>
      <c r="G383" s="115"/>
      <c r="H383" s="115"/>
      <c r="I383" s="121"/>
    </row>
    <row r="384" spans="2:9" x14ac:dyDescent="0.15">
      <c r="B384" s="108"/>
      <c r="C384" s="108"/>
      <c r="D384" s="108"/>
      <c r="E384" s="115"/>
      <c r="F384" s="115"/>
      <c r="G384" s="115"/>
      <c r="H384" s="115"/>
      <c r="I384" s="121"/>
    </row>
    <row r="385" spans="2:9" x14ac:dyDescent="0.15">
      <c r="B385" s="108"/>
      <c r="C385" s="108"/>
      <c r="D385" s="108"/>
      <c r="E385" s="115"/>
      <c r="F385" s="115"/>
      <c r="G385" s="115"/>
      <c r="H385" s="115"/>
      <c r="I385" s="121"/>
    </row>
    <row r="386" spans="2:9" x14ac:dyDescent="0.15">
      <c r="B386" s="108"/>
      <c r="C386" s="108"/>
      <c r="D386" s="108"/>
      <c r="E386" s="115"/>
      <c r="F386" s="115"/>
      <c r="G386" s="115"/>
      <c r="H386" s="115"/>
      <c r="I386" s="121"/>
    </row>
    <row r="387" spans="2:9" x14ac:dyDescent="0.15">
      <c r="B387" s="108"/>
      <c r="C387" s="108"/>
      <c r="D387" s="108"/>
      <c r="E387" s="115"/>
      <c r="F387" s="115"/>
      <c r="G387" s="115"/>
      <c r="H387" s="115"/>
      <c r="I387" s="121"/>
    </row>
    <row r="388" spans="2:9" x14ac:dyDescent="0.15">
      <c r="B388" s="108"/>
      <c r="C388" s="108"/>
      <c r="D388" s="108"/>
      <c r="E388" s="115"/>
      <c r="F388" s="115"/>
      <c r="G388" s="115"/>
      <c r="H388" s="115"/>
      <c r="I388" s="121"/>
    </row>
    <row r="389" spans="2:9" x14ac:dyDescent="0.15">
      <c r="B389" s="108"/>
      <c r="C389" s="108"/>
      <c r="D389" s="108"/>
      <c r="E389" s="115"/>
      <c r="F389" s="115"/>
      <c r="G389" s="115"/>
      <c r="H389" s="115"/>
      <c r="I389" s="121"/>
    </row>
    <row r="390" spans="2:9" x14ac:dyDescent="0.15">
      <c r="B390" s="108"/>
      <c r="C390" s="108"/>
      <c r="D390" s="108"/>
      <c r="E390" s="115"/>
      <c r="F390" s="115"/>
      <c r="G390" s="115"/>
      <c r="H390" s="115"/>
    </row>
    <row r="391" spans="2:9" x14ac:dyDescent="0.15">
      <c r="B391" s="108"/>
      <c r="C391" s="108"/>
      <c r="D391" s="108"/>
      <c r="E391" s="115"/>
      <c r="F391" s="115"/>
      <c r="G391" s="115"/>
      <c r="H391" s="115"/>
    </row>
    <row r="392" spans="2:9" x14ac:dyDescent="0.15">
      <c r="B392" s="108"/>
      <c r="C392" s="108"/>
      <c r="D392" s="108"/>
      <c r="E392" s="115"/>
      <c r="F392" s="115"/>
      <c r="G392" s="115"/>
      <c r="H392" s="115"/>
    </row>
    <row r="393" spans="2:9" x14ac:dyDescent="0.15">
      <c r="B393" s="108"/>
      <c r="C393" s="108"/>
      <c r="D393" s="108"/>
      <c r="E393" s="115"/>
      <c r="F393" s="115"/>
      <c r="G393" s="115"/>
      <c r="H393" s="115"/>
    </row>
    <row r="394" spans="2:9" x14ac:dyDescent="0.15">
      <c r="B394" s="108"/>
      <c r="C394" s="108"/>
      <c r="D394" s="108"/>
      <c r="E394" s="115"/>
      <c r="F394" s="115"/>
      <c r="G394" s="115"/>
      <c r="H394" s="115"/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94"/>
  <sheetViews>
    <sheetView workbookViewId="0">
      <selection activeCell="K87" sqref="K87"/>
    </sheetView>
  </sheetViews>
  <sheetFormatPr baseColWidth="10" defaultColWidth="8.6640625" defaultRowHeight="13" x14ac:dyDescent="0.15"/>
  <cols>
    <col min="1" max="1" width="8.6640625" style="67"/>
    <col min="2" max="2" width="15.5" style="67" customWidth="1"/>
    <col min="3" max="3" width="13.33203125" style="67" customWidth="1"/>
    <col min="4" max="5" width="12.1640625" style="67" customWidth="1"/>
    <col min="6" max="6" width="11.5" style="67" customWidth="1"/>
    <col min="7" max="7" width="12.33203125" style="67" customWidth="1"/>
    <col min="8" max="8" width="21.33203125" style="67" customWidth="1"/>
    <col min="9" max="9" width="11" style="67" customWidth="1"/>
    <col min="10" max="10" width="8.6640625" style="67"/>
    <col min="11" max="11" width="12.83203125" style="67" customWidth="1"/>
    <col min="12" max="12" width="13.83203125" style="67" customWidth="1"/>
    <col min="13" max="13" width="9.5" style="67" customWidth="1"/>
    <col min="14" max="14" width="12.5" style="67" customWidth="1"/>
    <col min="15" max="16" width="8.6640625" style="67"/>
    <col min="17" max="17" width="11.5" style="67" customWidth="1"/>
    <col min="18" max="16384" width="8.6640625" style="67"/>
  </cols>
  <sheetData>
    <row r="1" spans="1:14" x14ac:dyDescent="0.15">
      <c r="H1" s="107"/>
      <c r="I1" s="107"/>
    </row>
    <row r="2" spans="1:14" x14ac:dyDescent="0.15">
      <c r="H2" s="68"/>
      <c r="I2" s="68"/>
    </row>
    <row r="3" spans="1:14" x14ac:dyDescent="0.15">
      <c r="A3" s="68"/>
      <c r="B3" s="68"/>
      <c r="C3" s="68"/>
      <c r="D3" s="108"/>
      <c r="E3" s="68"/>
      <c r="F3" s="68"/>
      <c r="G3" s="68"/>
      <c r="H3" s="87"/>
      <c r="I3" s="108"/>
    </row>
    <row r="4" spans="1:14" x14ac:dyDescent="0.15">
      <c r="A4" s="68"/>
      <c r="B4" s="68"/>
      <c r="C4" s="68"/>
      <c r="D4" s="68"/>
      <c r="E4" s="68"/>
      <c r="F4" s="68"/>
      <c r="H4" s="87"/>
      <c r="I4" s="108"/>
    </row>
    <row r="5" spans="1:14" x14ac:dyDescent="0.15">
      <c r="A5" s="68"/>
      <c r="B5" s="68"/>
      <c r="C5" s="68"/>
      <c r="D5" s="108"/>
      <c r="E5" s="68"/>
      <c r="F5" s="68"/>
      <c r="H5" s="87"/>
      <c r="I5" s="108"/>
    </row>
    <row r="6" spans="1:14" x14ac:dyDescent="0.15">
      <c r="A6" s="68"/>
      <c r="B6" s="68"/>
      <c r="C6" s="68"/>
      <c r="D6" s="108"/>
      <c r="E6" s="68"/>
      <c r="F6" s="68"/>
      <c r="H6" s="87"/>
      <c r="I6" s="108"/>
      <c r="K6" s="109"/>
      <c r="L6" s="109"/>
    </row>
    <row r="7" spans="1:14" x14ac:dyDescent="0.15">
      <c r="A7" s="68"/>
      <c r="B7" s="68"/>
      <c r="C7" s="68"/>
      <c r="D7" s="108"/>
      <c r="E7" s="68"/>
      <c r="F7" s="68"/>
      <c r="H7" s="87"/>
      <c r="I7" s="108"/>
      <c r="K7" s="109"/>
      <c r="L7" s="109"/>
    </row>
    <row r="8" spans="1:14" x14ac:dyDescent="0.15">
      <c r="A8" s="68"/>
      <c r="B8" s="68"/>
      <c r="C8" s="68"/>
      <c r="D8" s="108"/>
      <c r="E8" s="68"/>
      <c r="F8" s="68"/>
      <c r="H8" s="87"/>
      <c r="I8" s="108"/>
      <c r="K8" s="109"/>
      <c r="L8" s="109"/>
    </row>
    <row r="9" spans="1:14" x14ac:dyDescent="0.15">
      <c r="A9" s="68" t="s">
        <v>73</v>
      </c>
      <c r="B9" s="68"/>
      <c r="C9" s="68"/>
      <c r="D9" s="108">
        <v>150000</v>
      </c>
      <c r="E9" s="68"/>
      <c r="F9" s="68"/>
      <c r="H9" s="87"/>
      <c r="I9" s="108"/>
      <c r="K9" s="109"/>
      <c r="L9" s="109"/>
    </row>
    <row r="10" spans="1:14" ht="18" x14ac:dyDescent="0.2">
      <c r="A10" s="68"/>
      <c r="B10" s="68"/>
      <c r="C10" s="68"/>
      <c r="D10" s="68"/>
      <c r="E10" s="68"/>
      <c r="F10" s="68"/>
      <c r="H10" s="87"/>
      <c r="I10" s="108"/>
      <c r="J10" s="110"/>
      <c r="K10" s="111"/>
      <c r="L10" s="109"/>
    </row>
    <row r="11" spans="1:14" x14ac:dyDescent="0.15">
      <c r="A11" s="68" t="s">
        <v>75</v>
      </c>
      <c r="B11" s="68"/>
      <c r="C11" s="68"/>
      <c r="D11" s="112">
        <f>+(0.04*365)/360</f>
        <v>4.0555555555555553E-2</v>
      </c>
      <c r="E11" s="68"/>
      <c r="F11" s="68"/>
      <c r="H11" s="87"/>
      <c r="I11" s="108"/>
      <c r="K11" s="109"/>
      <c r="L11" s="109"/>
    </row>
    <row r="12" spans="1:14" x14ac:dyDescent="0.15">
      <c r="A12" s="68"/>
      <c r="B12" s="68"/>
      <c r="C12" s="68"/>
      <c r="D12" s="68"/>
      <c r="E12" s="68"/>
      <c r="F12" s="68"/>
      <c r="H12" s="87"/>
      <c r="I12" s="108"/>
      <c r="K12" s="109"/>
      <c r="L12" s="109"/>
      <c r="M12" s="68"/>
      <c r="N12" s="108"/>
    </row>
    <row r="13" spans="1:14" x14ac:dyDescent="0.15">
      <c r="A13" s="68" t="s">
        <v>76</v>
      </c>
      <c r="B13" s="68"/>
      <c r="C13" s="68"/>
      <c r="D13" s="68">
        <v>84</v>
      </c>
      <c r="E13" s="68"/>
      <c r="H13" s="87"/>
      <c r="I13" s="108"/>
      <c r="K13" s="68"/>
      <c r="L13" s="68"/>
      <c r="M13" s="68"/>
      <c r="N13" s="108"/>
    </row>
    <row r="14" spans="1:14" x14ac:dyDescent="0.15">
      <c r="A14" s="68"/>
      <c r="B14" s="68"/>
      <c r="C14" s="68"/>
      <c r="D14" s="68"/>
      <c r="E14" s="68"/>
      <c r="F14" s="68"/>
      <c r="H14" s="87"/>
      <c r="I14" s="108"/>
      <c r="K14" s="68"/>
      <c r="L14" s="68"/>
      <c r="M14" s="68"/>
      <c r="N14" s="68"/>
    </row>
    <row r="15" spans="1:14" x14ac:dyDescent="0.15">
      <c r="A15" s="68" t="s">
        <v>77</v>
      </c>
      <c r="B15" s="68"/>
      <c r="C15" s="68"/>
      <c r="D15" s="113">
        <f>PMT(D11/12,D13,D9)+531.15+0.35</f>
        <v>-1522.6591112050032</v>
      </c>
      <c r="E15" s="68"/>
      <c r="F15" s="68"/>
      <c r="H15" s="68"/>
      <c r="I15" s="108"/>
      <c r="K15" s="68"/>
      <c r="L15" s="68"/>
      <c r="M15" s="68"/>
      <c r="N15" s="112"/>
    </row>
    <row r="16" spans="1:14" x14ac:dyDescent="0.15">
      <c r="A16" s="68"/>
      <c r="B16" s="68"/>
      <c r="C16" s="68"/>
      <c r="D16" s="68"/>
      <c r="E16" s="68"/>
      <c r="F16" s="68"/>
      <c r="H16" s="68"/>
      <c r="I16" s="108"/>
      <c r="K16" s="68"/>
      <c r="L16" s="68"/>
      <c r="M16" s="68"/>
      <c r="N16" s="68"/>
    </row>
    <row r="17" spans="1:18" x14ac:dyDescent="0.15">
      <c r="A17" s="68" t="s">
        <v>8</v>
      </c>
      <c r="B17" s="68"/>
      <c r="C17" s="68"/>
      <c r="D17" s="114">
        <v>0</v>
      </c>
      <c r="E17" s="68"/>
      <c r="F17" s="68"/>
      <c r="G17" s="87"/>
      <c r="H17" s="68"/>
      <c r="I17" s="108"/>
      <c r="K17" s="68"/>
      <c r="L17" s="68"/>
      <c r="M17" s="68"/>
      <c r="N17" s="68"/>
    </row>
    <row r="18" spans="1:18" x14ac:dyDescent="0.15">
      <c r="A18" s="68"/>
      <c r="B18" s="68"/>
      <c r="C18" s="68"/>
      <c r="D18" s="68"/>
      <c r="E18" s="68"/>
      <c r="F18" s="68"/>
      <c r="G18" s="68"/>
      <c r="H18" s="87"/>
      <c r="I18" s="108"/>
      <c r="K18" s="68"/>
      <c r="L18" s="68"/>
      <c r="M18" s="68"/>
      <c r="N18" s="68"/>
    </row>
    <row r="19" spans="1:18" x14ac:dyDescent="0.15">
      <c r="A19" s="68" t="s">
        <v>7</v>
      </c>
      <c r="B19" s="68"/>
      <c r="C19" s="68"/>
      <c r="D19" s="108">
        <v>0</v>
      </c>
      <c r="E19" s="68"/>
      <c r="F19" s="68"/>
      <c r="G19" s="68"/>
      <c r="H19" s="68"/>
      <c r="I19" s="108"/>
      <c r="K19" s="68"/>
      <c r="L19" s="68"/>
      <c r="M19" s="68"/>
      <c r="N19" s="113"/>
    </row>
    <row r="20" spans="1:18" x14ac:dyDescent="0.15">
      <c r="A20" s="68"/>
      <c r="B20" s="68"/>
      <c r="C20" s="68"/>
      <c r="D20" s="68"/>
      <c r="E20" s="68"/>
      <c r="F20" s="68"/>
      <c r="G20" s="68"/>
      <c r="H20" s="87"/>
      <c r="I20" s="108"/>
      <c r="K20" s="68"/>
      <c r="L20" s="68"/>
      <c r="M20" s="68"/>
      <c r="N20" s="68"/>
    </row>
    <row r="21" spans="1:18" x14ac:dyDescent="0.15">
      <c r="A21" s="68" t="s">
        <v>78</v>
      </c>
      <c r="B21" s="68"/>
      <c r="C21" s="68"/>
      <c r="D21" s="108">
        <f>+D15-((D17+D19)/12)</f>
        <v>-1522.6591112050032</v>
      </c>
      <c r="E21" s="68"/>
      <c r="F21" s="68"/>
      <c r="G21" s="68"/>
      <c r="H21" s="68"/>
      <c r="I21" s="108"/>
      <c r="K21" s="68"/>
      <c r="L21" s="68"/>
      <c r="M21" s="68"/>
      <c r="N21" s="108"/>
    </row>
    <row r="22" spans="1:18" x14ac:dyDescent="0.15">
      <c r="A22" s="68"/>
      <c r="B22" s="68"/>
      <c r="C22" s="68"/>
      <c r="D22" s="68"/>
      <c r="E22" s="68"/>
      <c r="F22" s="68"/>
      <c r="G22" s="68"/>
      <c r="H22" s="68"/>
      <c r="I22" s="108"/>
      <c r="K22" s="68"/>
      <c r="L22" s="68"/>
      <c r="M22" s="68"/>
      <c r="N22" s="108"/>
    </row>
    <row r="23" spans="1:18" x14ac:dyDescent="0.15">
      <c r="A23" s="68" t="s">
        <v>79</v>
      </c>
      <c r="B23" s="68"/>
      <c r="C23" s="68"/>
      <c r="D23" s="108">
        <f>+I7-D21</f>
        <v>1522.6591112050032</v>
      </c>
      <c r="E23" s="68"/>
      <c r="F23" s="68"/>
      <c r="G23" s="68"/>
      <c r="K23" s="68"/>
      <c r="L23" s="68"/>
      <c r="M23" s="68"/>
      <c r="N23" s="108"/>
    </row>
    <row r="24" spans="1:18" x14ac:dyDescent="0.15">
      <c r="A24" s="68"/>
      <c r="B24" s="68"/>
      <c r="C24" s="68"/>
      <c r="D24" s="68"/>
      <c r="E24" s="68"/>
      <c r="F24" s="68"/>
      <c r="G24" s="68"/>
      <c r="H24" s="68"/>
      <c r="I24" s="108"/>
      <c r="K24" s="68"/>
      <c r="L24" s="68"/>
      <c r="M24" s="68"/>
      <c r="N24" s="108"/>
    </row>
    <row r="25" spans="1:18" x14ac:dyDescent="0.15">
      <c r="A25" s="68"/>
      <c r="B25" s="68"/>
      <c r="C25" s="68"/>
      <c r="D25" s="68"/>
      <c r="E25" s="68"/>
      <c r="F25" s="68"/>
      <c r="G25" s="68"/>
      <c r="K25" s="68"/>
      <c r="L25" s="68"/>
      <c r="M25" s="68"/>
      <c r="N25" s="108"/>
    </row>
    <row r="26" spans="1:18" ht="28" x14ac:dyDescent="0.15">
      <c r="A26" s="68"/>
      <c r="B26" s="116" t="s">
        <v>27</v>
      </c>
      <c r="C26" s="107" t="s">
        <v>80</v>
      </c>
      <c r="D26" s="116" t="s">
        <v>81</v>
      </c>
      <c r="E26" s="107" t="s">
        <v>82</v>
      </c>
      <c r="F26" s="107" t="s">
        <v>83</v>
      </c>
      <c r="G26" s="107" t="s">
        <v>74</v>
      </c>
      <c r="H26" s="116" t="s">
        <v>29</v>
      </c>
      <c r="I26" s="68"/>
    </row>
    <row r="27" spans="1:18" x14ac:dyDescent="0.15">
      <c r="A27" s="68">
        <v>1</v>
      </c>
      <c r="B27" s="108">
        <v>150000</v>
      </c>
      <c r="C27" s="108">
        <f>+D14*-1</f>
        <v>0</v>
      </c>
      <c r="D27" s="108">
        <f>+(B27*D$11)/12</f>
        <v>506.9444444444444</v>
      </c>
      <c r="E27" s="115">
        <f>+C27-D27-F27-G27</f>
        <v>-506.9444444444444</v>
      </c>
      <c r="F27" s="115">
        <v>0</v>
      </c>
      <c r="G27" s="115">
        <f>+I6</f>
        <v>0</v>
      </c>
      <c r="H27" s="115">
        <f>+B27-E27</f>
        <v>150506.94444444444</v>
      </c>
      <c r="I27" s="119">
        <v>44197</v>
      </c>
      <c r="L27" s="117"/>
      <c r="M27" s="118"/>
      <c r="N27" s="117"/>
      <c r="Q27" s="117"/>
    </row>
    <row r="28" spans="1:18" x14ac:dyDescent="0.15">
      <c r="A28" s="68">
        <f>A27+1</f>
        <v>2</v>
      </c>
      <c r="B28" s="108">
        <f>+H27</f>
        <v>150506.94444444444</v>
      </c>
      <c r="C28" s="108">
        <f>+D15*-1</f>
        <v>1522.6591112050032</v>
      </c>
      <c r="D28" s="108">
        <f>+(B28*D$11)/12</f>
        <v>508.65772890946499</v>
      </c>
      <c r="E28" s="115">
        <f>+C28-D28-F28-G28</f>
        <v>1014.0013822955382</v>
      </c>
      <c r="F28" s="115">
        <v>0</v>
      </c>
      <c r="G28" s="115">
        <f>+I7</f>
        <v>0</v>
      </c>
      <c r="H28" s="115">
        <f>+B28-E28</f>
        <v>149492.9430621489</v>
      </c>
      <c r="I28" s="119">
        <v>44228</v>
      </c>
      <c r="K28" s="120"/>
      <c r="L28" s="108"/>
      <c r="M28" s="108"/>
      <c r="N28" s="108"/>
      <c r="O28" s="115"/>
      <c r="P28" s="115"/>
      <c r="Q28" s="115"/>
      <c r="R28" s="121"/>
    </row>
    <row r="29" spans="1:18" x14ac:dyDescent="0.15">
      <c r="A29" s="68">
        <f t="shared" ref="A29:A92" si="0">A28+1</f>
        <v>3</v>
      </c>
      <c r="B29" s="108">
        <f>+H28</f>
        <v>149492.9430621489</v>
      </c>
      <c r="C29" s="108">
        <f>+C28</f>
        <v>1522.6591112050032</v>
      </c>
      <c r="D29" s="108">
        <f t="shared" ref="D29:D92" si="1">+(B29*D$11)/12</f>
        <v>505.23077979337359</v>
      </c>
      <c r="E29" s="115">
        <f>+C29-D29-F29-G29</f>
        <v>1017.4283314116296</v>
      </c>
      <c r="F29" s="115">
        <f>+F28</f>
        <v>0</v>
      </c>
      <c r="G29" s="115">
        <f>+G28</f>
        <v>0</v>
      </c>
      <c r="H29" s="115">
        <f>+B29-E29</f>
        <v>148475.51473073728</v>
      </c>
      <c r="I29" s="119">
        <f>+I28+31</f>
        <v>44259</v>
      </c>
      <c r="K29" s="120"/>
      <c r="L29" s="108"/>
      <c r="M29" s="108"/>
      <c r="N29" s="108"/>
      <c r="O29" s="115"/>
      <c r="P29" s="115"/>
      <c r="Q29" s="115"/>
      <c r="R29" s="121"/>
    </row>
    <row r="30" spans="1:18" x14ac:dyDescent="0.15">
      <c r="A30" s="67">
        <f t="shared" si="0"/>
        <v>4</v>
      </c>
      <c r="B30" s="108">
        <f>+H29</f>
        <v>148475.51473073728</v>
      </c>
      <c r="C30" s="108">
        <f t="shared" ref="C30:C93" si="2">+C29</f>
        <v>1522.6591112050032</v>
      </c>
      <c r="D30" s="108">
        <f t="shared" si="1"/>
        <v>501.79224885851022</v>
      </c>
      <c r="E30" s="115">
        <f t="shared" ref="E30:E93" si="3">+C30-D30-F30-G30</f>
        <v>1020.866862346493</v>
      </c>
      <c r="F30" s="115">
        <f t="shared" ref="F30:G45" si="4">+F29</f>
        <v>0</v>
      </c>
      <c r="G30" s="115">
        <f t="shared" si="4"/>
        <v>0</v>
      </c>
      <c r="H30" s="115">
        <f t="shared" ref="H30:H93" si="5">+B30-E30</f>
        <v>147454.64786839078</v>
      </c>
      <c r="I30" s="121">
        <f t="shared" ref="I30:I93" si="6">+I29+31</f>
        <v>44290</v>
      </c>
      <c r="K30" s="120"/>
      <c r="L30" s="108"/>
      <c r="M30" s="108"/>
      <c r="N30" s="108"/>
      <c r="O30" s="115"/>
      <c r="P30" s="115"/>
      <c r="Q30" s="115"/>
      <c r="R30" s="121"/>
    </row>
    <row r="31" spans="1:18" x14ac:dyDescent="0.15">
      <c r="A31" s="67">
        <f t="shared" si="0"/>
        <v>5</v>
      </c>
      <c r="B31" s="108">
        <f t="shared" ref="B31:B94" si="7">+H30</f>
        <v>147454.64786839078</v>
      </c>
      <c r="C31" s="108">
        <f t="shared" si="2"/>
        <v>1522.6591112050032</v>
      </c>
      <c r="D31" s="108">
        <f t="shared" si="1"/>
        <v>498.34209696261695</v>
      </c>
      <c r="E31" s="115">
        <f t="shared" si="3"/>
        <v>1024.3170142423862</v>
      </c>
      <c r="F31" s="115">
        <f t="shared" si="4"/>
        <v>0</v>
      </c>
      <c r="G31" s="115">
        <f t="shared" si="4"/>
        <v>0</v>
      </c>
      <c r="H31" s="115">
        <f t="shared" si="5"/>
        <v>146430.3308541484</v>
      </c>
      <c r="I31" s="121">
        <f t="shared" si="6"/>
        <v>44321</v>
      </c>
      <c r="K31" s="120"/>
      <c r="L31" s="108"/>
      <c r="M31" s="108"/>
      <c r="N31" s="108"/>
      <c r="O31" s="115"/>
      <c r="P31" s="115"/>
      <c r="Q31" s="115"/>
      <c r="R31" s="121"/>
    </row>
    <row r="32" spans="1:18" x14ac:dyDescent="0.15">
      <c r="A32" s="67">
        <f t="shared" si="0"/>
        <v>6</v>
      </c>
      <c r="B32" s="108">
        <f t="shared" si="7"/>
        <v>146430.3308541484</v>
      </c>
      <c r="C32" s="108">
        <f t="shared" si="2"/>
        <v>1522.6591112050032</v>
      </c>
      <c r="D32" s="108">
        <f t="shared" si="1"/>
        <v>494.88028483114971</v>
      </c>
      <c r="E32" s="115">
        <f t="shared" si="3"/>
        <v>1027.7788263738535</v>
      </c>
      <c r="F32" s="115">
        <f t="shared" si="4"/>
        <v>0</v>
      </c>
      <c r="G32" s="115">
        <f t="shared" si="4"/>
        <v>0</v>
      </c>
      <c r="H32" s="115">
        <f t="shared" si="5"/>
        <v>145402.55202777454</v>
      </c>
      <c r="I32" s="121">
        <f t="shared" si="6"/>
        <v>44352</v>
      </c>
      <c r="K32" s="120"/>
      <c r="L32" s="108"/>
      <c r="M32" s="108"/>
      <c r="N32" s="108"/>
      <c r="O32" s="115"/>
      <c r="P32" s="115"/>
      <c r="Q32" s="115"/>
      <c r="R32" s="121"/>
    </row>
    <row r="33" spans="1:18" x14ac:dyDescent="0.15">
      <c r="A33" s="67">
        <f t="shared" si="0"/>
        <v>7</v>
      </c>
      <c r="B33" s="108">
        <f t="shared" si="7"/>
        <v>145402.55202777454</v>
      </c>
      <c r="C33" s="108">
        <f t="shared" si="2"/>
        <v>1522.6591112050032</v>
      </c>
      <c r="D33" s="108">
        <f t="shared" si="1"/>
        <v>491.40677305683062</v>
      </c>
      <c r="E33" s="115">
        <f t="shared" si="3"/>
        <v>1031.2523381481726</v>
      </c>
      <c r="F33" s="115">
        <f t="shared" si="4"/>
        <v>0</v>
      </c>
      <c r="G33" s="115">
        <f t="shared" si="4"/>
        <v>0</v>
      </c>
      <c r="H33" s="115">
        <f t="shared" si="5"/>
        <v>144371.29968962638</v>
      </c>
      <c r="I33" s="121">
        <f t="shared" si="6"/>
        <v>44383</v>
      </c>
      <c r="L33" s="108"/>
      <c r="M33" s="108"/>
      <c r="N33" s="108"/>
      <c r="O33" s="115"/>
      <c r="P33" s="115"/>
      <c r="Q33" s="115"/>
      <c r="R33" s="121"/>
    </row>
    <row r="34" spans="1:18" x14ac:dyDescent="0.15">
      <c r="A34" s="67">
        <f t="shared" si="0"/>
        <v>8</v>
      </c>
      <c r="B34" s="108">
        <f t="shared" si="7"/>
        <v>144371.29968962638</v>
      </c>
      <c r="C34" s="108">
        <f t="shared" si="2"/>
        <v>1522.6591112050032</v>
      </c>
      <c r="D34" s="108">
        <f t="shared" si="1"/>
        <v>487.92152209920022</v>
      </c>
      <c r="E34" s="115">
        <f t="shared" si="3"/>
        <v>1034.737589105803</v>
      </c>
      <c r="F34" s="115">
        <f t="shared" si="4"/>
        <v>0</v>
      </c>
      <c r="G34" s="115">
        <f t="shared" si="4"/>
        <v>0</v>
      </c>
      <c r="H34" s="115">
        <f t="shared" si="5"/>
        <v>143336.56210052059</v>
      </c>
      <c r="I34" s="121">
        <f t="shared" si="6"/>
        <v>44414</v>
      </c>
      <c r="L34" s="108"/>
      <c r="M34" s="108"/>
      <c r="N34" s="108"/>
      <c r="O34" s="115"/>
      <c r="P34" s="115"/>
      <c r="Q34" s="115"/>
      <c r="R34" s="121"/>
    </row>
    <row r="35" spans="1:18" x14ac:dyDescent="0.15">
      <c r="A35" s="67">
        <f t="shared" si="0"/>
        <v>9</v>
      </c>
      <c r="B35" s="108">
        <f t="shared" si="7"/>
        <v>143336.56210052059</v>
      </c>
      <c r="C35" s="108">
        <f t="shared" si="2"/>
        <v>1522.6591112050032</v>
      </c>
      <c r="D35" s="108">
        <f t="shared" si="1"/>
        <v>484.42449228416677</v>
      </c>
      <c r="E35" s="115">
        <f t="shared" si="3"/>
        <v>1038.2346189208365</v>
      </c>
      <c r="F35" s="115">
        <f t="shared" si="4"/>
        <v>0</v>
      </c>
      <c r="G35" s="115">
        <f t="shared" si="4"/>
        <v>0</v>
      </c>
      <c r="H35" s="115">
        <f t="shared" si="5"/>
        <v>142298.32748159976</v>
      </c>
      <c r="I35" s="121">
        <f t="shared" si="6"/>
        <v>44445</v>
      </c>
      <c r="L35" s="108"/>
      <c r="M35" s="108"/>
      <c r="N35" s="108"/>
      <c r="O35" s="115"/>
      <c r="P35" s="115"/>
      <c r="Q35" s="115"/>
      <c r="R35" s="121"/>
    </row>
    <row r="36" spans="1:18" x14ac:dyDescent="0.15">
      <c r="A36" s="67">
        <f t="shared" si="0"/>
        <v>10</v>
      </c>
      <c r="B36" s="108">
        <f t="shared" si="7"/>
        <v>142298.32748159976</v>
      </c>
      <c r="C36" s="108">
        <f t="shared" si="2"/>
        <v>1522.6591112050032</v>
      </c>
      <c r="D36" s="108">
        <f t="shared" si="1"/>
        <v>480.9156438035547</v>
      </c>
      <c r="E36" s="115">
        <f t="shared" si="3"/>
        <v>1041.7434674014485</v>
      </c>
      <c r="F36" s="115">
        <f t="shared" si="4"/>
        <v>0</v>
      </c>
      <c r="G36" s="115">
        <f t="shared" si="4"/>
        <v>0</v>
      </c>
      <c r="H36" s="115">
        <f t="shared" si="5"/>
        <v>141256.58401419831</v>
      </c>
      <c r="I36" s="121">
        <f t="shared" si="6"/>
        <v>44476</v>
      </c>
      <c r="L36" s="108"/>
      <c r="M36" s="108"/>
      <c r="N36" s="108"/>
      <c r="O36" s="115"/>
      <c r="P36" s="115"/>
      <c r="Q36" s="115"/>
      <c r="R36" s="121"/>
    </row>
    <row r="37" spans="1:18" x14ac:dyDescent="0.15">
      <c r="A37" s="67">
        <f t="shared" si="0"/>
        <v>11</v>
      </c>
      <c r="B37" s="108">
        <f t="shared" si="7"/>
        <v>141256.58401419831</v>
      </c>
      <c r="C37" s="108">
        <f t="shared" si="2"/>
        <v>1522.6591112050032</v>
      </c>
      <c r="D37" s="108">
        <f t="shared" si="1"/>
        <v>477.39493671465169</v>
      </c>
      <c r="E37" s="115">
        <f t="shared" si="3"/>
        <v>1045.2641744903515</v>
      </c>
      <c r="F37" s="115">
        <f t="shared" si="4"/>
        <v>0</v>
      </c>
      <c r="G37" s="115">
        <f t="shared" si="4"/>
        <v>0</v>
      </c>
      <c r="H37" s="115">
        <f t="shared" si="5"/>
        <v>140211.31983970795</v>
      </c>
      <c r="I37" s="121">
        <f t="shared" si="6"/>
        <v>44507</v>
      </c>
      <c r="L37" s="108"/>
      <c r="M37" s="108"/>
      <c r="N37" s="108"/>
      <c r="O37" s="115"/>
      <c r="P37" s="115"/>
      <c r="Q37" s="115"/>
      <c r="R37" s="121"/>
    </row>
    <row r="38" spans="1:18" x14ac:dyDescent="0.15">
      <c r="A38" s="67">
        <f t="shared" si="0"/>
        <v>12</v>
      </c>
      <c r="B38" s="108">
        <f t="shared" si="7"/>
        <v>140211.31983970795</v>
      </c>
      <c r="C38" s="108">
        <f t="shared" si="2"/>
        <v>1522.6591112050032</v>
      </c>
      <c r="D38" s="108">
        <f t="shared" si="1"/>
        <v>473.86233093975369</v>
      </c>
      <c r="E38" s="115">
        <f t="shared" si="3"/>
        <v>1048.7967802652495</v>
      </c>
      <c r="F38" s="115">
        <f t="shared" si="4"/>
        <v>0</v>
      </c>
      <c r="G38" s="115">
        <f t="shared" si="4"/>
        <v>0</v>
      </c>
      <c r="H38" s="115">
        <f t="shared" si="5"/>
        <v>139162.5230594427</v>
      </c>
      <c r="I38" s="121">
        <f t="shared" si="6"/>
        <v>44538</v>
      </c>
      <c r="K38" s="115">
        <f>SUM(C26:C38)</f>
        <v>16749.250223255032</v>
      </c>
      <c r="L38" s="108"/>
      <c r="M38" s="108"/>
      <c r="N38" s="108"/>
      <c r="O38" s="115"/>
      <c r="P38" s="115"/>
      <c r="Q38" s="115"/>
      <c r="R38" s="121"/>
    </row>
    <row r="39" spans="1:18" x14ac:dyDescent="0.15">
      <c r="A39" s="67">
        <f t="shared" si="0"/>
        <v>13</v>
      </c>
      <c r="B39" s="108">
        <f t="shared" si="7"/>
        <v>139162.5230594427</v>
      </c>
      <c r="C39" s="108">
        <f t="shared" si="2"/>
        <v>1522.6591112050032</v>
      </c>
      <c r="D39" s="108">
        <f t="shared" si="1"/>
        <v>470.31778626570912</v>
      </c>
      <c r="E39" s="115">
        <f t="shared" si="3"/>
        <v>1052.3413249392941</v>
      </c>
      <c r="F39" s="115">
        <f t="shared" si="4"/>
        <v>0</v>
      </c>
      <c r="G39" s="115">
        <f t="shared" si="4"/>
        <v>0</v>
      </c>
      <c r="H39" s="115">
        <f t="shared" si="5"/>
        <v>138110.18173450339</v>
      </c>
      <c r="I39" s="121">
        <f t="shared" si="6"/>
        <v>44569</v>
      </c>
      <c r="K39" s="120"/>
      <c r="L39" s="108"/>
      <c r="M39" s="108"/>
      <c r="N39" s="108"/>
      <c r="O39" s="115"/>
      <c r="P39" s="115"/>
      <c r="Q39" s="115"/>
      <c r="R39" s="121"/>
    </row>
    <row r="40" spans="1:18" x14ac:dyDescent="0.15">
      <c r="A40" s="67">
        <f t="shared" si="0"/>
        <v>14</v>
      </c>
      <c r="B40" s="108">
        <f t="shared" si="7"/>
        <v>138110.18173450339</v>
      </c>
      <c r="C40" s="108">
        <f t="shared" si="2"/>
        <v>1522.6591112050032</v>
      </c>
      <c r="D40" s="108">
        <f t="shared" si="1"/>
        <v>466.76126234346049</v>
      </c>
      <c r="E40" s="115">
        <f t="shared" si="3"/>
        <v>1055.8978488615428</v>
      </c>
      <c r="F40" s="115">
        <f t="shared" si="4"/>
        <v>0</v>
      </c>
      <c r="G40" s="115">
        <f t="shared" si="4"/>
        <v>0</v>
      </c>
      <c r="H40" s="115">
        <f t="shared" si="5"/>
        <v>137054.28388564184</v>
      </c>
      <c r="I40" s="121">
        <f t="shared" si="6"/>
        <v>44600</v>
      </c>
      <c r="L40" s="108"/>
      <c r="M40" s="108"/>
      <c r="N40" s="108"/>
      <c r="O40" s="115"/>
      <c r="P40" s="115"/>
      <c r="Q40" s="115"/>
      <c r="R40" s="121"/>
    </row>
    <row r="41" spans="1:18" x14ac:dyDescent="0.15">
      <c r="A41" s="67">
        <f t="shared" si="0"/>
        <v>15</v>
      </c>
      <c r="B41" s="108">
        <f t="shared" si="7"/>
        <v>137054.28388564184</v>
      </c>
      <c r="C41" s="108">
        <f t="shared" si="2"/>
        <v>1522.6591112050032</v>
      </c>
      <c r="D41" s="108">
        <f t="shared" si="1"/>
        <v>463.1927186875858</v>
      </c>
      <c r="E41" s="115">
        <f t="shared" si="3"/>
        <v>1059.4663925174175</v>
      </c>
      <c r="F41" s="115">
        <f t="shared" si="4"/>
        <v>0</v>
      </c>
      <c r="G41" s="115">
        <f t="shared" si="4"/>
        <v>0</v>
      </c>
      <c r="H41" s="115">
        <f t="shared" si="5"/>
        <v>135994.81749312443</v>
      </c>
      <c r="I41" s="121">
        <f t="shared" si="6"/>
        <v>44631</v>
      </c>
      <c r="L41" s="108"/>
      <c r="M41" s="108"/>
      <c r="N41" s="108"/>
      <c r="O41" s="115"/>
      <c r="P41" s="115"/>
      <c r="Q41" s="115"/>
      <c r="R41" s="121"/>
    </row>
    <row r="42" spans="1:18" x14ac:dyDescent="0.15">
      <c r="A42" s="67">
        <f t="shared" si="0"/>
        <v>16</v>
      </c>
      <c r="B42" s="108">
        <f t="shared" si="7"/>
        <v>135994.81749312443</v>
      </c>
      <c r="C42" s="108">
        <f t="shared" si="2"/>
        <v>1522.6591112050032</v>
      </c>
      <c r="D42" s="108">
        <f t="shared" si="1"/>
        <v>459.61211467583718</v>
      </c>
      <c r="E42" s="115">
        <f t="shared" si="3"/>
        <v>1063.0469965291661</v>
      </c>
      <c r="F42" s="115">
        <f t="shared" si="4"/>
        <v>0</v>
      </c>
      <c r="G42" s="115">
        <f t="shared" si="4"/>
        <v>0</v>
      </c>
      <c r="H42" s="115">
        <f t="shared" si="5"/>
        <v>134931.77049659527</v>
      </c>
      <c r="I42" s="121">
        <f t="shared" si="6"/>
        <v>44662</v>
      </c>
      <c r="K42" s="115"/>
      <c r="L42" s="108"/>
      <c r="M42" s="108"/>
      <c r="N42" s="108"/>
      <c r="O42" s="115"/>
      <c r="P42" s="115"/>
      <c r="Q42" s="115"/>
      <c r="R42" s="121"/>
    </row>
    <row r="43" spans="1:18" x14ac:dyDescent="0.15">
      <c r="A43" s="67">
        <f t="shared" si="0"/>
        <v>17</v>
      </c>
      <c r="B43" s="108">
        <f t="shared" si="7"/>
        <v>134931.77049659527</v>
      </c>
      <c r="C43" s="108">
        <f t="shared" si="2"/>
        <v>1522.6591112050032</v>
      </c>
      <c r="D43" s="108">
        <f t="shared" si="1"/>
        <v>456.01940954867842</v>
      </c>
      <c r="E43" s="115">
        <f t="shared" si="3"/>
        <v>1066.6397016563249</v>
      </c>
      <c r="F43" s="115">
        <f t="shared" si="4"/>
        <v>0</v>
      </c>
      <c r="G43" s="115">
        <f t="shared" si="4"/>
        <v>0</v>
      </c>
      <c r="H43" s="115">
        <f t="shared" si="5"/>
        <v>133865.13079493894</v>
      </c>
      <c r="I43" s="121">
        <f t="shared" si="6"/>
        <v>44693</v>
      </c>
      <c r="L43" s="108"/>
      <c r="M43" s="108"/>
      <c r="N43" s="108"/>
      <c r="O43" s="115"/>
      <c r="P43" s="115"/>
      <c r="Q43" s="115"/>
      <c r="R43" s="121"/>
    </row>
    <row r="44" spans="1:18" x14ac:dyDescent="0.15">
      <c r="A44" s="67">
        <f t="shared" si="0"/>
        <v>18</v>
      </c>
      <c r="B44" s="108">
        <f t="shared" si="7"/>
        <v>133865.13079493894</v>
      </c>
      <c r="C44" s="108">
        <f t="shared" si="2"/>
        <v>1522.6591112050032</v>
      </c>
      <c r="D44" s="108">
        <f t="shared" si="1"/>
        <v>452.41456240882144</v>
      </c>
      <c r="E44" s="115">
        <f t="shared" si="3"/>
        <v>1070.2445487961818</v>
      </c>
      <c r="F44" s="115">
        <f t="shared" si="4"/>
        <v>0</v>
      </c>
      <c r="G44" s="115">
        <f t="shared" si="4"/>
        <v>0</v>
      </c>
      <c r="H44" s="115">
        <f t="shared" si="5"/>
        <v>132794.88624614276</v>
      </c>
      <c r="I44" s="121">
        <f t="shared" si="6"/>
        <v>44724</v>
      </c>
      <c r="L44" s="108"/>
      <c r="M44" s="108"/>
      <c r="N44" s="108"/>
      <c r="O44" s="115"/>
      <c r="P44" s="115"/>
      <c r="Q44" s="115"/>
      <c r="R44" s="121"/>
    </row>
    <row r="45" spans="1:18" x14ac:dyDescent="0.15">
      <c r="A45" s="67">
        <f t="shared" si="0"/>
        <v>19</v>
      </c>
      <c r="B45" s="108">
        <f t="shared" si="7"/>
        <v>132794.88624614276</v>
      </c>
      <c r="C45" s="108">
        <f t="shared" si="2"/>
        <v>1522.6591112050032</v>
      </c>
      <c r="D45" s="108">
        <f t="shared" si="1"/>
        <v>448.79753222076027</v>
      </c>
      <c r="E45" s="115">
        <f t="shared" si="3"/>
        <v>1073.8615789842429</v>
      </c>
      <c r="F45" s="115">
        <f t="shared" si="4"/>
        <v>0</v>
      </c>
      <c r="G45" s="115">
        <f t="shared" si="4"/>
        <v>0</v>
      </c>
      <c r="H45" s="115">
        <f t="shared" si="5"/>
        <v>131721.02466715852</v>
      </c>
      <c r="I45" s="121">
        <f t="shared" si="6"/>
        <v>44755</v>
      </c>
      <c r="L45" s="108"/>
      <c r="M45" s="108"/>
      <c r="N45" s="108"/>
      <c r="O45" s="115"/>
      <c r="P45" s="115"/>
      <c r="Q45" s="115"/>
      <c r="R45" s="121"/>
    </row>
    <row r="46" spans="1:18" x14ac:dyDescent="0.15">
      <c r="A46" s="67">
        <f t="shared" si="0"/>
        <v>20</v>
      </c>
      <c r="B46" s="108">
        <f t="shared" si="7"/>
        <v>131721.02466715852</v>
      </c>
      <c r="C46" s="108">
        <f t="shared" si="2"/>
        <v>1522.6591112050032</v>
      </c>
      <c r="D46" s="108">
        <f t="shared" si="1"/>
        <v>445.16827781030423</v>
      </c>
      <c r="E46" s="115">
        <f t="shared" si="3"/>
        <v>1077.4908333946989</v>
      </c>
      <c r="F46" s="115">
        <f t="shared" ref="F46:G61" si="8">+F45</f>
        <v>0</v>
      </c>
      <c r="G46" s="115">
        <f t="shared" si="8"/>
        <v>0</v>
      </c>
      <c r="H46" s="115">
        <f t="shared" si="5"/>
        <v>130643.53383376382</v>
      </c>
      <c r="I46" s="121">
        <f t="shared" si="6"/>
        <v>44786</v>
      </c>
      <c r="L46" s="108"/>
      <c r="M46" s="108"/>
      <c r="N46" s="108"/>
      <c r="O46" s="115"/>
      <c r="P46" s="115"/>
      <c r="Q46" s="115"/>
      <c r="R46" s="121"/>
    </row>
    <row r="47" spans="1:18" x14ac:dyDescent="0.15">
      <c r="A47" s="67">
        <f t="shared" si="0"/>
        <v>21</v>
      </c>
      <c r="B47" s="108">
        <f t="shared" si="7"/>
        <v>130643.53383376382</v>
      </c>
      <c r="C47" s="108">
        <f t="shared" si="2"/>
        <v>1522.6591112050032</v>
      </c>
      <c r="D47" s="108">
        <f t="shared" si="1"/>
        <v>441.52675786410919</v>
      </c>
      <c r="E47" s="115">
        <f t="shared" si="3"/>
        <v>1081.132353340894</v>
      </c>
      <c r="F47" s="115">
        <f t="shared" si="8"/>
        <v>0</v>
      </c>
      <c r="G47" s="115">
        <f t="shared" si="8"/>
        <v>0</v>
      </c>
      <c r="H47" s="115">
        <f t="shared" si="5"/>
        <v>129562.40148042294</v>
      </c>
      <c r="I47" s="121">
        <f t="shared" si="6"/>
        <v>44817</v>
      </c>
      <c r="L47" s="108"/>
      <c r="M47" s="108"/>
      <c r="N47" s="108"/>
      <c r="O47" s="115"/>
      <c r="P47" s="115"/>
      <c r="Q47" s="115"/>
      <c r="R47" s="121"/>
    </row>
    <row r="48" spans="1:18" x14ac:dyDescent="0.15">
      <c r="A48" s="67">
        <f t="shared" si="0"/>
        <v>22</v>
      </c>
      <c r="B48" s="108">
        <f t="shared" si="7"/>
        <v>129562.40148042294</v>
      </c>
      <c r="C48" s="108">
        <f t="shared" si="2"/>
        <v>1522.6591112050032</v>
      </c>
      <c r="D48" s="108">
        <f t="shared" si="1"/>
        <v>437.87293092920709</v>
      </c>
      <c r="E48" s="115">
        <f t="shared" si="3"/>
        <v>1084.7861802757961</v>
      </c>
      <c r="F48" s="115">
        <f t="shared" si="8"/>
        <v>0</v>
      </c>
      <c r="G48" s="115">
        <f t="shared" si="8"/>
        <v>0</v>
      </c>
      <c r="H48" s="115">
        <f t="shared" si="5"/>
        <v>128477.61530014714</v>
      </c>
      <c r="I48" s="121">
        <f t="shared" si="6"/>
        <v>44848</v>
      </c>
      <c r="L48" s="108"/>
      <c r="M48" s="108"/>
      <c r="N48" s="108"/>
      <c r="O48" s="115"/>
      <c r="P48" s="115"/>
      <c r="Q48" s="115"/>
      <c r="R48" s="121"/>
    </row>
    <row r="49" spans="1:18" x14ac:dyDescent="0.15">
      <c r="A49" s="67">
        <f t="shared" si="0"/>
        <v>23</v>
      </c>
      <c r="B49" s="108">
        <f t="shared" si="7"/>
        <v>128477.61530014714</v>
      </c>
      <c r="C49" s="108">
        <f t="shared" si="2"/>
        <v>1522.6591112050032</v>
      </c>
      <c r="D49" s="108">
        <f t="shared" si="1"/>
        <v>434.20675541253428</v>
      </c>
      <c r="E49" s="115">
        <f t="shared" si="3"/>
        <v>1088.452355792469</v>
      </c>
      <c r="F49" s="115">
        <f t="shared" si="8"/>
        <v>0</v>
      </c>
      <c r="G49" s="115">
        <f t="shared" si="8"/>
        <v>0</v>
      </c>
      <c r="H49" s="115">
        <f t="shared" si="5"/>
        <v>127389.16294435467</v>
      </c>
      <c r="I49" s="121">
        <f t="shared" si="6"/>
        <v>44879</v>
      </c>
      <c r="L49" s="108"/>
      <c r="M49" s="108"/>
      <c r="N49" s="108"/>
      <c r="O49" s="115"/>
      <c r="P49" s="115"/>
      <c r="Q49" s="115"/>
      <c r="R49" s="121"/>
    </row>
    <row r="50" spans="1:18" x14ac:dyDescent="0.15">
      <c r="A50" s="67">
        <f t="shared" si="0"/>
        <v>24</v>
      </c>
      <c r="B50" s="108">
        <f t="shared" si="7"/>
        <v>127389.16294435467</v>
      </c>
      <c r="C50" s="108">
        <f>+C49</f>
        <v>1522.6591112050032</v>
      </c>
      <c r="D50" s="108">
        <f t="shared" si="1"/>
        <v>430.52818958045788</v>
      </c>
      <c r="E50" s="115">
        <f t="shared" si="3"/>
        <v>1092.1309216245454</v>
      </c>
      <c r="F50" s="115">
        <f t="shared" si="8"/>
        <v>0</v>
      </c>
      <c r="G50" s="115">
        <f t="shared" si="8"/>
        <v>0</v>
      </c>
      <c r="H50" s="115">
        <f t="shared" si="5"/>
        <v>126297.03202273013</v>
      </c>
      <c r="I50" s="121">
        <f t="shared" si="6"/>
        <v>44910</v>
      </c>
      <c r="K50" s="115">
        <f>SUM(C39:C50)</f>
        <v>18271.909334460037</v>
      </c>
      <c r="L50" s="108"/>
      <c r="M50" s="108"/>
      <c r="N50" s="108"/>
      <c r="O50" s="115"/>
      <c r="P50" s="115"/>
      <c r="Q50" s="115"/>
      <c r="R50" s="121"/>
    </row>
    <row r="51" spans="1:18" x14ac:dyDescent="0.15">
      <c r="A51" s="67">
        <f t="shared" si="0"/>
        <v>25</v>
      </c>
      <c r="B51" s="108">
        <f t="shared" si="7"/>
        <v>126297.03202273013</v>
      </c>
      <c r="C51" s="108">
        <f t="shared" si="2"/>
        <v>1522.6591112050032</v>
      </c>
      <c r="D51" s="108">
        <f t="shared" si="1"/>
        <v>426.8371915583009</v>
      </c>
      <c r="E51" s="115">
        <f t="shared" si="3"/>
        <v>1095.8219196467023</v>
      </c>
      <c r="F51" s="115">
        <f t="shared" si="8"/>
        <v>0</v>
      </c>
      <c r="G51" s="115">
        <f t="shared" si="8"/>
        <v>0</v>
      </c>
      <c r="H51" s="115">
        <f t="shared" si="5"/>
        <v>125201.21010308343</v>
      </c>
      <c r="I51" s="121">
        <f t="shared" si="6"/>
        <v>44941</v>
      </c>
      <c r="L51" s="108"/>
      <c r="M51" s="108"/>
      <c r="N51" s="108"/>
      <c r="O51" s="115"/>
      <c r="P51" s="115"/>
      <c r="Q51" s="115"/>
      <c r="R51" s="121"/>
    </row>
    <row r="52" spans="1:18" x14ac:dyDescent="0.15">
      <c r="A52" s="67">
        <f t="shared" si="0"/>
        <v>26</v>
      </c>
      <c r="B52" s="108">
        <f t="shared" si="7"/>
        <v>125201.21010308343</v>
      </c>
      <c r="C52" s="108">
        <f t="shared" si="2"/>
        <v>1522.6591112050032</v>
      </c>
      <c r="D52" s="108">
        <f t="shared" si="1"/>
        <v>423.13371932986524</v>
      </c>
      <c r="E52" s="115">
        <f t="shared" si="3"/>
        <v>1099.525391875138</v>
      </c>
      <c r="F52" s="115">
        <f t="shared" si="8"/>
        <v>0</v>
      </c>
      <c r="G52" s="115">
        <f t="shared" si="8"/>
        <v>0</v>
      </c>
      <c r="H52" s="115">
        <f t="shared" si="5"/>
        <v>124101.68471120829</v>
      </c>
      <c r="I52" s="121">
        <f t="shared" si="6"/>
        <v>44972</v>
      </c>
      <c r="L52" s="108"/>
      <c r="M52" s="108"/>
      <c r="N52" s="108"/>
      <c r="O52" s="115"/>
      <c r="P52" s="115"/>
      <c r="Q52" s="115"/>
      <c r="R52" s="121"/>
    </row>
    <row r="53" spans="1:18" x14ac:dyDescent="0.15">
      <c r="A53" s="67">
        <f t="shared" si="0"/>
        <v>27</v>
      </c>
      <c r="B53" s="108">
        <f t="shared" si="7"/>
        <v>124101.68471120829</v>
      </c>
      <c r="C53" s="108">
        <f t="shared" si="2"/>
        <v>1522.6591112050032</v>
      </c>
      <c r="D53" s="108">
        <f t="shared" si="1"/>
        <v>419.4177307369539</v>
      </c>
      <c r="E53" s="115">
        <f t="shared" si="3"/>
        <v>1103.2413804680493</v>
      </c>
      <c r="F53" s="115">
        <f t="shared" si="8"/>
        <v>0</v>
      </c>
      <c r="G53" s="115">
        <f t="shared" si="8"/>
        <v>0</v>
      </c>
      <c r="H53" s="115">
        <f t="shared" si="5"/>
        <v>122998.44333074024</v>
      </c>
      <c r="I53" s="121">
        <f t="shared" si="6"/>
        <v>45003</v>
      </c>
      <c r="L53" s="108"/>
      <c r="M53" s="108"/>
      <c r="N53" s="108"/>
      <c r="O53" s="115"/>
      <c r="P53" s="115"/>
      <c r="Q53" s="115"/>
      <c r="R53" s="121"/>
    </row>
    <row r="54" spans="1:18" x14ac:dyDescent="0.15">
      <c r="A54" s="67">
        <f t="shared" si="0"/>
        <v>28</v>
      </c>
      <c r="B54" s="108">
        <f t="shared" si="7"/>
        <v>122998.44333074024</v>
      </c>
      <c r="C54" s="108">
        <f t="shared" si="2"/>
        <v>1522.6591112050032</v>
      </c>
      <c r="D54" s="108">
        <f t="shared" si="1"/>
        <v>415.68918347889058</v>
      </c>
      <c r="E54" s="115">
        <f t="shared" si="3"/>
        <v>1106.9699277261127</v>
      </c>
      <c r="F54" s="115">
        <f t="shared" si="8"/>
        <v>0</v>
      </c>
      <c r="G54" s="115">
        <f t="shared" si="8"/>
        <v>0</v>
      </c>
      <c r="H54" s="115">
        <f t="shared" si="5"/>
        <v>121891.47340301413</v>
      </c>
      <c r="I54" s="121">
        <f t="shared" si="6"/>
        <v>45034</v>
      </c>
      <c r="K54" s="115"/>
      <c r="L54" s="108"/>
      <c r="M54" s="108"/>
      <c r="N54" s="108"/>
      <c r="O54" s="115"/>
      <c r="P54" s="115"/>
      <c r="Q54" s="115"/>
      <c r="R54" s="121"/>
    </row>
    <row r="55" spans="1:18" x14ac:dyDescent="0.15">
      <c r="A55" s="67">
        <f t="shared" si="0"/>
        <v>29</v>
      </c>
      <c r="B55" s="108">
        <f t="shared" si="7"/>
        <v>121891.47340301413</v>
      </c>
      <c r="C55" s="108">
        <f t="shared" si="2"/>
        <v>1522.6591112050032</v>
      </c>
      <c r="D55" s="108">
        <f t="shared" si="1"/>
        <v>411.94803511203844</v>
      </c>
      <c r="E55" s="115">
        <f t="shared" si="3"/>
        <v>1110.7110760929647</v>
      </c>
      <c r="F55" s="115">
        <f t="shared" si="8"/>
        <v>0</v>
      </c>
      <c r="G55" s="115">
        <f t="shared" si="8"/>
        <v>0</v>
      </c>
      <c r="H55" s="115">
        <f t="shared" si="5"/>
        <v>120780.76232692116</v>
      </c>
      <c r="I55" s="121">
        <f t="shared" si="6"/>
        <v>45065</v>
      </c>
      <c r="L55" s="108"/>
      <c r="M55" s="108"/>
      <c r="N55" s="108"/>
      <c r="O55" s="115"/>
      <c r="P55" s="115"/>
      <c r="Q55" s="115"/>
      <c r="R55" s="121"/>
    </row>
    <row r="56" spans="1:18" x14ac:dyDescent="0.15">
      <c r="A56" s="67">
        <f t="shared" si="0"/>
        <v>30</v>
      </c>
      <c r="B56" s="108">
        <f t="shared" si="7"/>
        <v>120780.76232692116</v>
      </c>
      <c r="C56" s="108">
        <f t="shared" si="2"/>
        <v>1522.6591112050032</v>
      </c>
      <c r="D56" s="108">
        <f t="shared" si="1"/>
        <v>408.19424304931687</v>
      </c>
      <c r="E56" s="115">
        <f t="shared" si="3"/>
        <v>1114.4648681556864</v>
      </c>
      <c r="F56" s="115">
        <f t="shared" si="8"/>
        <v>0</v>
      </c>
      <c r="G56" s="115">
        <f t="shared" si="8"/>
        <v>0</v>
      </c>
      <c r="H56" s="115">
        <f t="shared" si="5"/>
        <v>119666.29745876548</v>
      </c>
      <c r="I56" s="121">
        <f t="shared" si="6"/>
        <v>45096</v>
      </c>
      <c r="L56" s="108"/>
      <c r="M56" s="108"/>
      <c r="N56" s="108"/>
      <c r="O56" s="115"/>
      <c r="P56" s="115"/>
      <c r="Q56" s="115"/>
      <c r="R56" s="121"/>
    </row>
    <row r="57" spans="1:18" x14ac:dyDescent="0.15">
      <c r="A57" s="67">
        <f t="shared" si="0"/>
        <v>31</v>
      </c>
      <c r="B57" s="108">
        <f t="shared" si="7"/>
        <v>119666.29745876548</v>
      </c>
      <c r="C57" s="108">
        <f t="shared" si="2"/>
        <v>1522.6591112050032</v>
      </c>
      <c r="D57" s="108">
        <f t="shared" si="1"/>
        <v>404.42776455971665</v>
      </c>
      <c r="E57" s="115">
        <f t="shared" si="3"/>
        <v>1118.2313466452865</v>
      </c>
      <c r="F57" s="115">
        <f t="shared" si="8"/>
        <v>0</v>
      </c>
      <c r="G57" s="115">
        <f t="shared" si="8"/>
        <v>0</v>
      </c>
      <c r="H57" s="115">
        <f t="shared" si="5"/>
        <v>118548.06611212018</v>
      </c>
      <c r="I57" s="121">
        <f t="shared" si="6"/>
        <v>45127</v>
      </c>
      <c r="L57" s="108"/>
      <c r="M57" s="108"/>
      <c r="N57" s="108"/>
      <c r="O57" s="115"/>
      <c r="P57" s="115"/>
      <c r="Q57" s="115"/>
      <c r="R57" s="121"/>
    </row>
    <row r="58" spans="1:18" x14ac:dyDescent="0.15">
      <c r="A58" s="67">
        <f t="shared" si="0"/>
        <v>32</v>
      </c>
      <c r="B58" s="108">
        <f t="shared" si="7"/>
        <v>118548.06611212018</v>
      </c>
      <c r="C58" s="108">
        <f t="shared" si="2"/>
        <v>1522.6591112050032</v>
      </c>
      <c r="D58" s="108">
        <f t="shared" si="1"/>
        <v>400.64855676781355</v>
      </c>
      <c r="E58" s="115">
        <f t="shared" si="3"/>
        <v>1122.0105544371897</v>
      </c>
      <c r="F58" s="115">
        <f t="shared" si="8"/>
        <v>0</v>
      </c>
      <c r="G58" s="115">
        <f t="shared" si="8"/>
        <v>0</v>
      </c>
      <c r="H58" s="115">
        <f t="shared" si="5"/>
        <v>117426.05555768299</v>
      </c>
      <c r="I58" s="121">
        <f t="shared" si="6"/>
        <v>45158</v>
      </c>
      <c r="L58" s="108"/>
      <c r="M58" s="108"/>
      <c r="N58" s="108"/>
      <c r="O58" s="115"/>
      <c r="P58" s="115"/>
      <c r="Q58" s="115"/>
      <c r="R58" s="121"/>
    </row>
    <row r="59" spans="1:18" x14ac:dyDescent="0.15">
      <c r="A59" s="67">
        <f t="shared" si="0"/>
        <v>33</v>
      </c>
      <c r="B59" s="108">
        <f t="shared" si="7"/>
        <v>117426.05555768299</v>
      </c>
      <c r="C59" s="108">
        <f t="shared" si="2"/>
        <v>1522.6591112050032</v>
      </c>
      <c r="D59" s="108">
        <f t="shared" si="1"/>
        <v>396.85657665328046</v>
      </c>
      <c r="E59" s="115">
        <f t="shared" si="3"/>
        <v>1125.8025345517228</v>
      </c>
      <c r="F59" s="115">
        <f t="shared" si="8"/>
        <v>0</v>
      </c>
      <c r="G59" s="115">
        <f t="shared" si="8"/>
        <v>0</v>
      </c>
      <c r="H59" s="115">
        <f t="shared" si="5"/>
        <v>116300.25302313127</v>
      </c>
      <c r="I59" s="121">
        <f t="shared" si="6"/>
        <v>45189</v>
      </c>
      <c r="L59" s="108"/>
      <c r="M59" s="108"/>
      <c r="N59" s="108"/>
      <c r="O59" s="115"/>
      <c r="P59" s="115"/>
      <c r="Q59" s="115"/>
      <c r="R59" s="121"/>
    </row>
    <row r="60" spans="1:18" x14ac:dyDescent="0.15">
      <c r="A60" s="67">
        <f t="shared" si="0"/>
        <v>34</v>
      </c>
      <c r="B60" s="108">
        <f t="shared" si="7"/>
        <v>116300.25302313127</v>
      </c>
      <c r="C60" s="108">
        <f t="shared" si="2"/>
        <v>1522.6591112050032</v>
      </c>
      <c r="D60" s="108">
        <f t="shared" si="1"/>
        <v>393.05178105039732</v>
      </c>
      <c r="E60" s="115">
        <f t="shared" si="3"/>
        <v>1129.607330154606</v>
      </c>
      <c r="F60" s="115">
        <f t="shared" si="8"/>
        <v>0</v>
      </c>
      <c r="G60" s="115">
        <f t="shared" si="8"/>
        <v>0</v>
      </c>
      <c r="H60" s="115">
        <f t="shared" si="5"/>
        <v>115170.64569297666</v>
      </c>
      <c r="I60" s="121">
        <f t="shared" si="6"/>
        <v>45220</v>
      </c>
      <c r="L60" s="108"/>
      <c r="M60" s="108"/>
      <c r="N60" s="108"/>
      <c r="O60" s="115"/>
      <c r="P60" s="115"/>
      <c r="Q60" s="115"/>
      <c r="R60" s="121"/>
    </row>
    <row r="61" spans="1:18" x14ac:dyDescent="0.15">
      <c r="A61" s="67">
        <f t="shared" si="0"/>
        <v>35</v>
      </c>
      <c r="B61" s="108">
        <f t="shared" si="7"/>
        <v>115170.64569297666</v>
      </c>
      <c r="C61" s="108">
        <f t="shared" si="2"/>
        <v>1522.6591112050032</v>
      </c>
      <c r="D61" s="108">
        <f t="shared" si="1"/>
        <v>389.23412664756</v>
      </c>
      <c r="E61" s="115">
        <f t="shared" si="3"/>
        <v>1133.4249845574432</v>
      </c>
      <c r="F61" s="115">
        <f t="shared" si="8"/>
        <v>0</v>
      </c>
      <c r="G61" s="115">
        <f t="shared" si="8"/>
        <v>0</v>
      </c>
      <c r="H61" s="115">
        <f t="shared" si="5"/>
        <v>114037.22070841922</v>
      </c>
      <c r="I61" s="121">
        <f t="shared" si="6"/>
        <v>45251</v>
      </c>
      <c r="L61" s="108"/>
      <c r="M61" s="108"/>
      <c r="N61" s="108"/>
      <c r="O61" s="115"/>
      <c r="P61" s="115"/>
      <c r="Q61" s="115"/>
      <c r="R61" s="121"/>
    </row>
    <row r="62" spans="1:18" x14ac:dyDescent="0.15">
      <c r="A62" s="67">
        <f t="shared" si="0"/>
        <v>36</v>
      </c>
      <c r="B62" s="108">
        <f t="shared" si="7"/>
        <v>114037.22070841922</v>
      </c>
      <c r="C62" s="108">
        <f t="shared" si="2"/>
        <v>1522.6591112050032</v>
      </c>
      <c r="D62" s="108">
        <f t="shared" si="1"/>
        <v>385.4035699867872</v>
      </c>
      <c r="E62" s="115">
        <f t="shared" si="3"/>
        <v>1137.255541218216</v>
      </c>
      <c r="F62" s="115">
        <f t="shared" ref="F62:G77" si="9">+F61</f>
        <v>0</v>
      </c>
      <c r="G62" s="115">
        <f t="shared" si="9"/>
        <v>0</v>
      </c>
      <c r="H62" s="115">
        <f t="shared" si="5"/>
        <v>112899.96516720101</v>
      </c>
      <c r="I62" s="121">
        <f t="shared" si="6"/>
        <v>45282</v>
      </c>
      <c r="K62" s="115">
        <f>SUM(C51:C62)</f>
        <v>18271.909334460037</v>
      </c>
      <c r="L62" s="108"/>
      <c r="M62" s="108"/>
      <c r="N62" s="108"/>
      <c r="O62" s="115"/>
      <c r="P62" s="115"/>
      <c r="Q62" s="115"/>
      <c r="R62" s="121"/>
    </row>
    <row r="63" spans="1:18" x14ac:dyDescent="0.15">
      <c r="A63" s="67">
        <f t="shared" si="0"/>
        <v>37</v>
      </c>
      <c r="B63" s="108">
        <f t="shared" si="7"/>
        <v>112899.96516720101</v>
      </c>
      <c r="C63" s="108">
        <f t="shared" si="2"/>
        <v>1522.6591112050032</v>
      </c>
      <c r="D63" s="108">
        <f t="shared" si="1"/>
        <v>381.56006746322561</v>
      </c>
      <c r="E63" s="115">
        <f t="shared" si="3"/>
        <v>1141.0990437417777</v>
      </c>
      <c r="F63" s="115">
        <f t="shared" si="9"/>
        <v>0</v>
      </c>
      <c r="G63" s="115">
        <f t="shared" si="9"/>
        <v>0</v>
      </c>
      <c r="H63" s="115">
        <f t="shared" si="5"/>
        <v>111758.86612345923</v>
      </c>
      <c r="I63" s="121">
        <f t="shared" si="6"/>
        <v>45313</v>
      </c>
      <c r="L63" s="108"/>
      <c r="M63" s="108"/>
      <c r="N63" s="108"/>
      <c r="O63" s="115"/>
      <c r="P63" s="115"/>
      <c r="Q63" s="115"/>
      <c r="R63" s="121"/>
    </row>
    <row r="64" spans="1:18" x14ac:dyDescent="0.15">
      <c r="A64" s="67">
        <f t="shared" si="0"/>
        <v>38</v>
      </c>
      <c r="B64" s="108">
        <f t="shared" si="7"/>
        <v>111758.86612345923</v>
      </c>
      <c r="C64" s="108">
        <f t="shared" si="2"/>
        <v>1522.6591112050032</v>
      </c>
      <c r="D64" s="108">
        <f t="shared" si="1"/>
        <v>377.70357532465385</v>
      </c>
      <c r="E64" s="115">
        <f t="shared" si="3"/>
        <v>1144.9555358803493</v>
      </c>
      <c r="F64" s="115">
        <f t="shared" si="9"/>
        <v>0</v>
      </c>
      <c r="G64" s="115">
        <f t="shared" si="9"/>
        <v>0</v>
      </c>
      <c r="H64" s="115">
        <f t="shared" si="5"/>
        <v>110613.91058757888</v>
      </c>
      <c r="I64" s="121">
        <f t="shared" si="6"/>
        <v>45344</v>
      </c>
      <c r="L64" s="108"/>
      <c r="M64" s="108"/>
      <c r="N64" s="108"/>
      <c r="O64" s="115"/>
      <c r="P64" s="115"/>
      <c r="Q64" s="115"/>
      <c r="R64" s="121"/>
    </row>
    <row r="65" spans="1:18" x14ac:dyDescent="0.15">
      <c r="A65" s="67">
        <f t="shared" si="0"/>
        <v>39</v>
      </c>
      <c r="B65" s="108">
        <f t="shared" si="7"/>
        <v>110613.91058757888</v>
      </c>
      <c r="C65" s="108">
        <f t="shared" si="2"/>
        <v>1522.6591112050032</v>
      </c>
      <c r="D65" s="108">
        <f t="shared" si="1"/>
        <v>373.83404967098414</v>
      </c>
      <c r="E65" s="115">
        <f t="shared" si="3"/>
        <v>1148.8250615340191</v>
      </c>
      <c r="F65" s="115">
        <f t="shared" si="9"/>
        <v>0</v>
      </c>
      <c r="G65" s="115">
        <f t="shared" si="9"/>
        <v>0</v>
      </c>
      <c r="H65" s="115">
        <f t="shared" si="5"/>
        <v>109465.08552604486</v>
      </c>
      <c r="I65" s="121">
        <f t="shared" si="6"/>
        <v>45375</v>
      </c>
      <c r="L65" s="108"/>
      <c r="M65" s="108"/>
      <c r="N65" s="108"/>
      <c r="O65" s="115"/>
      <c r="P65" s="115"/>
      <c r="Q65" s="115"/>
      <c r="R65" s="121"/>
    </row>
    <row r="66" spans="1:18" x14ac:dyDescent="0.15">
      <c r="A66" s="67">
        <f t="shared" si="0"/>
        <v>40</v>
      </c>
      <c r="B66" s="108">
        <f t="shared" si="7"/>
        <v>109465.08552604486</v>
      </c>
      <c r="C66" s="108">
        <f t="shared" si="2"/>
        <v>1522.6591112050032</v>
      </c>
      <c r="D66" s="108">
        <f t="shared" si="1"/>
        <v>369.95144645376268</v>
      </c>
      <c r="E66" s="115">
        <f t="shared" si="3"/>
        <v>1152.7076647512406</v>
      </c>
      <c r="F66" s="115">
        <f t="shared" si="9"/>
        <v>0</v>
      </c>
      <c r="G66" s="115">
        <f t="shared" si="9"/>
        <v>0</v>
      </c>
      <c r="H66" s="115">
        <f t="shared" si="5"/>
        <v>108312.37786129361</v>
      </c>
      <c r="I66" s="121">
        <f t="shared" si="6"/>
        <v>45406</v>
      </c>
      <c r="K66" s="115"/>
      <c r="L66" s="108"/>
      <c r="M66" s="108"/>
      <c r="N66" s="108"/>
      <c r="O66" s="115"/>
      <c r="P66" s="115"/>
      <c r="Q66" s="115"/>
      <c r="R66" s="121"/>
    </row>
    <row r="67" spans="1:18" x14ac:dyDescent="0.15">
      <c r="A67" s="67">
        <f t="shared" si="0"/>
        <v>41</v>
      </c>
      <c r="B67" s="108">
        <f t="shared" si="7"/>
        <v>108312.37786129361</v>
      </c>
      <c r="C67" s="108">
        <f>+C66</f>
        <v>1522.6591112050032</v>
      </c>
      <c r="D67" s="108">
        <f t="shared" si="1"/>
        <v>366.05572147566818</v>
      </c>
      <c r="E67" s="115">
        <f t="shared" si="3"/>
        <v>1156.603389729335</v>
      </c>
      <c r="F67" s="115">
        <f t="shared" si="9"/>
        <v>0</v>
      </c>
      <c r="G67" s="115">
        <f t="shared" si="9"/>
        <v>0</v>
      </c>
      <c r="H67" s="115">
        <f t="shared" si="5"/>
        <v>107155.77447156428</v>
      </c>
      <c r="I67" s="121">
        <f t="shared" si="6"/>
        <v>45437</v>
      </c>
      <c r="L67" s="108"/>
      <c r="M67" s="108"/>
      <c r="N67" s="108"/>
      <c r="O67" s="115"/>
      <c r="P67" s="115"/>
      <c r="Q67" s="115"/>
      <c r="R67" s="121"/>
    </row>
    <row r="68" spans="1:18" x14ac:dyDescent="0.15">
      <c r="A68" s="67">
        <f t="shared" si="0"/>
        <v>42</v>
      </c>
      <c r="B68" s="108">
        <f t="shared" si="7"/>
        <v>107155.77447156428</v>
      </c>
      <c r="C68" s="108">
        <f>+C67</f>
        <v>1522.6591112050032</v>
      </c>
      <c r="D68" s="108">
        <f t="shared" si="1"/>
        <v>362.14683039000892</v>
      </c>
      <c r="E68" s="115">
        <f t="shared" si="3"/>
        <v>1160.5122808149943</v>
      </c>
      <c r="F68" s="115">
        <f t="shared" si="9"/>
        <v>0</v>
      </c>
      <c r="G68" s="115">
        <f t="shared" si="9"/>
        <v>0</v>
      </c>
      <c r="H68" s="115">
        <f t="shared" si="5"/>
        <v>105995.26219074929</v>
      </c>
      <c r="I68" s="121">
        <f t="shared" si="6"/>
        <v>45468</v>
      </c>
      <c r="L68" s="108"/>
      <c r="M68" s="108"/>
      <c r="N68" s="108"/>
      <c r="O68" s="115"/>
      <c r="P68" s="115"/>
      <c r="Q68" s="115"/>
      <c r="R68" s="121"/>
    </row>
    <row r="69" spans="1:18" x14ac:dyDescent="0.15">
      <c r="A69" s="67">
        <f t="shared" si="0"/>
        <v>43</v>
      </c>
      <c r="B69" s="108">
        <f t="shared" si="7"/>
        <v>105995.26219074929</v>
      </c>
      <c r="C69" s="108">
        <f t="shared" si="2"/>
        <v>1522.6591112050032</v>
      </c>
      <c r="D69" s="108">
        <f t="shared" si="1"/>
        <v>358.22472870021744</v>
      </c>
      <c r="E69" s="115">
        <f t="shared" si="3"/>
        <v>1164.4343825047858</v>
      </c>
      <c r="F69" s="115">
        <f t="shared" si="9"/>
        <v>0</v>
      </c>
      <c r="G69" s="115">
        <f t="shared" si="9"/>
        <v>0</v>
      </c>
      <c r="H69" s="115">
        <f t="shared" si="5"/>
        <v>104830.8278082445</v>
      </c>
      <c r="I69" s="121">
        <f t="shared" si="6"/>
        <v>45499</v>
      </c>
      <c r="L69" s="108"/>
      <c r="M69" s="108"/>
      <c r="N69" s="108"/>
      <c r="O69" s="115"/>
      <c r="P69" s="115"/>
      <c r="Q69" s="115"/>
      <c r="R69" s="121"/>
    </row>
    <row r="70" spans="1:18" x14ac:dyDescent="0.15">
      <c r="A70" s="67">
        <f t="shared" si="0"/>
        <v>44</v>
      </c>
      <c r="B70" s="108">
        <f t="shared" si="7"/>
        <v>104830.8278082445</v>
      </c>
      <c r="C70" s="108">
        <f t="shared" si="2"/>
        <v>1522.6591112050032</v>
      </c>
      <c r="D70" s="108">
        <f t="shared" si="1"/>
        <v>354.28937175934487</v>
      </c>
      <c r="E70" s="115">
        <f t="shared" si="3"/>
        <v>1168.3697394456583</v>
      </c>
      <c r="F70" s="115">
        <f t="shared" si="9"/>
        <v>0</v>
      </c>
      <c r="G70" s="115">
        <f t="shared" si="9"/>
        <v>0</v>
      </c>
      <c r="H70" s="115">
        <f t="shared" si="5"/>
        <v>103662.45806879885</v>
      </c>
      <c r="I70" s="121">
        <f t="shared" si="6"/>
        <v>45530</v>
      </c>
      <c r="L70" s="108"/>
      <c r="M70" s="108"/>
      <c r="N70" s="108"/>
      <c r="O70" s="115"/>
      <c r="P70" s="115"/>
      <c r="Q70" s="115"/>
      <c r="R70" s="121"/>
    </row>
    <row r="71" spans="1:18" x14ac:dyDescent="0.15">
      <c r="A71" s="67">
        <f t="shared" si="0"/>
        <v>45</v>
      </c>
      <c r="B71" s="108">
        <f t="shared" si="7"/>
        <v>103662.45806879885</v>
      </c>
      <c r="C71" s="108">
        <f t="shared" si="2"/>
        <v>1522.6591112050032</v>
      </c>
      <c r="D71" s="108">
        <f t="shared" si="1"/>
        <v>350.34071476955165</v>
      </c>
      <c r="E71" s="115">
        <f t="shared" si="3"/>
        <v>1172.3183964354516</v>
      </c>
      <c r="F71" s="115">
        <f t="shared" si="9"/>
        <v>0</v>
      </c>
      <c r="G71" s="115">
        <f t="shared" si="9"/>
        <v>0</v>
      </c>
      <c r="H71" s="115">
        <f t="shared" si="5"/>
        <v>102490.1396723634</v>
      </c>
      <c r="I71" s="121">
        <f t="shared" si="6"/>
        <v>45561</v>
      </c>
      <c r="L71" s="108"/>
      <c r="M71" s="108"/>
      <c r="N71" s="108"/>
      <c r="O71" s="115"/>
      <c r="P71" s="115"/>
      <c r="Q71" s="115"/>
      <c r="R71" s="121"/>
    </row>
    <row r="72" spans="1:18" x14ac:dyDescent="0.15">
      <c r="A72" s="67">
        <f t="shared" si="0"/>
        <v>46</v>
      </c>
      <c r="B72" s="108">
        <f t="shared" si="7"/>
        <v>102490.1396723634</v>
      </c>
      <c r="C72" s="108">
        <f t="shared" si="2"/>
        <v>1522.6591112050032</v>
      </c>
      <c r="D72" s="108">
        <f t="shared" si="1"/>
        <v>346.37871278159849</v>
      </c>
      <c r="E72" s="115">
        <f t="shared" si="3"/>
        <v>1176.2803984234047</v>
      </c>
      <c r="F72" s="115">
        <f t="shared" si="9"/>
        <v>0</v>
      </c>
      <c r="G72" s="115">
        <f t="shared" si="9"/>
        <v>0</v>
      </c>
      <c r="H72" s="115">
        <f t="shared" si="5"/>
        <v>101313.85927393999</v>
      </c>
      <c r="I72" s="121">
        <f t="shared" si="6"/>
        <v>45592</v>
      </c>
      <c r="L72" s="108"/>
      <c r="M72" s="108"/>
      <c r="N72" s="108"/>
      <c r="O72" s="115"/>
      <c r="P72" s="115"/>
      <c r="Q72" s="115"/>
      <c r="R72" s="121"/>
    </row>
    <row r="73" spans="1:18" x14ac:dyDescent="0.15">
      <c r="A73" s="67">
        <f t="shared" si="0"/>
        <v>47</v>
      </c>
      <c r="B73" s="108">
        <f t="shared" si="7"/>
        <v>101313.85927393999</v>
      </c>
      <c r="C73" s="108">
        <f t="shared" si="2"/>
        <v>1522.6591112050032</v>
      </c>
      <c r="D73" s="108">
        <f t="shared" si="1"/>
        <v>342.40332069433424</v>
      </c>
      <c r="E73" s="115">
        <f t="shared" si="3"/>
        <v>1180.2557905106689</v>
      </c>
      <c r="F73" s="115">
        <f t="shared" si="9"/>
        <v>0</v>
      </c>
      <c r="G73" s="115">
        <f t="shared" si="9"/>
        <v>0</v>
      </c>
      <c r="H73" s="115">
        <f t="shared" si="5"/>
        <v>100133.60348342932</v>
      </c>
      <c r="I73" s="121">
        <f t="shared" si="6"/>
        <v>45623</v>
      </c>
      <c r="L73" s="108"/>
      <c r="M73" s="108"/>
      <c r="N73" s="108"/>
      <c r="O73" s="115"/>
      <c r="P73" s="115"/>
      <c r="Q73" s="115"/>
      <c r="R73" s="121"/>
    </row>
    <row r="74" spans="1:18" x14ac:dyDescent="0.15">
      <c r="A74" s="67">
        <f t="shared" si="0"/>
        <v>48</v>
      </c>
      <c r="B74" s="108">
        <f t="shared" si="7"/>
        <v>100133.60348342932</v>
      </c>
      <c r="C74" s="108">
        <f t="shared" si="2"/>
        <v>1522.6591112050032</v>
      </c>
      <c r="D74" s="108">
        <f t="shared" si="1"/>
        <v>338.41449325418245</v>
      </c>
      <c r="E74" s="115">
        <f t="shared" si="3"/>
        <v>1184.2446179508208</v>
      </c>
      <c r="F74" s="115">
        <f t="shared" si="9"/>
        <v>0</v>
      </c>
      <c r="G74" s="115">
        <f t="shared" si="9"/>
        <v>0</v>
      </c>
      <c r="H74" s="115">
        <f t="shared" si="5"/>
        <v>98949.358865478498</v>
      </c>
      <c r="I74" s="121">
        <f t="shared" si="6"/>
        <v>45654</v>
      </c>
      <c r="K74" s="115">
        <f>SUM(C63:C74)</f>
        <v>18271.909334460037</v>
      </c>
      <c r="L74" s="108"/>
      <c r="M74" s="108"/>
      <c r="N74" s="108"/>
      <c r="O74" s="115"/>
      <c r="P74" s="115"/>
      <c r="Q74" s="115"/>
      <c r="R74" s="121"/>
    </row>
    <row r="75" spans="1:18" x14ac:dyDescent="0.15">
      <c r="A75" s="393">
        <f t="shared" si="0"/>
        <v>49</v>
      </c>
      <c r="B75" s="394">
        <f t="shared" si="7"/>
        <v>98949.358865478498</v>
      </c>
      <c r="C75" s="394">
        <f>+C74+35000</f>
        <v>36522.659111205001</v>
      </c>
      <c r="D75" s="394">
        <f t="shared" si="1"/>
        <v>334.41218505462638</v>
      </c>
      <c r="E75" s="395">
        <f t="shared" si="3"/>
        <v>36188.246926150372</v>
      </c>
      <c r="F75" s="395">
        <f t="shared" si="9"/>
        <v>0</v>
      </c>
      <c r="G75" s="395">
        <f t="shared" si="9"/>
        <v>0</v>
      </c>
      <c r="H75" s="395">
        <f t="shared" si="5"/>
        <v>62761.111939328126</v>
      </c>
      <c r="I75" s="396">
        <f t="shared" si="6"/>
        <v>45685</v>
      </c>
      <c r="L75" s="108"/>
      <c r="M75" s="108"/>
      <c r="N75" s="108"/>
      <c r="O75" s="115"/>
      <c r="P75" s="115"/>
      <c r="Q75" s="115"/>
      <c r="R75" s="121"/>
    </row>
    <row r="76" spans="1:18" x14ac:dyDescent="0.15">
      <c r="A76" s="67">
        <f t="shared" si="0"/>
        <v>50</v>
      </c>
      <c r="B76" s="108">
        <f t="shared" si="7"/>
        <v>62761.111939328126</v>
      </c>
      <c r="C76" s="108">
        <f>+C74</f>
        <v>1522.6591112050032</v>
      </c>
      <c r="D76" s="108">
        <f t="shared" si="1"/>
        <v>212.10931349865521</v>
      </c>
      <c r="E76" s="115">
        <f t="shared" si="3"/>
        <v>1310.549797706348</v>
      </c>
      <c r="F76" s="115">
        <f t="shared" si="9"/>
        <v>0</v>
      </c>
      <c r="G76" s="115">
        <f t="shared" si="9"/>
        <v>0</v>
      </c>
      <c r="H76" s="115">
        <f t="shared" si="5"/>
        <v>61450.562141621776</v>
      </c>
      <c r="I76" s="121">
        <f t="shared" si="6"/>
        <v>45716</v>
      </c>
      <c r="L76" s="108"/>
      <c r="M76" s="108"/>
      <c r="N76" s="108"/>
      <c r="O76" s="115"/>
      <c r="P76" s="115"/>
      <c r="Q76" s="115"/>
      <c r="R76" s="121"/>
    </row>
    <row r="77" spans="1:18" x14ac:dyDescent="0.15">
      <c r="A77" s="67">
        <f t="shared" si="0"/>
        <v>51</v>
      </c>
      <c r="B77" s="108">
        <f t="shared" si="7"/>
        <v>61450.562141621776</v>
      </c>
      <c r="C77" s="108">
        <f t="shared" si="2"/>
        <v>1522.6591112050032</v>
      </c>
      <c r="D77" s="108">
        <f t="shared" si="1"/>
        <v>207.68014057122173</v>
      </c>
      <c r="E77" s="115">
        <f t="shared" si="3"/>
        <v>1314.9789706337815</v>
      </c>
      <c r="F77" s="115">
        <f t="shared" si="9"/>
        <v>0</v>
      </c>
      <c r="G77" s="115">
        <f t="shared" si="9"/>
        <v>0</v>
      </c>
      <c r="H77" s="115">
        <f t="shared" si="5"/>
        <v>60135.583170987993</v>
      </c>
      <c r="I77" s="121">
        <f t="shared" si="6"/>
        <v>45747</v>
      </c>
      <c r="L77" s="108"/>
      <c r="M77" s="108"/>
      <c r="N77" s="108"/>
      <c r="O77" s="115"/>
      <c r="P77" s="115"/>
      <c r="Q77" s="115"/>
      <c r="R77" s="121"/>
    </row>
    <row r="78" spans="1:18" x14ac:dyDescent="0.15">
      <c r="A78" s="67">
        <f t="shared" si="0"/>
        <v>52</v>
      </c>
      <c r="B78" s="108">
        <f t="shared" si="7"/>
        <v>60135.583170987993</v>
      </c>
      <c r="C78" s="108">
        <f t="shared" si="2"/>
        <v>1522.6591112050032</v>
      </c>
      <c r="D78" s="108">
        <f t="shared" si="1"/>
        <v>203.23599867972791</v>
      </c>
      <c r="E78" s="115">
        <f t="shared" si="3"/>
        <v>1319.4231125252754</v>
      </c>
      <c r="F78" s="115">
        <f t="shared" ref="F78:G93" si="10">+F77</f>
        <v>0</v>
      </c>
      <c r="G78" s="115">
        <f t="shared" si="10"/>
        <v>0</v>
      </c>
      <c r="H78" s="115">
        <f t="shared" si="5"/>
        <v>58816.160058462716</v>
      </c>
      <c r="I78" s="121">
        <f>+I77+22</f>
        <v>45769</v>
      </c>
      <c r="K78" s="115"/>
      <c r="L78" s="108"/>
      <c r="M78" s="108"/>
      <c r="N78" s="108"/>
      <c r="O78" s="115"/>
      <c r="P78" s="115"/>
      <c r="Q78" s="115"/>
      <c r="R78" s="121"/>
    </row>
    <row r="79" spans="1:18" x14ac:dyDescent="0.15">
      <c r="A79" s="67">
        <f t="shared" si="0"/>
        <v>53</v>
      </c>
      <c r="B79" s="108">
        <f t="shared" si="7"/>
        <v>58816.160058462716</v>
      </c>
      <c r="C79" s="108">
        <f t="shared" si="2"/>
        <v>1522.6591112050032</v>
      </c>
      <c r="D79" s="108">
        <f t="shared" si="1"/>
        <v>198.77683723461936</v>
      </c>
      <c r="E79" s="115">
        <f t="shared" si="3"/>
        <v>1323.8822739703839</v>
      </c>
      <c r="F79" s="115">
        <f t="shared" si="10"/>
        <v>0</v>
      </c>
      <c r="G79" s="115">
        <f t="shared" si="10"/>
        <v>0</v>
      </c>
      <c r="H79" s="115">
        <f t="shared" si="5"/>
        <v>57492.277784492333</v>
      </c>
      <c r="I79" s="121">
        <f t="shared" si="6"/>
        <v>45800</v>
      </c>
      <c r="L79" s="108"/>
      <c r="M79" s="108"/>
      <c r="N79" s="108"/>
      <c r="O79" s="115"/>
      <c r="P79" s="115"/>
      <c r="Q79" s="115"/>
      <c r="R79" s="121"/>
    </row>
    <row r="80" spans="1:18" x14ac:dyDescent="0.15">
      <c r="A80" s="67">
        <f t="shared" si="0"/>
        <v>54</v>
      </c>
      <c r="B80" s="108">
        <f t="shared" si="7"/>
        <v>57492.277784492333</v>
      </c>
      <c r="C80" s="108">
        <f t="shared" si="2"/>
        <v>1522.6591112050032</v>
      </c>
      <c r="D80" s="108">
        <f t="shared" si="1"/>
        <v>194.30260547536761</v>
      </c>
      <c r="E80" s="115">
        <f t="shared" si="3"/>
        <v>1328.3565057296355</v>
      </c>
      <c r="F80" s="115">
        <f t="shared" si="10"/>
        <v>0</v>
      </c>
      <c r="G80" s="115">
        <f t="shared" si="10"/>
        <v>0</v>
      </c>
      <c r="H80" s="115">
        <f t="shared" si="5"/>
        <v>56163.921278762697</v>
      </c>
      <c r="I80" s="121">
        <f t="shared" si="6"/>
        <v>45831</v>
      </c>
      <c r="L80" s="108"/>
      <c r="M80" s="108"/>
      <c r="N80" s="108"/>
      <c r="O80" s="115"/>
      <c r="P80" s="115"/>
      <c r="Q80" s="115"/>
      <c r="R80" s="121"/>
    </row>
    <row r="81" spans="1:18" x14ac:dyDescent="0.15">
      <c r="A81" s="67">
        <f t="shared" si="0"/>
        <v>55</v>
      </c>
      <c r="B81" s="108">
        <f t="shared" si="7"/>
        <v>56163.921278762697</v>
      </c>
      <c r="C81" s="108">
        <f t="shared" si="2"/>
        <v>1522.6591112050032</v>
      </c>
      <c r="D81" s="108">
        <f t="shared" si="1"/>
        <v>189.81325246989243</v>
      </c>
      <c r="E81" s="115">
        <f t="shared" si="3"/>
        <v>1332.8458587351108</v>
      </c>
      <c r="F81" s="115">
        <f t="shared" si="10"/>
        <v>0</v>
      </c>
      <c r="G81" s="115">
        <f t="shared" si="10"/>
        <v>0</v>
      </c>
      <c r="H81" s="115">
        <f t="shared" si="5"/>
        <v>54831.075420027584</v>
      </c>
      <c r="I81" s="121">
        <f t="shared" si="6"/>
        <v>45862</v>
      </c>
      <c r="L81" s="108"/>
      <c r="M81" s="108"/>
      <c r="N81" s="108"/>
      <c r="O81" s="115"/>
      <c r="P81" s="115"/>
      <c r="Q81" s="115"/>
      <c r="R81" s="121"/>
    </row>
    <row r="82" spans="1:18" x14ac:dyDescent="0.15">
      <c r="A82" s="67">
        <f t="shared" si="0"/>
        <v>56</v>
      </c>
      <c r="B82" s="108">
        <f t="shared" si="7"/>
        <v>54831.075420027584</v>
      </c>
      <c r="C82" s="108">
        <f t="shared" si="2"/>
        <v>1522.6591112050032</v>
      </c>
      <c r="D82" s="108">
        <f t="shared" si="1"/>
        <v>185.30872711398209</v>
      </c>
      <c r="E82" s="115">
        <f t="shared" si="3"/>
        <v>1337.3503840910212</v>
      </c>
      <c r="F82" s="115">
        <f t="shared" si="10"/>
        <v>0</v>
      </c>
      <c r="G82" s="115">
        <f t="shared" si="10"/>
        <v>0</v>
      </c>
      <c r="H82" s="115">
        <f t="shared" si="5"/>
        <v>53493.725035936564</v>
      </c>
      <c r="I82" s="121">
        <f t="shared" si="6"/>
        <v>45893</v>
      </c>
      <c r="L82" s="108"/>
      <c r="M82" s="108"/>
      <c r="N82" s="108"/>
      <c r="O82" s="115"/>
      <c r="P82" s="115"/>
      <c r="Q82" s="115"/>
      <c r="R82" s="121"/>
    </row>
    <row r="83" spans="1:18" x14ac:dyDescent="0.15">
      <c r="A83" s="67">
        <f t="shared" si="0"/>
        <v>57</v>
      </c>
      <c r="B83" s="108">
        <f t="shared" si="7"/>
        <v>53493.725035936564</v>
      </c>
      <c r="C83" s="108">
        <f t="shared" si="2"/>
        <v>1522.6591112050032</v>
      </c>
      <c r="D83" s="108">
        <f t="shared" si="1"/>
        <v>180.78897813071151</v>
      </c>
      <c r="E83" s="115">
        <f t="shared" si="3"/>
        <v>1341.8701330742917</v>
      </c>
      <c r="F83" s="115">
        <f t="shared" si="10"/>
        <v>0</v>
      </c>
      <c r="G83" s="115">
        <f t="shared" si="10"/>
        <v>0</v>
      </c>
      <c r="H83" s="115">
        <f t="shared" si="5"/>
        <v>52151.854902862273</v>
      </c>
      <c r="I83" s="121">
        <f t="shared" si="6"/>
        <v>45924</v>
      </c>
      <c r="L83" s="108"/>
      <c r="M83" s="108"/>
      <c r="N83" s="108"/>
      <c r="O83" s="115"/>
      <c r="P83" s="115"/>
      <c r="Q83" s="115"/>
      <c r="R83" s="121"/>
    </row>
    <row r="84" spans="1:18" x14ac:dyDescent="0.15">
      <c r="A84" s="67">
        <f t="shared" si="0"/>
        <v>58</v>
      </c>
      <c r="B84" s="108">
        <f t="shared" si="7"/>
        <v>52151.854902862273</v>
      </c>
      <c r="C84" s="108">
        <f t="shared" si="2"/>
        <v>1522.6591112050032</v>
      </c>
      <c r="D84" s="108">
        <f t="shared" si="1"/>
        <v>176.25395406985862</v>
      </c>
      <c r="E84" s="115">
        <f t="shared" si="3"/>
        <v>1346.4051571351447</v>
      </c>
      <c r="F84" s="115">
        <f t="shared" si="10"/>
        <v>0</v>
      </c>
      <c r="G84" s="115">
        <f t="shared" si="10"/>
        <v>0</v>
      </c>
      <c r="H84" s="115">
        <f t="shared" si="5"/>
        <v>50805.449745727128</v>
      </c>
      <c r="I84" s="121">
        <f>+I83+30</f>
        <v>45954</v>
      </c>
      <c r="L84" s="108"/>
      <c r="M84" s="108"/>
      <c r="N84" s="108"/>
      <c r="O84" s="115"/>
      <c r="P84" s="115"/>
      <c r="Q84" s="115"/>
      <c r="R84" s="121"/>
    </row>
    <row r="85" spans="1:18" x14ac:dyDescent="0.15">
      <c r="A85" s="67">
        <f t="shared" si="0"/>
        <v>59</v>
      </c>
      <c r="B85" s="108">
        <f t="shared" si="7"/>
        <v>50805.449745727128</v>
      </c>
      <c r="C85" s="108">
        <f t="shared" si="2"/>
        <v>1522.6591112050032</v>
      </c>
      <c r="D85" s="108">
        <f t="shared" si="1"/>
        <v>171.70360330731853</v>
      </c>
      <c r="E85" s="115">
        <f t="shared" si="3"/>
        <v>1350.9555078976846</v>
      </c>
      <c r="F85" s="115">
        <f t="shared" si="10"/>
        <v>0</v>
      </c>
      <c r="G85" s="115">
        <f t="shared" si="10"/>
        <v>0</v>
      </c>
      <c r="H85" s="115">
        <f t="shared" si="5"/>
        <v>49454.494237829444</v>
      </c>
      <c r="I85" s="121">
        <f>+I84+31</f>
        <v>45985</v>
      </c>
      <c r="L85" s="108"/>
      <c r="M85" s="108"/>
      <c r="N85" s="108"/>
      <c r="O85" s="115"/>
      <c r="P85" s="115"/>
      <c r="Q85" s="115"/>
      <c r="R85" s="121"/>
    </row>
    <row r="86" spans="1:18" x14ac:dyDescent="0.15">
      <c r="A86" s="67">
        <f t="shared" si="0"/>
        <v>60</v>
      </c>
      <c r="B86" s="108">
        <f t="shared" si="7"/>
        <v>49454.494237829444</v>
      </c>
      <c r="C86" s="108">
        <f>+C85</f>
        <v>1522.6591112050032</v>
      </c>
      <c r="D86" s="108">
        <f t="shared" si="1"/>
        <v>167.13787404451617</v>
      </c>
      <c r="E86" s="115">
        <f t="shared" si="3"/>
        <v>1355.5212371604871</v>
      </c>
      <c r="F86" s="115">
        <f t="shared" si="10"/>
        <v>0</v>
      </c>
      <c r="G86" s="115">
        <f t="shared" si="10"/>
        <v>0</v>
      </c>
      <c r="H86" s="115">
        <f t="shared" si="5"/>
        <v>48098.973000668957</v>
      </c>
      <c r="I86" s="121">
        <f t="shared" si="6"/>
        <v>46016</v>
      </c>
      <c r="K86" s="115">
        <f>SUM(C75:C86)-35000</f>
        <v>18271.909334460011</v>
      </c>
      <c r="L86" s="108"/>
      <c r="M86" s="108"/>
      <c r="N86" s="108"/>
      <c r="O86" s="115"/>
      <c r="P86" s="115"/>
      <c r="Q86" s="115"/>
      <c r="R86" s="121"/>
    </row>
    <row r="87" spans="1:18" x14ac:dyDescent="0.15">
      <c r="A87" s="67">
        <f t="shared" si="0"/>
        <v>61</v>
      </c>
      <c r="B87" s="108">
        <f t="shared" si="7"/>
        <v>48098.973000668957</v>
      </c>
      <c r="C87" s="108">
        <f>+C86</f>
        <v>1522.6591112050032</v>
      </c>
      <c r="D87" s="108">
        <f t="shared" si="1"/>
        <v>162.55671430781638</v>
      </c>
      <c r="E87" s="115">
        <f t="shared" si="3"/>
        <v>1360.1023968971867</v>
      </c>
      <c r="F87" s="115">
        <f t="shared" si="10"/>
        <v>0</v>
      </c>
      <c r="G87" s="115">
        <f t="shared" si="10"/>
        <v>0</v>
      </c>
      <c r="H87" s="115">
        <f t="shared" si="5"/>
        <v>46738.870603771771</v>
      </c>
      <c r="I87" s="121">
        <f t="shared" si="6"/>
        <v>46047</v>
      </c>
    </row>
    <row r="88" spans="1:18" x14ac:dyDescent="0.15">
      <c r="A88" s="67">
        <f t="shared" si="0"/>
        <v>62</v>
      </c>
      <c r="B88" s="108">
        <f t="shared" si="7"/>
        <v>46738.870603771771</v>
      </c>
      <c r="C88" s="108">
        <f t="shared" si="2"/>
        <v>1522.6591112050032</v>
      </c>
      <c r="D88" s="108">
        <f t="shared" si="1"/>
        <v>157.96007194793236</v>
      </c>
      <c r="E88" s="115">
        <f t="shared" si="3"/>
        <v>1364.6990392570708</v>
      </c>
      <c r="F88" s="115">
        <f t="shared" si="10"/>
        <v>0</v>
      </c>
      <c r="G88" s="115">
        <f t="shared" si="10"/>
        <v>0</v>
      </c>
      <c r="H88" s="115">
        <f t="shared" si="5"/>
        <v>45374.171564514698</v>
      </c>
      <c r="I88" s="121">
        <f t="shared" si="6"/>
        <v>46078</v>
      </c>
    </row>
    <row r="89" spans="1:18" x14ac:dyDescent="0.15">
      <c r="A89" s="67">
        <f t="shared" si="0"/>
        <v>63</v>
      </c>
      <c r="B89" s="108">
        <f t="shared" si="7"/>
        <v>45374.171564514698</v>
      </c>
      <c r="C89" s="108">
        <f t="shared" si="2"/>
        <v>1522.6591112050032</v>
      </c>
      <c r="D89" s="108">
        <f t="shared" si="1"/>
        <v>153.34789463933205</v>
      </c>
      <c r="E89" s="115">
        <f t="shared" si="3"/>
        <v>1369.3112165656712</v>
      </c>
      <c r="F89" s="115">
        <f t="shared" si="10"/>
        <v>0</v>
      </c>
      <c r="G89" s="115">
        <f t="shared" si="10"/>
        <v>0</v>
      </c>
      <c r="H89" s="115">
        <f t="shared" si="5"/>
        <v>44004.860347949027</v>
      </c>
      <c r="I89" s="121">
        <f t="shared" si="6"/>
        <v>46109</v>
      </c>
    </row>
    <row r="90" spans="1:18" x14ac:dyDescent="0.15">
      <c r="A90" s="67">
        <f t="shared" si="0"/>
        <v>64</v>
      </c>
      <c r="B90" s="108">
        <f t="shared" si="7"/>
        <v>44004.860347949027</v>
      </c>
      <c r="C90" s="108">
        <f t="shared" si="2"/>
        <v>1522.6591112050032</v>
      </c>
      <c r="D90" s="108">
        <f t="shared" si="1"/>
        <v>148.72012987964254</v>
      </c>
      <c r="E90" s="115">
        <f t="shared" si="3"/>
        <v>1373.9389813253606</v>
      </c>
      <c r="F90" s="115">
        <v>0</v>
      </c>
      <c r="G90" s="115">
        <f t="shared" si="10"/>
        <v>0</v>
      </c>
      <c r="H90" s="115">
        <f t="shared" si="5"/>
        <v>42630.921366623668</v>
      </c>
      <c r="I90" s="121">
        <f t="shared" si="6"/>
        <v>46140</v>
      </c>
      <c r="K90" s="115"/>
    </row>
    <row r="91" spans="1:18" x14ac:dyDescent="0.15">
      <c r="A91" s="67">
        <f t="shared" si="0"/>
        <v>65</v>
      </c>
      <c r="B91" s="108">
        <f t="shared" si="7"/>
        <v>42630.921366623668</v>
      </c>
      <c r="C91" s="108">
        <f t="shared" si="2"/>
        <v>1522.6591112050032</v>
      </c>
      <c r="D91" s="108">
        <f t="shared" si="1"/>
        <v>144.0767249890522</v>
      </c>
      <c r="E91" s="115">
        <f t="shared" si="3"/>
        <v>1378.5823862159509</v>
      </c>
      <c r="F91" s="115">
        <f t="shared" si="10"/>
        <v>0</v>
      </c>
      <c r="G91" s="115">
        <f t="shared" si="10"/>
        <v>0</v>
      </c>
      <c r="H91" s="115">
        <f t="shared" si="5"/>
        <v>41252.338980407716</v>
      </c>
      <c r="I91" s="121">
        <f t="shared" si="6"/>
        <v>46171</v>
      </c>
    </row>
    <row r="92" spans="1:18" x14ac:dyDescent="0.15">
      <c r="A92" s="67">
        <f t="shared" si="0"/>
        <v>66</v>
      </c>
      <c r="B92" s="108">
        <f t="shared" si="7"/>
        <v>41252.338980407716</v>
      </c>
      <c r="C92" s="108">
        <f t="shared" si="2"/>
        <v>1522.6591112050032</v>
      </c>
      <c r="D92" s="108">
        <f t="shared" si="1"/>
        <v>139.41762710971125</v>
      </c>
      <c r="E92" s="115">
        <f t="shared" si="3"/>
        <v>1383.241484095292</v>
      </c>
      <c r="F92" s="115">
        <f t="shared" si="10"/>
        <v>0</v>
      </c>
      <c r="G92" s="115">
        <f t="shared" si="10"/>
        <v>0</v>
      </c>
      <c r="H92" s="115">
        <f t="shared" si="5"/>
        <v>39869.097496312424</v>
      </c>
      <c r="I92" s="121">
        <f t="shared" si="6"/>
        <v>46202</v>
      </c>
    </row>
    <row r="93" spans="1:18" x14ac:dyDescent="0.15">
      <c r="A93" s="67">
        <f t="shared" ref="A93:A111" si="11">A92+1</f>
        <v>67</v>
      </c>
      <c r="B93" s="108">
        <f t="shared" si="7"/>
        <v>39869.097496312424</v>
      </c>
      <c r="C93" s="108">
        <f t="shared" si="2"/>
        <v>1522.6591112050032</v>
      </c>
      <c r="D93" s="108">
        <f t="shared" ref="D93:D111" si="12">+(B93*D$11)/12</f>
        <v>134.74278320512994</v>
      </c>
      <c r="E93" s="115">
        <f t="shared" si="3"/>
        <v>1387.9163279998734</v>
      </c>
      <c r="F93" s="115">
        <f t="shared" si="10"/>
        <v>0</v>
      </c>
      <c r="G93" s="115">
        <f t="shared" si="10"/>
        <v>0</v>
      </c>
      <c r="H93" s="115">
        <f t="shared" si="5"/>
        <v>38481.181168312549</v>
      </c>
      <c r="I93" s="121">
        <f t="shared" si="6"/>
        <v>46233</v>
      </c>
    </row>
    <row r="94" spans="1:18" x14ac:dyDescent="0.15">
      <c r="A94" s="67">
        <f t="shared" si="11"/>
        <v>68</v>
      </c>
      <c r="B94" s="108">
        <f t="shared" si="7"/>
        <v>38481.181168312549</v>
      </c>
      <c r="C94" s="108">
        <f t="shared" ref="C94:C109" si="13">+C93</f>
        <v>1522.6591112050032</v>
      </c>
      <c r="D94" s="108">
        <f t="shared" si="12"/>
        <v>130.05214005957481</v>
      </c>
      <c r="E94" s="115">
        <f t="shared" ref="E94:E110" si="14">+C94-D94-F94-G94</f>
        <v>1392.6069711454284</v>
      </c>
      <c r="F94" s="115">
        <f t="shared" ref="F94:G109" si="15">+F93</f>
        <v>0</v>
      </c>
      <c r="G94" s="115">
        <f t="shared" si="15"/>
        <v>0</v>
      </c>
      <c r="H94" s="115">
        <f t="shared" ref="H94:H110" si="16">+B94-E94</f>
        <v>37088.574197167123</v>
      </c>
      <c r="I94" s="121">
        <f t="shared" ref="I94:I111" si="17">+I93+31</f>
        <v>46264</v>
      </c>
    </row>
    <row r="95" spans="1:18" x14ac:dyDescent="0.15">
      <c r="A95" s="67">
        <f t="shared" si="11"/>
        <v>69</v>
      </c>
      <c r="B95" s="108">
        <f t="shared" ref="B95:B110" si="18">+H94</f>
        <v>37088.574197167123</v>
      </c>
      <c r="C95" s="108">
        <f t="shared" si="13"/>
        <v>1522.6591112050032</v>
      </c>
      <c r="D95" s="108">
        <f t="shared" si="12"/>
        <v>125.34564427746295</v>
      </c>
      <c r="E95" s="115">
        <f t="shared" si="14"/>
        <v>1397.3134669275403</v>
      </c>
      <c r="F95" s="115">
        <f t="shared" si="15"/>
        <v>0</v>
      </c>
      <c r="G95" s="115">
        <f t="shared" si="15"/>
        <v>0</v>
      </c>
      <c r="H95" s="115">
        <f t="shared" si="16"/>
        <v>35691.260730239585</v>
      </c>
      <c r="I95" s="121">
        <f t="shared" si="17"/>
        <v>46295</v>
      </c>
      <c r="K95" s="122"/>
    </row>
    <row r="96" spans="1:18" x14ac:dyDescent="0.15">
      <c r="A96" s="67">
        <f t="shared" si="11"/>
        <v>70</v>
      </c>
      <c r="B96" s="108">
        <f t="shared" si="18"/>
        <v>35691.260730239585</v>
      </c>
      <c r="C96" s="108">
        <f t="shared" si="13"/>
        <v>1522.6591112050032</v>
      </c>
      <c r="D96" s="108">
        <f t="shared" si="12"/>
        <v>120.62324228275413</v>
      </c>
      <c r="E96" s="115">
        <f t="shared" si="14"/>
        <v>1402.0358689222492</v>
      </c>
      <c r="F96" s="115">
        <f t="shared" si="15"/>
        <v>0</v>
      </c>
      <c r="G96" s="115">
        <f t="shared" si="15"/>
        <v>0</v>
      </c>
      <c r="H96" s="115">
        <f t="shared" si="16"/>
        <v>34289.224861317336</v>
      </c>
      <c r="I96" s="121">
        <f t="shared" si="17"/>
        <v>46326</v>
      </c>
      <c r="K96" s="122"/>
    </row>
    <row r="97" spans="1:12" x14ac:dyDescent="0.15">
      <c r="A97" s="67">
        <f t="shared" si="11"/>
        <v>71</v>
      </c>
      <c r="B97" s="108">
        <f t="shared" si="18"/>
        <v>34289.224861317336</v>
      </c>
      <c r="C97" s="108">
        <f t="shared" si="13"/>
        <v>1522.6591112050032</v>
      </c>
      <c r="D97" s="108">
        <f t="shared" si="12"/>
        <v>115.88488031834099</v>
      </c>
      <c r="E97" s="115">
        <f t="shared" si="14"/>
        <v>1406.7742308866623</v>
      </c>
      <c r="F97" s="115">
        <f t="shared" si="15"/>
        <v>0</v>
      </c>
      <c r="G97" s="115">
        <f t="shared" si="15"/>
        <v>0</v>
      </c>
      <c r="H97" s="115">
        <f t="shared" si="16"/>
        <v>32882.450630430671</v>
      </c>
      <c r="I97" s="121">
        <f>+I96+28</f>
        <v>46354</v>
      </c>
    </row>
    <row r="98" spans="1:12" x14ac:dyDescent="0.15">
      <c r="A98" s="67">
        <f t="shared" si="11"/>
        <v>72</v>
      </c>
      <c r="B98" s="108">
        <f t="shared" si="18"/>
        <v>32882.450630430671</v>
      </c>
      <c r="C98" s="108">
        <f>+C97</f>
        <v>1522.6591112050032</v>
      </c>
      <c r="D98" s="108">
        <f t="shared" si="12"/>
        <v>111.13050444543698</v>
      </c>
      <c r="E98" s="115">
        <f t="shared" si="14"/>
        <v>1411.5286067595662</v>
      </c>
      <c r="F98" s="115">
        <f t="shared" si="15"/>
        <v>0</v>
      </c>
      <c r="G98" s="115">
        <f t="shared" si="15"/>
        <v>0</v>
      </c>
      <c r="H98" s="115">
        <f t="shared" si="16"/>
        <v>31470.922023671104</v>
      </c>
      <c r="I98" s="121">
        <f t="shared" si="17"/>
        <v>46385</v>
      </c>
      <c r="K98" s="115">
        <f>SUM(C87:C98)</f>
        <v>18271.909334460037</v>
      </c>
    </row>
    <row r="99" spans="1:12" x14ac:dyDescent="0.15">
      <c r="A99" s="67">
        <f t="shared" si="11"/>
        <v>73</v>
      </c>
      <c r="B99" s="108">
        <f t="shared" si="18"/>
        <v>31470.922023671104</v>
      </c>
      <c r="C99" s="108">
        <f>+C98</f>
        <v>1522.6591112050032</v>
      </c>
      <c r="D99" s="108">
        <f t="shared" si="12"/>
        <v>106.36006054296251</v>
      </c>
      <c r="E99" s="115">
        <f t="shared" si="14"/>
        <v>1416.2990506620408</v>
      </c>
      <c r="F99" s="115">
        <f t="shared" si="15"/>
        <v>0</v>
      </c>
      <c r="G99" s="115">
        <f t="shared" si="15"/>
        <v>0</v>
      </c>
      <c r="H99" s="115">
        <f t="shared" si="16"/>
        <v>30054.622973009064</v>
      </c>
      <c r="I99" s="121">
        <f t="shared" si="17"/>
        <v>46416</v>
      </c>
    </row>
    <row r="100" spans="1:12" x14ac:dyDescent="0.15">
      <c r="A100" s="67">
        <f t="shared" si="11"/>
        <v>74</v>
      </c>
      <c r="B100" s="108">
        <f t="shared" si="18"/>
        <v>30054.622973009064</v>
      </c>
      <c r="C100" s="108">
        <f>+C99</f>
        <v>1522.6591112050032</v>
      </c>
      <c r="D100" s="108">
        <f t="shared" si="12"/>
        <v>101.57349430692877</v>
      </c>
      <c r="E100" s="115">
        <f t="shared" si="14"/>
        <v>1421.0856168980745</v>
      </c>
      <c r="F100" s="115">
        <f t="shared" si="15"/>
        <v>0</v>
      </c>
      <c r="G100" s="115">
        <f t="shared" si="15"/>
        <v>0</v>
      </c>
      <c r="H100" s="115">
        <f t="shared" si="16"/>
        <v>28633.537356110988</v>
      </c>
      <c r="I100" s="121">
        <f>+I99+24</f>
        <v>46440</v>
      </c>
    </row>
    <row r="101" spans="1:12" x14ac:dyDescent="0.15">
      <c r="A101" s="67">
        <f t="shared" si="11"/>
        <v>75</v>
      </c>
      <c r="B101" s="108">
        <f t="shared" si="18"/>
        <v>28633.537356110988</v>
      </c>
      <c r="C101" s="108">
        <f t="shared" si="13"/>
        <v>1522.6591112050032</v>
      </c>
      <c r="D101" s="108">
        <f t="shared" si="12"/>
        <v>96.770751249819526</v>
      </c>
      <c r="E101" s="115">
        <f t="shared" si="14"/>
        <v>1425.8883599551837</v>
      </c>
      <c r="F101" s="115">
        <f t="shared" si="15"/>
        <v>0</v>
      </c>
      <c r="G101" s="115">
        <f t="shared" si="15"/>
        <v>0</v>
      </c>
      <c r="H101" s="115">
        <f t="shared" si="16"/>
        <v>27207.648996155804</v>
      </c>
      <c r="I101" s="121">
        <f t="shared" si="17"/>
        <v>46471</v>
      </c>
    </row>
    <row r="102" spans="1:12" x14ac:dyDescent="0.15">
      <c r="A102" s="67">
        <f t="shared" si="11"/>
        <v>76</v>
      </c>
      <c r="B102" s="108">
        <f t="shared" si="18"/>
        <v>27207.648996155804</v>
      </c>
      <c r="C102" s="108">
        <f>+C101</f>
        <v>1522.6591112050032</v>
      </c>
      <c r="D102" s="108">
        <f t="shared" si="12"/>
        <v>91.951776699970992</v>
      </c>
      <c r="E102" s="115">
        <f t="shared" si="14"/>
        <v>1430.7073345050321</v>
      </c>
      <c r="F102" s="115">
        <f t="shared" si="15"/>
        <v>0</v>
      </c>
      <c r="G102" s="115">
        <f t="shared" si="15"/>
        <v>0</v>
      </c>
      <c r="H102" s="115">
        <f t="shared" si="16"/>
        <v>25776.941661650773</v>
      </c>
      <c r="I102" s="121">
        <f t="shared" si="17"/>
        <v>46502</v>
      </c>
      <c r="K102" s="115"/>
    </row>
    <row r="103" spans="1:12" x14ac:dyDescent="0.15">
      <c r="A103" s="67">
        <f t="shared" si="11"/>
        <v>77</v>
      </c>
      <c r="B103" s="108">
        <f t="shared" si="18"/>
        <v>25776.941661650773</v>
      </c>
      <c r="C103" s="108">
        <f t="shared" si="13"/>
        <v>1522.6591112050032</v>
      </c>
      <c r="D103" s="108">
        <f t="shared" si="12"/>
        <v>87.116515800949358</v>
      </c>
      <c r="E103" s="115">
        <f t="shared" si="14"/>
        <v>1435.5425954040538</v>
      </c>
      <c r="F103" s="115">
        <f t="shared" si="15"/>
        <v>0</v>
      </c>
      <c r="G103" s="115">
        <f t="shared" si="15"/>
        <v>0</v>
      </c>
      <c r="H103" s="115">
        <f t="shared" si="16"/>
        <v>24341.399066246719</v>
      </c>
      <c r="I103" s="121">
        <f t="shared" si="17"/>
        <v>46533</v>
      </c>
    </row>
    <row r="104" spans="1:12" x14ac:dyDescent="0.15">
      <c r="A104" s="67">
        <f t="shared" si="11"/>
        <v>78</v>
      </c>
      <c r="B104" s="108">
        <f t="shared" si="18"/>
        <v>24341.399066246719</v>
      </c>
      <c r="C104" s="108">
        <f>+C103</f>
        <v>1522.6591112050032</v>
      </c>
      <c r="D104" s="108">
        <f t="shared" si="12"/>
        <v>82.264913510926405</v>
      </c>
      <c r="E104" s="115">
        <f t="shared" si="14"/>
        <v>1440.3941976940769</v>
      </c>
      <c r="F104" s="115">
        <f t="shared" si="15"/>
        <v>0</v>
      </c>
      <c r="G104" s="115">
        <f t="shared" si="15"/>
        <v>0</v>
      </c>
      <c r="H104" s="115">
        <f t="shared" si="16"/>
        <v>22901.004868552642</v>
      </c>
      <c r="I104" s="121">
        <f t="shared" si="17"/>
        <v>46564</v>
      </c>
    </row>
    <row r="105" spans="1:12" x14ac:dyDescent="0.15">
      <c r="A105" s="67">
        <f t="shared" si="11"/>
        <v>79</v>
      </c>
      <c r="B105" s="108">
        <f t="shared" si="18"/>
        <v>22901.004868552642</v>
      </c>
      <c r="C105" s="108">
        <f t="shared" si="13"/>
        <v>1522.6591112050032</v>
      </c>
      <c r="D105" s="108">
        <f t="shared" si="12"/>
        <v>77.396914602052902</v>
      </c>
      <c r="E105" s="115">
        <f t="shared" si="14"/>
        <v>1445.2621966029503</v>
      </c>
      <c r="F105" s="115">
        <f t="shared" si="15"/>
        <v>0</v>
      </c>
      <c r="G105" s="115">
        <f t="shared" si="15"/>
        <v>0</v>
      </c>
      <c r="H105" s="115">
        <f t="shared" si="16"/>
        <v>21455.742671949691</v>
      </c>
      <c r="I105" s="121">
        <f t="shared" si="17"/>
        <v>46595</v>
      </c>
    </row>
    <row r="106" spans="1:12" x14ac:dyDescent="0.15">
      <c r="A106" s="67">
        <f t="shared" si="11"/>
        <v>80</v>
      </c>
      <c r="B106" s="108">
        <f t="shared" si="18"/>
        <v>21455.742671949691</v>
      </c>
      <c r="C106" s="108">
        <f t="shared" si="13"/>
        <v>1522.6591112050032</v>
      </c>
      <c r="D106" s="108">
        <f t="shared" si="12"/>
        <v>72.512463659829976</v>
      </c>
      <c r="E106" s="115">
        <f t="shared" si="14"/>
        <v>1450.1466475451732</v>
      </c>
      <c r="F106" s="115">
        <f t="shared" si="15"/>
        <v>0</v>
      </c>
      <c r="G106" s="115">
        <f t="shared" si="15"/>
        <v>0</v>
      </c>
      <c r="H106" s="115">
        <f t="shared" si="16"/>
        <v>20005.596024404516</v>
      </c>
      <c r="I106" s="121">
        <f t="shared" si="17"/>
        <v>46626</v>
      </c>
    </row>
    <row r="107" spans="1:12" x14ac:dyDescent="0.15">
      <c r="A107" s="67">
        <f t="shared" si="11"/>
        <v>81</v>
      </c>
      <c r="B107" s="108">
        <f t="shared" si="18"/>
        <v>20005.596024404516</v>
      </c>
      <c r="C107" s="108">
        <f t="shared" si="13"/>
        <v>1522.6591112050032</v>
      </c>
      <c r="D107" s="108">
        <f t="shared" si="12"/>
        <v>67.611505082478217</v>
      </c>
      <c r="E107" s="115">
        <f t="shared" si="14"/>
        <v>1455.0476061225249</v>
      </c>
      <c r="F107" s="115">
        <f t="shared" si="15"/>
        <v>0</v>
      </c>
      <c r="G107" s="115">
        <f t="shared" si="15"/>
        <v>0</v>
      </c>
      <c r="H107" s="115">
        <f t="shared" si="16"/>
        <v>18550.548418281993</v>
      </c>
      <c r="I107" s="121">
        <f t="shared" si="17"/>
        <v>46657</v>
      </c>
      <c r="K107" s="115"/>
    </row>
    <row r="108" spans="1:12" x14ac:dyDescent="0.15">
      <c r="A108" s="67">
        <f t="shared" si="11"/>
        <v>82</v>
      </c>
      <c r="B108" s="108">
        <f t="shared" si="18"/>
        <v>18550.548418281993</v>
      </c>
      <c r="C108" s="108">
        <f t="shared" si="13"/>
        <v>1522.6591112050032</v>
      </c>
      <c r="D108" s="108">
        <f t="shared" si="12"/>
        <v>62.693983080304882</v>
      </c>
      <c r="E108" s="115">
        <f t="shared" si="14"/>
        <v>1459.9651281246984</v>
      </c>
      <c r="F108" s="115">
        <f t="shared" si="15"/>
        <v>0</v>
      </c>
      <c r="G108" s="115">
        <f t="shared" si="15"/>
        <v>0</v>
      </c>
      <c r="H108" s="115">
        <f t="shared" si="16"/>
        <v>17090.583290157294</v>
      </c>
      <c r="I108" s="121">
        <f t="shared" si="17"/>
        <v>46688</v>
      </c>
    </row>
    <row r="109" spans="1:12" x14ac:dyDescent="0.15">
      <c r="A109" s="67">
        <f t="shared" si="11"/>
        <v>83</v>
      </c>
      <c r="B109" s="108">
        <f t="shared" si="18"/>
        <v>17090.583290157294</v>
      </c>
      <c r="C109" s="108">
        <f t="shared" si="13"/>
        <v>1522.6591112050032</v>
      </c>
      <c r="D109" s="108">
        <f t="shared" si="12"/>
        <v>57.759841675068628</v>
      </c>
      <c r="E109" s="115">
        <f t="shared" si="14"/>
        <v>1464.8992695299346</v>
      </c>
      <c r="F109" s="115">
        <v>0</v>
      </c>
      <c r="G109" s="115">
        <f t="shared" si="15"/>
        <v>0</v>
      </c>
      <c r="H109" s="115">
        <f t="shared" si="16"/>
        <v>15625.684020627359</v>
      </c>
      <c r="I109" s="121">
        <f t="shared" si="17"/>
        <v>46719</v>
      </c>
      <c r="K109" s="115"/>
    </row>
    <row r="110" spans="1:12" x14ac:dyDescent="0.15">
      <c r="A110" s="67">
        <f t="shared" si="11"/>
        <v>84</v>
      </c>
      <c r="B110" s="108">
        <f t="shared" si="18"/>
        <v>15625.684020627359</v>
      </c>
      <c r="C110" s="108">
        <f>+C109</f>
        <v>1522.6591112050032</v>
      </c>
      <c r="D110" s="108">
        <f t="shared" si="12"/>
        <v>52.809024699342466</v>
      </c>
      <c r="E110" s="115">
        <f t="shared" si="14"/>
        <v>1469.8500865056608</v>
      </c>
      <c r="F110" s="115">
        <v>0</v>
      </c>
      <c r="G110" s="115">
        <f>+G109</f>
        <v>0</v>
      </c>
      <c r="H110" s="115">
        <f t="shared" si="16"/>
        <v>14155.833934121698</v>
      </c>
      <c r="I110" s="121">
        <f t="shared" si="17"/>
        <v>46750</v>
      </c>
      <c r="K110" s="115">
        <f>SUM(C99:C110)</f>
        <v>18271.909334460037</v>
      </c>
      <c r="L110" s="115">
        <v>53051.95</v>
      </c>
    </row>
    <row r="111" spans="1:12" x14ac:dyDescent="0.15">
      <c r="A111" s="67">
        <f t="shared" si="11"/>
        <v>85</v>
      </c>
      <c r="B111" s="108">
        <f>+H110</f>
        <v>14155.833934121698</v>
      </c>
      <c r="C111" s="108">
        <v>14200</v>
      </c>
      <c r="D111" s="108">
        <f t="shared" si="12"/>
        <v>47.841475795874253</v>
      </c>
      <c r="E111" s="115">
        <f>+C111-D111-F111-G111</f>
        <v>14152.158524204126</v>
      </c>
      <c r="F111" s="115">
        <v>0</v>
      </c>
      <c r="G111" s="115">
        <f>+G110</f>
        <v>0</v>
      </c>
      <c r="H111" s="115">
        <f>+B111-E111</f>
        <v>3.675409917572324</v>
      </c>
      <c r="I111" s="121">
        <f t="shared" si="17"/>
        <v>46781</v>
      </c>
      <c r="K111" s="115">
        <f>+C111</f>
        <v>14200</v>
      </c>
    </row>
    <row r="112" spans="1:12" x14ac:dyDescent="0.15">
      <c r="B112" s="108"/>
      <c r="C112" s="108"/>
      <c r="D112" s="108"/>
      <c r="E112" s="115"/>
      <c r="F112" s="115"/>
      <c r="G112" s="115"/>
      <c r="H112" s="115"/>
      <c r="I112" s="121"/>
    </row>
    <row r="113" spans="2:12" x14ac:dyDescent="0.15">
      <c r="B113" s="108"/>
      <c r="C113" s="108"/>
      <c r="D113" s="108"/>
      <c r="E113" s="115"/>
      <c r="F113" s="115"/>
      <c r="G113" s="115"/>
      <c r="H113" s="115"/>
      <c r="I113" s="121"/>
      <c r="K113" s="120">
        <f>SUM(K28:K111)</f>
        <v>140580.70623001526</v>
      </c>
      <c r="L113" s="120"/>
    </row>
    <row r="114" spans="2:12" x14ac:dyDescent="0.15">
      <c r="B114" s="108"/>
      <c r="C114" s="108"/>
      <c r="D114" s="108"/>
      <c r="E114" s="115"/>
      <c r="F114" s="115"/>
      <c r="G114" s="115"/>
      <c r="H114" s="115"/>
      <c r="I114" s="121"/>
      <c r="K114" s="120"/>
    </row>
    <row r="115" spans="2:12" x14ac:dyDescent="0.15">
      <c r="B115" s="108"/>
      <c r="C115" s="108"/>
      <c r="D115" s="108"/>
      <c r="E115" s="115"/>
      <c r="F115" s="115"/>
      <c r="G115" s="115"/>
      <c r="H115" s="115" t="s">
        <v>148</v>
      </c>
      <c r="I115" s="397"/>
      <c r="K115" s="115">
        <f>SUM(D75:D111)</f>
        <v>5070.0445478191932</v>
      </c>
    </row>
    <row r="116" spans="2:12" x14ac:dyDescent="0.15">
      <c r="B116" s="108"/>
      <c r="C116" s="108"/>
      <c r="D116" s="108"/>
      <c r="E116" s="115"/>
      <c r="F116" s="115"/>
      <c r="G116" s="115"/>
      <c r="H116" s="115"/>
      <c r="I116" s="121"/>
    </row>
    <row r="117" spans="2:12" x14ac:dyDescent="0.15">
      <c r="B117" s="108"/>
      <c r="C117" s="108"/>
      <c r="D117" s="108"/>
      <c r="E117" s="115"/>
      <c r="F117" s="115"/>
      <c r="G117" s="115"/>
      <c r="H117" s="115"/>
      <c r="I117" s="121"/>
    </row>
    <row r="118" spans="2:12" x14ac:dyDescent="0.15">
      <c r="B118" s="108"/>
      <c r="C118" s="108"/>
      <c r="D118" s="108"/>
      <c r="E118" s="115"/>
      <c r="F118" s="115"/>
      <c r="G118" s="115"/>
      <c r="H118" s="115"/>
      <c r="I118" s="121"/>
    </row>
    <row r="119" spans="2:12" x14ac:dyDescent="0.15">
      <c r="B119" s="108"/>
      <c r="C119" s="108"/>
      <c r="D119" s="108"/>
      <c r="E119" s="115"/>
      <c r="F119" s="115"/>
      <c r="G119" s="115"/>
      <c r="H119" s="115"/>
      <c r="I119" s="121"/>
    </row>
    <row r="120" spans="2:12" x14ac:dyDescent="0.15">
      <c r="B120" s="108"/>
      <c r="C120" s="108"/>
      <c r="D120" s="108"/>
      <c r="E120" s="115"/>
      <c r="F120" s="115"/>
      <c r="G120" s="115"/>
      <c r="H120" s="115"/>
      <c r="I120" s="121"/>
    </row>
    <row r="121" spans="2:12" x14ac:dyDescent="0.15">
      <c r="B121" s="108"/>
      <c r="C121" s="108"/>
      <c r="D121" s="108"/>
      <c r="E121" s="115"/>
      <c r="F121" s="115"/>
      <c r="G121" s="115"/>
      <c r="H121" s="115"/>
      <c r="I121" s="121"/>
    </row>
    <row r="122" spans="2:12" x14ac:dyDescent="0.15">
      <c r="B122" s="108"/>
      <c r="C122" s="108"/>
      <c r="D122" s="108"/>
      <c r="E122" s="115"/>
      <c r="F122" s="115"/>
      <c r="G122" s="115"/>
      <c r="H122" s="115"/>
      <c r="I122" s="121"/>
    </row>
    <row r="123" spans="2:12" x14ac:dyDescent="0.15">
      <c r="B123" s="108"/>
      <c r="C123" s="108"/>
      <c r="D123" s="108"/>
      <c r="E123" s="115"/>
      <c r="F123" s="115"/>
      <c r="G123" s="115"/>
      <c r="H123" s="115"/>
      <c r="I123" s="121"/>
    </row>
    <row r="124" spans="2:12" x14ac:dyDescent="0.15">
      <c r="B124" s="108"/>
      <c r="C124" s="108"/>
      <c r="D124" s="108"/>
      <c r="E124" s="115"/>
      <c r="F124" s="115"/>
      <c r="G124" s="115"/>
      <c r="H124" s="115"/>
      <c r="I124" s="121"/>
    </row>
    <row r="125" spans="2:12" x14ac:dyDescent="0.15">
      <c r="B125" s="108"/>
      <c r="C125" s="108"/>
      <c r="D125" s="108"/>
      <c r="E125" s="115"/>
      <c r="F125" s="115"/>
      <c r="G125" s="115"/>
      <c r="H125" s="115"/>
      <c r="I125" s="121"/>
    </row>
    <row r="126" spans="2:12" x14ac:dyDescent="0.15">
      <c r="B126" s="108"/>
      <c r="C126" s="108"/>
      <c r="D126" s="108"/>
      <c r="E126" s="115"/>
      <c r="F126" s="115"/>
      <c r="G126" s="115"/>
      <c r="H126" s="115"/>
      <c r="I126" s="121"/>
    </row>
    <row r="127" spans="2:12" x14ac:dyDescent="0.15">
      <c r="B127" s="108"/>
      <c r="C127" s="108"/>
      <c r="D127" s="108"/>
      <c r="E127" s="115"/>
      <c r="F127" s="115"/>
      <c r="G127" s="115"/>
      <c r="H127" s="115"/>
      <c r="I127" s="121"/>
    </row>
    <row r="128" spans="2:12" x14ac:dyDescent="0.15">
      <c r="B128" s="108"/>
      <c r="C128" s="108"/>
      <c r="D128" s="108"/>
      <c r="E128" s="115"/>
      <c r="F128" s="115"/>
      <c r="G128" s="115"/>
      <c r="H128" s="115"/>
      <c r="I128" s="121"/>
    </row>
    <row r="129" spans="2:9" x14ac:dyDescent="0.15">
      <c r="B129" s="108"/>
      <c r="C129" s="108"/>
      <c r="D129" s="108"/>
      <c r="E129" s="115"/>
      <c r="F129" s="115"/>
      <c r="G129" s="115"/>
      <c r="H129" s="115"/>
      <c r="I129" s="121"/>
    </row>
    <row r="130" spans="2:9" x14ac:dyDescent="0.15">
      <c r="B130" s="108"/>
      <c r="C130" s="108"/>
      <c r="D130" s="108"/>
      <c r="E130" s="115"/>
      <c r="F130" s="115"/>
      <c r="G130" s="115"/>
      <c r="H130" s="115"/>
      <c r="I130" s="121"/>
    </row>
    <row r="131" spans="2:9" x14ac:dyDescent="0.15">
      <c r="B131" s="108"/>
      <c r="C131" s="108"/>
      <c r="D131" s="108"/>
      <c r="E131" s="115"/>
      <c r="F131" s="115"/>
      <c r="G131" s="115"/>
      <c r="H131" s="115"/>
      <c r="I131" s="121"/>
    </row>
    <row r="132" spans="2:9" x14ac:dyDescent="0.15">
      <c r="B132" s="108"/>
      <c r="C132" s="108"/>
      <c r="D132" s="108"/>
      <c r="E132" s="115"/>
      <c r="F132" s="115"/>
      <c r="G132" s="115"/>
      <c r="H132" s="115"/>
      <c r="I132" s="121"/>
    </row>
    <row r="133" spans="2:9" x14ac:dyDescent="0.15">
      <c r="B133" s="108"/>
      <c r="C133" s="108"/>
      <c r="D133" s="108"/>
      <c r="E133" s="115"/>
      <c r="F133" s="115"/>
      <c r="G133" s="115"/>
      <c r="H133" s="115"/>
      <c r="I133" s="121"/>
    </row>
    <row r="134" spans="2:9" x14ac:dyDescent="0.15">
      <c r="B134" s="108"/>
      <c r="C134" s="108"/>
      <c r="D134" s="108"/>
      <c r="E134" s="115"/>
      <c r="F134" s="115"/>
      <c r="G134" s="115"/>
      <c r="H134" s="115"/>
      <c r="I134" s="121"/>
    </row>
    <row r="135" spans="2:9" x14ac:dyDescent="0.15">
      <c r="B135" s="108"/>
      <c r="C135" s="108"/>
      <c r="D135" s="108"/>
      <c r="E135" s="115"/>
      <c r="F135" s="115"/>
      <c r="G135" s="115"/>
      <c r="H135" s="115"/>
      <c r="I135" s="121"/>
    </row>
    <row r="136" spans="2:9" x14ac:dyDescent="0.15">
      <c r="B136" s="108"/>
      <c r="C136" s="108"/>
      <c r="D136" s="108"/>
      <c r="E136" s="115"/>
      <c r="F136" s="115"/>
      <c r="G136" s="115"/>
      <c r="H136" s="115"/>
      <c r="I136" s="121"/>
    </row>
    <row r="137" spans="2:9" x14ac:dyDescent="0.15">
      <c r="B137" s="108"/>
      <c r="C137" s="108"/>
      <c r="D137" s="108"/>
      <c r="E137" s="115"/>
      <c r="F137" s="115"/>
      <c r="G137" s="115"/>
      <c r="H137" s="115"/>
      <c r="I137" s="121"/>
    </row>
    <row r="138" spans="2:9" x14ac:dyDescent="0.15">
      <c r="B138" s="108"/>
      <c r="C138" s="108"/>
      <c r="D138" s="108"/>
      <c r="E138" s="115"/>
      <c r="F138" s="115"/>
      <c r="G138" s="115"/>
      <c r="H138" s="115"/>
      <c r="I138" s="121"/>
    </row>
    <row r="139" spans="2:9" x14ac:dyDescent="0.15">
      <c r="B139" s="108"/>
      <c r="C139" s="108"/>
      <c r="D139" s="108"/>
      <c r="E139" s="115"/>
      <c r="F139" s="115"/>
      <c r="G139" s="115"/>
      <c r="H139" s="115"/>
      <c r="I139" s="121"/>
    </row>
    <row r="140" spans="2:9" x14ac:dyDescent="0.15">
      <c r="B140" s="108"/>
      <c r="C140" s="108"/>
      <c r="D140" s="108"/>
      <c r="E140" s="115"/>
      <c r="F140" s="115"/>
      <c r="G140" s="115"/>
      <c r="H140" s="115"/>
      <c r="I140" s="121"/>
    </row>
    <row r="141" spans="2:9" x14ac:dyDescent="0.15">
      <c r="B141" s="108"/>
      <c r="C141" s="108"/>
      <c r="D141" s="108"/>
      <c r="E141" s="115"/>
      <c r="F141" s="115"/>
      <c r="G141" s="115"/>
      <c r="H141" s="115"/>
      <c r="I141" s="121"/>
    </row>
    <row r="142" spans="2:9" x14ac:dyDescent="0.15">
      <c r="B142" s="108"/>
      <c r="C142" s="108"/>
      <c r="D142" s="108"/>
      <c r="E142" s="115"/>
      <c r="F142" s="115"/>
      <c r="G142" s="115"/>
      <c r="H142" s="115"/>
      <c r="I142" s="121"/>
    </row>
    <row r="143" spans="2:9" x14ac:dyDescent="0.15">
      <c r="B143" s="108"/>
      <c r="C143" s="108"/>
      <c r="D143" s="108"/>
      <c r="E143" s="115"/>
      <c r="F143" s="115"/>
      <c r="G143" s="115"/>
      <c r="H143" s="115"/>
      <c r="I143" s="121"/>
    </row>
    <row r="144" spans="2:9" x14ac:dyDescent="0.15">
      <c r="B144" s="108"/>
      <c r="C144" s="108"/>
      <c r="D144" s="108"/>
      <c r="E144" s="115"/>
      <c r="F144" s="115"/>
      <c r="G144" s="115"/>
      <c r="H144" s="115"/>
      <c r="I144" s="121"/>
    </row>
    <row r="145" spans="2:9" x14ac:dyDescent="0.15">
      <c r="B145" s="108"/>
      <c r="C145" s="108"/>
      <c r="D145" s="108"/>
      <c r="E145" s="115"/>
      <c r="F145" s="115"/>
      <c r="G145" s="115"/>
      <c r="H145" s="115"/>
      <c r="I145" s="121"/>
    </row>
    <row r="146" spans="2:9" x14ac:dyDescent="0.15">
      <c r="B146" s="108"/>
      <c r="C146" s="108"/>
      <c r="D146" s="108"/>
      <c r="E146" s="115"/>
      <c r="F146" s="115"/>
      <c r="G146" s="115"/>
      <c r="H146" s="115"/>
      <c r="I146" s="121"/>
    </row>
    <row r="147" spans="2:9" x14ac:dyDescent="0.15">
      <c r="B147" s="108"/>
      <c r="C147" s="108"/>
      <c r="D147" s="108"/>
      <c r="E147" s="115"/>
      <c r="F147" s="115"/>
      <c r="G147" s="115"/>
      <c r="H147" s="115"/>
      <c r="I147" s="121"/>
    </row>
    <row r="148" spans="2:9" x14ac:dyDescent="0.15">
      <c r="B148" s="108"/>
      <c r="C148" s="108"/>
      <c r="D148" s="108"/>
      <c r="E148" s="115"/>
      <c r="F148" s="115"/>
      <c r="G148" s="115"/>
      <c r="H148" s="115"/>
      <c r="I148" s="121"/>
    </row>
    <row r="149" spans="2:9" x14ac:dyDescent="0.15">
      <c r="B149" s="108"/>
      <c r="C149" s="108"/>
      <c r="D149" s="108"/>
      <c r="E149" s="115"/>
      <c r="F149" s="115"/>
      <c r="G149" s="115"/>
      <c r="H149" s="115"/>
      <c r="I149" s="121"/>
    </row>
    <row r="150" spans="2:9" x14ac:dyDescent="0.15">
      <c r="B150" s="108"/>
      <c r="C150" s="108"/>
      <c r="D150" s="108"/>
      <c r="E150" s="115"/>
      <c r="F150" s="115"/>
      <c r="G150" s="115"/>
      <c r="H150" s="115"/>
      <c r="I150" s="121"/>
    </row>
    <row r="151" spans="2:9" x14ac:dyDescent="0.15">
      <c r="B151" s="108"/>
      <c r="C151" s="108"/>
      <c r="D151" s="108"/>
      <c r="E151" s="115"/>
      <c r="F151" s="115"/>
      <c r="G151" s="115"/>
      <c r="H151" s="115"/>
      <c r="I151" s="121"/>
    </row>
    <row r="152" spans="2:9" x14ac:dyDescent="0.15">
      <c r="B152" s="108"/>
      <c r="C152" s="108"/>
      <c r="D152" s="108"/>
      <c r="E152" s="115"/>
      <c r="F152" s="115"/>
      <c r="G152" s="115"/>
      <c r="H152" s="115"/>
      <c r="I152" s="121"/>
    </row>
    <row r="153" spans="2:9" x14ac:dyDescent="0.15">
      <c r="B153" s="108"/>
      <c r="C153" s="108"/>
      <c r="D153" s="108"/>
      <c r="E153" s="115"/>
      <c r="F153" s="115"/>
      <c r="G153" s="115"/>
      <c r="H153" s="115"/>
      <c r="I153" s="121"/>
    </row>
    <row r="154" spans="2:9" x14ac:dyDescent="0.15">
      <c r="B154" s="108"/>
      <c r="C154" s="108"/>
      <c r="D154" s="108"/>
      <c r="E154" s="115"/>
      <c r="F154" s="115"/>
      <c r="G154" s="115"/>
      <c r="H154" s="115"/>
      <c r="I154" s="121"/>
    </row>
    <row r="155" spans="2:9" x14ac:dyDescent="0.15">
      <c r="B155" s="108"/>
      <c r="C155" s="108"/>
      <c r="D155" s="108"/>
      <c r="E155" s="115"/>
      <c r="F155" s="115"/>
      <c r="G155" s="115"/>
      <c r="H155" s="115"/>
      <c r="I155" s="121"/>
    </row>
    <row r="156" spans="2:9" x14ac:dyDescent="0.15">
      <c r="B156" s="108"/>
      <c r="C156" s="108"/>
      <c r="D156" s="108"/>
      <c r="E156" s="115"/>
      <c r="F156" s="115"/>
      <c r="G156" s="115"/>
      <c r="H156" s="115"/>
      <c r="I156" s="121"/>
    </row>
    <row r="157" spans="2:9" x14ac:dyDescent="0.15">
      <c r="B157" s="108"/>
      <c r="C157" s="108"/>
      <c r="D157" s="108"/>
      <c r="E157" s="115"/>
      <c r="F157" s="115"/>
      <c r="G157" s="115"/>
      <c r="H157" s="115"/>
      <c r="I157" s="121"/>
    </row>
    <row r="158" spans="2:9" x14ac:dyDescent="0.15">
      <c r="B158" s="108"/>
      <c r="C158" s="108"/>
      <c r="D158" s="108"/>
      <c r="E158" s="115"/>
      <c r="F158" s="115"/>
      <c r="G158" s="115"/>
      <c r="H158" s="115"/>
      <c r="I158" s="121"/>
    </row>
    <row r="159" spans="2:9" x14ac:dyDescent="0.15">
      <c r="B159" s="108"/>
      <c r="C159" s="108"/>
      <c r="D159" s="108"/>
      <c r="E159" s="115"/>
      <c r="F159" s="115"/>
      <c r="G159" s="115"/>
      <c r="H159" s="115"/>
      <c r="I159" s="121"/>
    </row>
    <row r="160" spans="2:9" x14ac:dyDescent="0.15">
      <c r="B160" s="108"/>
      <c r="C160" s="108"/>
      <c r="D160" s="108"/>
      <c r="E160" s="115"/>
      <c r="F160" s="115"/>
      <c r="G160" s="115"/>
      <c r="H160" s="115"/>
      <c r="I160" s="121"/>
    </row>
    <row r="161" spans="2:9" x14ac:dyDescent="0.15">
      <c r="B161" s="108"/>
      <c r="C161" s="108"/>
      <c r="D161" s="108"/>
      <c r="E161" s="115"/>
      <c r="F161" s="115"/>
      <c r="G161" s="115"/>
      <c r="H161" s="115"/>
      <c r="I161" s="121"/>
    </row>
    <row r="162" spans="2:9" x14ac:dyDescent="0.15">
      <c r="B162" s="108"/>
      <c r="C162" s="108"/>
      <c r="D162" s="108"/>
      <c r="E162" s="115"/>
      <c r="F162" s="115"/>
      <c r="G162" s="115"/>
      <c r="H162" s="115"/>
      <c r="I162" s="121"/>
    </row>
    <row r="163" spans="2:9" x14ac:dyDescent="0.15">
      <c r="B163" s="108"/>
      <c r="C163" s="108"/>
      <c r="D163" s="108"/>
      <c r="E163" s="115"/>
      <c r="F163" s="115"/>
      <c r="G163" s="115"/>
      <c r="H163" s="115"/>
      <c r="I163" s="121"/>
    </row>
    <row r="164" spans="2:9" x14ac:dyDescent="0.15">
      <c r="B164" s="108"/>
      <c r="C164" s="108"/>
      <c r="D164" s="108"/>
      <c r="E164" s="115"/>
      <c r="F164" s="115"/>
      <c r="G164" s="115"/>
      <c r="H164" s="115"/>
      <c r="I164" s="121"/>
    </row>
    <row r="165" spans="2:9" x14ac:dyDescent="0.15">
      <c r="B165" s="108"/>
      <c r="C165" s="108"/>
      <c r="D165" s="108"/>
      <c r="E165" s="115"/>
      <c r="F165" s="115"/>
      <c r="G165" s="115"/>
      <c r="H165" s="115"/>
      <c r="I165" s="121"/>
    </row>
    <row r="166" spans="2:9" x14ac:dyDescent="0.15">
      <c r="B166" s="108"/>
      <c r="C166" s="108"/>
      <c r="D166" s="108"/>
      <c r="E166" s="115"/>
      <c r="F166" s="115"/>
      <c r="G166" s="115"/>
      <c r="H166" s="115"/>
      <c r="I166" s="121"/>
    </row>
    <row r="167" spans="2:9" x14ac:dyDescent="0.15">
      <c r="B167" s="108"/>
      <c r="C167" s="108"/>
      <c r="D167" s="108"/>
      <c r="E167" s="115"/>
      <c r="F167" s="115"/>
      <c r="G167" s="115"/>
      <c r="H167" s="115"/>
      <c r="I167" s="121"/>
    </row>
    <row r="168" spans="2:9" x14ac:dyDescent="0.15">
      <c r="B168" s="108"/>
      <c r="C168" s="108"/>
      <c r="D168" s="108"/>
      <c r="E168" s="115"/>
      <c r="F168" s="115"/>
      <c r="G168" s="115"/>
      <c r="H168" s="115"/>
      <c r="I168" s="121"/>
    </row>
    <row r="169" spans="2:9" x14ac:dyDescent="0.15">
      <c r="B169" s="108"/>
      <c r="C169" s="108"/>
      <c r="D169" s="108"/>
      <c r="E169" s="115"/>
      <c r="F169" s="115"/>
      <c r="G169" s="115"/>
      <c r="H169" s="115"/>
      <c r="I169" s="121"/>
    </row>
    <row r="170" spans="2:9" x14ac:dyDescent="0.15">
      <c r="B170" s="108"/>
      <c r="C170" s="108"/>
      <c r="D170" s="108"/>
      <c r="E170" s="115"/>
      <c r="F170" s="115"/>
      <c r="G170" s="115"/>
      <c r="H170" s="115"/>
      <c r="I170" s="121"/>
    </row>
    <row r="171" spans="2:9" x14ac:dyDescent="0.15">
      <c r="B171" s="108"/>
      <c r="C171" s="108"/>
      <c r="D171" s="108"/>
      <c r="E171" s="115"/>
      <c r="F171" s="115"/>
      <c r="G171" s="115"/>
      <c r="H171" s="115"/>
      <c r="I171" s="121"/>
    </row>
    <row r="172" spans="2:9" x14ac:dyDescent="0.15">
      <c r="B172" s="108"/>
      <c r="C172" s="108"/>
      <c r="D172" s="108"/>
      <c r="E172" s="115"/>
      <c r="F172" s="115"/>
      <c r="G172" s="115"/>
      <c r="H172" s="115"/>
      <c r="I172" s="121"/>
    </row>
    <row r="173" spans="2:9" x14ac:dyDescent="0.15">
      <c r="B173" s="108"/>
      <c r="C173" s="108"/>
      <c r="D173" s="108"/>
      <c r="E173" s="115"/>
      <c r="F173" s="115"/>
      <c r="G173" s="115"/>
      <c r="H173" s="115"/>
      <c r="I173" s="121"/>
    </row>
    <row r="174" spans="2:9" x14ac:dyDescent="0.15">
      <c r="B174" s="108"/>
      <c r="C174" s="108"/>
      <c r="D174" s="108"/>
      <c r="E174" s="115"/>
      <c r="F174" s="115"/>
      <c r="G174" s="115"/>
      <c r="H174" s="115"/>
      <c r="I174" s="121"/>
    </row>
    <row r="175" spans="2:9" x14ac:dyDescent="0.15">
      <c r="B175" s="108"/>
      <c r="C175" s="108"/>
      <c r="D175" s="108"/>
      <c r="E175" s="115"/>
      <c r="F175" s="115"/>
      <c r="G175" s="115"/>
      <c r="H175" s="115"/>
      <c r="I175" s="121"/>
    </row>
    <row r="176" spans="2:9" x14ac:dyDescent="0.15">
      <c r="B176" s="108"/>
      <c r="C176" s="108"/>
      <c r="D176" s="108"/>
      <c r="E176" s="115"/>
      <c r="F176" s="115"/>
      <c r="G176" s="115"/>
      <c r="H176" s="115"/>
      <c r="I176" s="121"/>
    </row>
    <row r="177" spans="2:9" x14ac:dyDescent="0.15">
      <c r="B177" s="108"/>
      <c r="C177" s="108"/>
      <c r="D177" s="108"/>
      <c r="E177" s="115"/>
      <c r="F177" s="115"/>
      <c r="G177" s="115"/>
      <c r="H177" s="115"/>
      <c r="I177" s="121"/>
    </row>
    <row r="178" spans="2:9" x14ac:dyDescent="0.15">
      <c r="B178" s="108"/>
      <c r="C178" s="108"/>
      <c r="D178" s="108"/>
      <c r="E178" s="115"/>
      <c r="F178" s="115"/>
      <c r="G178" s="115"/>
      <c r="H178" s="115"/>
      <c r="I178" s="121"/>
    </row>
    <row r="179" spans="2:9" x14ac:dyDescent="0.15">
      <c r="B179" s="108"/>
      <c r="C179" s="108"/>
      <c r="D179" s="108"/>
      <c r="E179" s="115"/>
      <c r="F179" s="115"/>
      <c r="G179" s="115"/>
      <c r="H179" s="115"/>
      <c r="I179" s="121"/>
    </row>
    <row r="180" spans="2:9" x14ac:dyDescent="0.15">
      <c r="B180" s="108"/>
      <c r="C180" s="108"/>
      <c r="D180" s="108"/>
      <c r="E180" s="115"/>
      <c r="F180" s="115"/>
      <c r="G180" s="115"/>
      <c r="H180" s="115"/>
      <c r="I180" s="121"/>
    </row>
    <row r="181" spans="2:9" x14ac:dyDescent="0.15">
      <c r="B181" s="108"/>
      <c r="C181" s="108"/>
      <c r="D181" s="108"/>
      <c r="E181" s="115"/>
      <c r="F181" s="115"/>
      <c r="G181" s="115"/>
      <c r="H181" s="115"/>
      <c r="I181" s="121"/>
    </row>
    <row r="182" spans="2:9" x14ac:dyDescent="0.15">
      <c r="B182" s="108"/>
      <c r="C182" s="108"/>
      <c r="D182" s="108"/>
      <c r="E182" s="115"/>
      <c r="F182" s="115"/>
      <c r="G182" s="115"/>
      <c r="H182" s="115"/>
      <c r="I182" s="121"/>
    </row>
    <row r="183" spans="2:9" x14ac:dyDescent="0.15">
      <c r="B183" s="108"/>
      <c r="C183" s="108"/>
      <c r="D183" s="108"/>
      <c r="E183" s="115"/>
      <c r="F183" s="115"/>
      <c r="G183" s="115"/>
      <c r="H183" s="115"/>
      <c r="I183" s="121"/>
    </row>
    <row r="184" spans="2:9" x14ac:dyDescent="0.15">
      <c r="B184" s="108"/>
      <c r="C184" s="108"/>
      <c r="D184" s="108"/>
      <c r="E184" s="115"/>
      <c r="F184" s="115"/>
      <c r="G184" s="115"/>
      <c r="H184" s="115"/>
      <c r="I184" s="121"/>
    </row>
    <row r="185" spans="2:9" x14ac:dyDescent="0.15">
      <c r="B185" s="108"/>
      <c r="C185" s="108"/>
      <c r="D185" s="108"/>
      <c r="E185" s="115"/>
      <c r="F185" s="115"/>
      <c r="G185" s="115"/>
      <c r="H185" s="115"/>
      <c r="I185" s="121"/>
    </row>
    <row r="186" spans="2:9" x14ac:dyDescent="0.15">
      <c r="B186" s="108"/>
      <c r="C186" s="108"/>
      <c r="D186" s="108"/>
      <c r="E186" s="115"/>
      <c r="F186" s="115"/>
      <c r="G186" s="115"/>
      <c r="H186" s="115"/>
      <c r="I186" s="121"/>
    </row>
    <row r="187" spans="2:9" x14ac:dyDescent="0.15">
      <c r="B187" s="108"/>
      <c r="C187" s="108"/>
      <c r="D187" s="108"/>
      <c r="E187" s="115"/>
      <c r="F187" s="115"/>
      <c r="G187" s="115"/>
      <c r="H187" s="115"/>
      <c r="I187" s="121"/>
    </row>
    <row r="188" spans="2:9" x14ac:dyDescent="0.15">
      <c r="B188" s="108"/>
      <c r="C188" s="108"/>
      <c r="D188" s="108"/>
      <c r="E188" s="115"/>
      <c r="F188" s="115"/>
      <c r="G188" s="115"/>
      <c r="H188" s="115"/>
      <c r="I188" s="121"/>
    </row>
    <row r="189" spans="2:9" x14ac:dyDescent="0.15">
      <c r="B189" s="108"/>
      <c r="C189" s="108"/>
      <c r="D189" s="108"/>
      <c r="E189" s="115"/>
      <c r="F189" s="115"/>
      <c r="G189" s="115"/>
      <c r="H189" s="115"/>
      <c r="I189" s="121"/>
    </row>
    <row r="190" spans="2:9" x14ac:dyDescent="0.15">
      <c r="B190" s="108"/>
      <c r="C190" s="108"/>
      <c r="D190" s="108"/>
      <c r="E190" s="115"/>
      <c r="F190" s="115"/>
      <c r="G190" s="115"/>
      <c r="H190" s="115"/>
      <c r="I190" s="121"/>
    </row>
    <row r="191" spans="2:9" x14ac:dyDescent="0.15">
      <c r="B191" s="108"/>
      <c r="C191" s="108"/>
      <c r="D191" s="108"/>
      <c r="E191" s="115"/>
      <c r="F191" s="115"/>
      <c r="G191" s="115"/>
      <c r="H191" s="115"/>
      <c r="I191" s="121"/>
    </row>
    <row r="192" spans="2:9" x14ac:dyDescent="0.15">
      <c r="B192" s="108"/>
      <c r="C192" s="108"/>
      <c r="D192" s="108"/>
      <c r="E192" s="115"/>
      <c r="F192" s="115"/>
      <c r="G192" s="115"/>
      <c r="H192" s="115"/>
      <c r="I192" s="121"/>
    </row>
    <row r="193" spans="2:9" x14ac:dyDescent="0.15">
      <c r="B193" s="108"/>
      <c r="C193" s="108"/>
      <c r="D193" s="108"/>
      <c r="E193" s="115"/>
      <c r="F193" s="115"/>
      <c r="G193" s="115"/>
      <c r="H193" s="115"/>
      <c r="I193" s="121"/>
    </row>
    <row r="194" spans="2:9" x14ac:dyDescent="0.15">
      <c r="B194" s="108"/>
      <c r="C194" s="108"/>
      <c r="D194" s="108"/>
      <c r="E194" s="115"/>
      <c r="F194" s="115"/>
      <c r="G194" s="115"/>
      <c r="H194" s="115"/>
      <c r="I194" s="121"/>
    </row>
    <row r="195" spans="2:9" x14ac:dyDescent="0.15">
      <c r="B195" s="108"/>
      <c r="C195" s="108"/>
      <c r="D195" s="108"/>
      <c r="E195" s="115"/>
      <c r="F195" s="115"/>
      <c r="G195" s="115"/>
      <c r="H195" s="115"/>
      <c r="I195" s="121"/>
    </row>
    <row r="196" spans="2:9" x14ac:dyDescent="0.15">
      <c r="B196" s="108"/>
      <c r="C196" s="108"/>
      <c r="D196" s="108"/>
      <c r="E196" s="115"/>
      <c r="F196" s="115"/>
      <c r="G196" s="115"/>
      <c r="H196" s="115"/>
      <c r="I196" s="121"/>
    </row>
    <row r="197" spans="2:9" x14ac:dyDescent="0.15">
      <c r="B197" s="108"/>
      <c r="C197" s="108"/>
      <c r="D197" s="108"/>
      <c r="E197" s="115"/>
      <c r="F197" s="115"/>
      <c r="G197" s="115"/>
      <c r="H197" s="115"/>
      <c r="I197" s="121"/>
    </row>
    <row r="198" spans="2:9" x14ac:dyDescent="0.15">
      <c r="B198" s="108"/>
      <c r="C198" s="108"/>
      <c r="D198" s="108"/>
      <c r="E198" s="115"/>
      <c r="F198" s="115"/>
      <c r="G198" s="115"/>
      <c r="H198" s="115"/>
      <c r="I198" s="121"/>
    </row>
    <row r="199" spans="2:9" x14ac:dyDescent="0.15">
      <c r="B199" s="108"/>
      <c r="C199" s="108"/>
      <c r="D199" s="108"/>
      <c r="E199" s="115"/>
      <c r="F199" s="115"/>
      <c r="G199" s="115"/>
      <c r="H199" s="115"/>
      <c r="I199" s="121"/>
    </row>
    <row r="200" spans="2:9" x14ac:dyDescent="0.15">
      <c r="B200" s="108"/>
      <c r="C200" s="108"/>
      <c r="D200" s="108"/>
      <c r="E200" s="115"/>
      <c r="F200" s="115"/>
      <c r="G200" s="115"/>
      <c r="H200" s="115"/>
      <c r="I200" s="121"/>
    </row>
    <row r="201" spans="2:9" x14ac:dyDescent="0.15">
      <c r="B201" s="108"/>
      <c r="C201" s="108"/>
      <c r="D201" s="108"/>
      <c r="E201" s="115"/>
      <c r="F201" s="115"/>
      <c r="G201" s="115"/>
      <c r="H201" s="115"/>
      <c r="I201" s="121"/>
    </row>
    <row r="202" spans="2:9" x14ac:dyDescent="0.15">
      <c r="B202" s="108"/>
      <c r="C202" s="108"/>
      <c r="D202" s="108"/>
      <c r="E202" s="115"/>
      <c r="F202" s="115"/>
      <c r="G202" s="115"/>
      <c r="H202" s="115"/>
      <c r="I202" s="121"/>
    </row>
    <row r="203" spans="2:9" x14ac:dyDescent="0.15">
      <c r="B203" s="108"/>
      <c r="C203" s="108"/>
      <c r="D203" s="108"/>
      <c r="E203" s="115"/>
      <c r="F203" s="115"/>
      <c r="G203" s="115"/>
      <c r="H203" s="115"/>
      <c r="I203" s="121"/>
    </row>
    <row r="204" spans="2:9" x14ac:dyDescent="0.15">
      <c r="B204" s="108"/>
      <c r="C204" s="108"/>
      <c r="D204" s="108"/>
      <c r="E204" s="115"/>
      <c r="F204" s="115"/>
      <c r="G204" s="115"/>
      <c r="H204" s="115"/>
      <c r="I204" s="121"/>
    </row>
    <row r="205" spans="2:9" x14ac:dyDescent="0.15">
      <c r="B205" s="108"/>
      <c r="C205" s="108"/>
      <c r="D205" s="108"/>
      <c r="E205" s="115"/>
      <c r="F205" s="115"/>
      <c r="G205" s="115"/>
      <c r="H205" s="115"/>
      <c r="I205" s="121"/>
    </row>
    <row r="206" spans="2:9" x14ac:dyDescent="0.15">
      <c r="B206" s="108"/>
      <c r="C206" s="108"/>
      <c r="D206" s="108"/>
      <c r="E206" s="115"/>
      <c r="F206" s="115"/>
      <c r="G206" s="115"/>
      <c r="H206" s="115"/>
      <c r="I206" s="121"/>
    </row>
    <row r="207" spans="2:9" x14ac:dyDescent="0.15">
      <c r="B207" s="108"/>
      <c r="C207" s="108"/>
      <c r="D207" s="108"/>
      <c r="E207" s="115"/>
      <c r="F207" s="115"/>
      <c r="G207" s="115"/>
      <c r="H207" s="115"/>
      <c r="I207" s="121"/>
    </row>
    <row r="208" spans="2:9" x14ac:dyDescent="0.15">
      <c r="B208" s="108"/>
      <c r="C208" s="108"/>
      <c r="D208" s="108"/>
      <c r="E208" s="115"/>
      <c r="F208" s="115"/>
      <c r="G208" s="115"/>
      <c r="H208" s="115"/>
      <c r="I208" s="121"/>
    </row>
    <row r="209" spans="2:9" x14ac:dyDescent="0.15">
      <c r="B209" s="108"/>
      <c r="C209" s="108"/>
      <c r="D209" s="108"/>
      <c r="E209" s="115"/>
      <c r="F209" s="115"/>
      <c r="G209" s="115"/>
      <c r="H209" s="115"/>
      <c r="I209" s="121"/>
    </row>
    <row r="210" spans="2:9" x14ac:dyDescent="0.15">
      <c r="B210" s="108"/>
      <c r="C210" s="108"/>
      <c r="D210" s="108"/>
      <c r="E210" s="115"/>
      <c r="F210" s="115"/>
      <c r="G210" s="115"/>
      <c r="H210" s="115"/>
      <c r="I210" s="121"/>
    </row>
    <row r="211" spans="2:9" x14ac:dyDescent="0.15">
      <c r="B211" s="108"/>
      <c r="C211" s="108"/>
      <c r="D211" s="108"/>
      <c r="E211" s="115"/>
      <c r="F211" s="115"/>
      <c r="G211" s="115"/>
      <c r="H211" s="115"/>
      <c r="I211" s="121"/>
    </row>
    <row r="212" spans="2:9" x14ac:dyDescent="0.15">
      <c r="B212" s="108"/>
      <c r="C212" s="108"/>
      <c r="D212" s="108"/>
      <c r="E212" s="115"/>
      <c r="F212" s="115"/>
      <c r="G212" s="115"/>
      <c r="H212" s="115"/>
      <c r="I212" s="121"/>
    </row>
    <row r="213" spans="2:9" x14ac:dyDescent="0.15">
      <c r="B213" s="108"/>
      <c r="C213" s="108"/>
      <c r="D213" s="108"/>
      <c r="E213" s="115"/>
      <c r="F213" s="115"/>
      <c r="G213" s="115"/>
      <c r="H213" s="115"/>
      <c r="I213" s="121"/>
    </row>
    <row r="214" spans="2:9" x14ac:dyDescent="0.15">
      <c r="B214" s="108"/>
      <c r="C214" s="108"/>
      <c r="D214" s="108"/>
      <c r="E214" s="115"/>
      <c r="F214" s="115"/>
      <c r="G214" s="115"/>
      <c r="H214" s="115"/>
      <c r="I214" s="121"/>
    </row>
    <row r="215" spans="2:9" x14ac:dyDescent="0.15">
      <c r="B215" s="108"/>
      <c r="C215" s="108"/>
      <c r="D215" s="108"/>
      <c r="E215" s="115"/>
      <c r="F215" s="115"/>
      <c r="G215" s="115"/>
      <c r="H215" s="115"/>
      <c r="I215" s="121"/>
    </row>
    <row r="216" spans="2:9" x14ac:dyDescent="0.15">
      <c r="B216" s="108"/>
      <c r="C216" s="108"/>
      <c r="D216" s="108"/>
      <c r="E216" s="115"/>
      <c r="F216" s="115"/>
      <c r="G216" s="115"/>
      <c r="H216" s="115"/>
      <c r="I216" s="121"/>
    </row>
    <row r="217" spans="2:9" x14ac:dyDescent="0.15">
      <c r="B217" s="108"/>
      <c r="C217" s="108"/>
      <c r="D217" s="108"/>
      <c r="E217" s="115"/>
      <c r="F217" s="115"/>
      <c r="G217" s="115"/>
      <c r="H217" s="115"/>
      <c r="I217" s="121"/>
    </row>
    <row r="218" spans="2:9" x14ac:dyDescent="0.15">
      <c r="B218" s="108"/>
      <c r="C218" s="108"/>
      <c r="D218" s="108"/>
      <c r="E218" s="115"/>
      <c r="F218" s="115"/>
      <c r="G218" s="115"/>
      <c r="H218" s="115"/>
      <c r="I218" s="121"/>
    </row>
    <row r="219" spans="2:9" x14ac:dyDescent="0.15">
      <c r="B219" s="108"/>
      <c r="C219" s="108"/>
      <c r="D219" s="108"/>
      <c r="E219" s="115"/>
      <c r="F219" s="115"/>
      <c r="G219" s="115"/>
      <c r="H219" s="115"/>
      <c r="I219" s="121"/>
    </row>
    <row r="220" spans="2:9" x14ac:dyDescent="0.15">
      <c r="B220" s="108"/>
      <c r="C220" s="108"/>
      <c r="D220" s="108"/>
      <c r="E220" s="115"/>
      <c r="F220" s="115"/>
      <c r="G220" s="115"/>
      <c r="H220" s="115"/>
      <c r="I220" s="121"/>
    </row>
    <row r="221" spans="2:9" x14ac:dyDescent="0.15">
      <c r="B221" s="108"/>
      <c r="C221" s="108"/>
      <c r="D221" s="108"/>
      <c r="E221" s="115"/>
      <c r="F221" s="115"/>
      <c r="G221" s="115"/>
      <c r="H221" s="115"/>
      <c r="I221" s="121"/>
    </row>
    <row r="222" spans="2:9" x14ac:dyDescent="0.15">
      <c r="B222" s="108"/>
      <c r="C222" s="108"/>
      <c r="D222" s="108"/>
      <c r="E222" s="115"/>
      <c r="F222" s="115"/>
      <c r="G222" s="115"/>
      <c r="H222" s="115"/>
      <c r="I222" s="121"/>
    </row>
    <row r="223" spans="2:9" x14ac:dyDescent="0.15">
      <c r="B223" s="108"/>
      <c r="C223" s="108"/>
      <c r="D223" s="108"/>
      <c r="E223" s="115"/>
      <c r="F223" s="115"/>
      <c r="G223" s="115"/>
      <c r="H223" s="115"/>
      <c r="I223" s="121"/>
    </row>
    <row r="224" spans="2:9" x14ac:dyDescent="0.15">
      <c r="B224" s="108"/>
      <c r="C224" s="108"/>
      <c r="D224" s="108"/>
      <c r="E224" s="115"/>
      <c r="F224" s="115"/>
      <c r="G224" s="115"/>
      <c r="H224" s="115"/>
      <c r="I224" s="121"/>
    </row>
    <row r="225" spans="2:9" x14ac:dyDescent="0.15">
      <c r="B225" s="108"/>
      <c r="C225" s="108"/>
      <c r="D225" s="108"/>
      <c r="E225" s="115"/>
      <c r="F225" s="115"/>
      <c r="G225" s="115"/>
      <c r="H225" s="115"/>
      <c r="I225" s="121"/>
    </row>
    <row r="226" spans="2:9" x14ac:dyDescent="0.15">
      <c r="B226" s="108"/>
      <c r="C226" s="108"/>
      <c r="D226" s="108"/>
      <c r="E226" s="115"/>
      <c r="F226" s="115"/>
      <c r="G226" s="115"/>
      <c r="H226" s="115"/>
      <c r="I226" s="121"/>
    </row>
    <row r="227" spans="2:9" x14ac:dyDescent="0.15">
      <c r="B227" s="108"/>
      <c r="C227" s="108"/>
      <c r="D227" s="108"/>
      <c r="E227" s="115"/>
      <c r="F227" s="115"/>
      <c r="G227" s="115"/>
      <c r="H227" s="115"/>
      <c r="I227" s="121"/>
    </row>
    <row r="228" spans="2:9" x14ac:dyDescent="0.15">
      <c r="B228" s="108"/>
      <c r="C228" s="108"/>
      <c r="D228" s="108"/>
      <c r="E228" s="115"/>
      <c r="F228" s="115"/>
      <c r="G228" s="115"/>
      <c r="H228" s="115"/>
      <c r="I228" s="121"/>
    </row>
    <row r="229" spans="2:9" x14ac:dyDescent="0.15">
      <c r="B229" s="108"/>
      <c r="C229" s="108"/>
      <c r="D229" s="108"/>
      <c r="E229" s="115"/>
      <c r="F229" s="115"/>
      <c r="G229" s="115"/>
      <c r="H229" s="115"/>
      <c r="I229" s="121"/>
    </row>
    <row r="230" spans="2:9" x14ac:dyDescent="0.15">
      <c r="B230" s="108"/>
      <c r="C230" s="108"/>
      <c r="D230" s="108"/>
      <c r="E230" s="115"/>
      <c r="F230" s="115"/>
      <c r="G230" s="115"/>
      <c r="H230" s="115"/>
      <c r="I230" s="121"/>
    </row>
    <row r="231" spans="2:9" x14ac:dyDescent="0.15">
      <c r="B231" s="108"/>
      <c r="C231" s="108"/>
      <c r="D231" s="108"/>
      <c r="E231" s="115"/>
      <c r="F231" s="115"/>
      <c r="G231" s="115"/>
      <c r="H231" s="115"/>
      <c r="I231" s="121"/>
    </row>
    <row r="232" spans="2:9" x14ac:dyDescent="0.15">
      <c r="B232" s="108"/>
      <c r="C232" s="108"/>
      <c r="D232" s="108"/>
      <c r="E232" s="115"/>
      <c r="F232" s="115"/>
      <c r="G232" s="115"/>
      <c r="H232" s="115"/>
      <c r="I232" s="121"/>
    </row>
    <row r="233" spans="2:9" x14ac:dyDescent="0.15">
      <c r="B233" s="108"/>
      <c r="C233" s="108"/>
      <c r="D233" s="108"/>
      <c r="E233" s="115"/>
      <c r="F233" s="115"/>
      <c r="G233" s="115"/>
      <c r="H233" s="115"/>
      <c r="I233" s="121"/>
    </row>
    <row r="234" spans="2:9" x14ac:dyDescent="0.15">
      <c r="B234" s="108"/>
      <c r="C234" s="108"/>
      <c r="D234" s="108"/>
      <c r="E234" s="115"/>
      <c r="F234" s="115"/>
      <c r="G234" s="115"/>
      <c r="H234" s="115"/>
      <c r="I234" s="121"/>
    </row>
    <row r="235" spans="2:9" x14ac:dyDescent="0.15">
      <c r="B235" s="108"/>
      <c r="C235" s="108"/>
      <c r="D235" s="108"/>
      <c r="E235" s="115"/>
      <c r="F235" s="115"/>
      <c r="G235" s="115"/>
      <c r="H235" s="115"/>
      <c r="I235" s="121"/>
    </row>
    <row r="236" spans="2:9" x14ac:dyDescent="0.15">
      <c r="B236" s="108"/>
      <c r="C236" s="108"/>
      <c r="D236" s="108"/>
      <c r="E236" s="115"/>
      <c r="F236" s="115"/>
      <c r="G236" s="115"/>
      <c r="H236" s="115"/>
      <c r="I236" s="121"/>
    </row>
    <row r="237" spans="2:9" x14ac:dyDescent="0.15">
      <c r="B237" s="108"/>
      <c r="C237" s="108"/>
      <c r="D237" s="108"/>
      <c r="E237" s="115"/>
      <c r="F237" s="115"/>
      <c r="G237" s="115"/>
      <c r="H237" s="115"/>
      <c r="I237" s="121"/>
    </row>
    <row r="238" spans="2:9" x14ac:dyDescent="0.15">
      <c r="B238" s="108"/>
      <c r="C238" s="108"/>
      <c r="D238" s="108"/>
      <c r="E238" s="115"/>
      <c r="F238" s="115"/>
      <c r="G238" s="115"/>
      <c r="H238" s="115"/>
      <c r="I238" s="121"/>
    </row>
    <row r="239" spans="2:9" x14ac:dyDescent="0.15">
      <c r="B239" s="108"/>
      <c r="C239" s="108"/>
      <c r="D239" s="108"/>
      <c r="E239" s="115"/>
      <c r="F239" s="115"/>
      <c r="G239" s="115"/>
      <c r="H239" s="115"/>
      <c r="I239" s="121"/>
    </row>
    <row r="240" spans="2:9" x14ac:dyDescent="0.15">
      <c r="B240" s="108"/>
      <c r="C240" s="108"/>
      <c r="D240" s="108"/>
      <c r="E240" s="115"/>
      <c r="F240" s="115"/>
      <c r="G240" s="115"/>
      <c r="H240" s="115"/>
      <c r="I240" s="121"/>
    </row>
    <row r="241" spans="2:9" x14ac:dyDescent="0.15">
      <c r="B241" s="108"/>
      <c r="C241" s="108"/>
      <c r="D241" s="108"/>
      <c r="E241" s="115"/>
      <c r="F241" s="115"/>
      <c r="G241" s="115"/>
      <c r="H241" s="115"/>
      <c r="I241" s="121"/>
    </row>
    <row r="242" spans="2:9" x14ac:dyDescent="0.15">
      <c r="B242" s="108"/>
      <c r="C242" s="108"/>
      <c r="D242" s="108"/>
      <c r="E242" s="115"/>
      <c r="F242" s="115"/>
      <c r="G242" s="115"/>
      <c r="H242" s="115"/>
      <c r="I242" s="121"/>
    </row>
    <row r="243" spans="2:9" x14ac:dyDescent="0.15">
      <c r="B243" s="108"/>
      <c r="C243" s="108"/>
      <c r="D243" s="108"/>
      <c r="E243" s="115"/>
      <c r="F243" s="115"/>
      <c r="G243" s="115"/>
      <c r="H243" s="115"/>
      <c r="I243" s="121"/>
    </row>
    <row r="244" spans="2:9" x14ac:dyDescent="0.15">
      <c r="B244" s="108"/>
      <c r="C244" s="108"/>
      <c r="D244" s="108"/>
      <c r="E244" s="115"/>
      <c r="F244" s="115"/>
      <c r="G244" s="115"/>
      <c r="H244" s="115"/>
      <c r="I244" s="121"/>
    </row>
    <row r="245" spans="2:9" x14ac:dyDescent="0.15">
      <c r="B245" s="108"/>
      <c r="C245" s="108"/>
      <c r="D245" s="108"/>
      <c r="E245" s="115"/>
      <c r="F245" s="115"/>
      <c r="G245" s="115"/>
      <c r="H245" s="115"/>
      <c r="I245" s="121"/>
    </row>
    <row r="246" spans="2:9" x14ac:dyDescent="0.15">
      <c r="B246" s="108"/>
      <c r="C246" s="108"/>
      <c r="D246" s="108"/>
      <c r="E246" s="115"/>
      <c r="F246" s="115"/>
      <c r="G246" s="115"/>
      <c r="H246" s="115"/>
      <c r="I246" s="121"/>
    </row>
    <row r="247" spans="2:9" x14ac:dyDescent="0.15">
      <c r="B247" s="108"/>
      <c r="C247" s="108"/>
      <c r="D247" s="108"/>
      <c r="E247" s="115"/>
      <c r="F247" s="115"/>
      <c r="G247" s="115"/>
      <c r="H247" s="115"/>
      <c r="I247" s="121"/>
    </row>
    <row r="248" spans="2:9" x14ac:dyDescent="0.15">
      <c r="B248" s="108"/>
      <c r="C248" s="108"/>
      <c r="D248" s="108"/>
      <c r="E248" s="115"/>
      <c r="F248" s="115"/>
      <c r="G248" s="115"/>
      <c r="H248" s="115"/>
      <c r="I248" s="121"/>
    </row>
    <row r="249" spans="2:9" x14ac:dyDescent="0.15">
      <c r="B249" s="108"/>
      <c r="C249" s="108"/>
      <c r="D249" s="108"/>
      <c r="E249" s="115"/>
      <c r="F249" s="115"/>
      <c r="G249" s="115"/>
      <c r="H249" s="115"/>
      <c r="I249" s="121"/>
    </row>
    <row r="250" spans="2:9" x14ac:dyDescent="0.15">
      <c r="B250" s="108"/>
      <c r="C250" s="108"/>
      <c r="D250" s="108"/>
      <c r="E250" s="115"/>
      <c r="F250" s="115"/>
      <c r="G250" s="115"/>
      <c r="H250" s="115"/>
      <c r="I250" s="121"/>
    </row>
    <row r="251" spans="2:9" x14ac:dyDescent="0.15">
      <c r="B251" s="108"/>
      <c r="C251" s="108"/>
      <c r="D251" s="108"/>
      <c r="E251" s="115"/>
      <c r="F251" s="115"/>
      <c r="G251" s="115"/>
      <c r="H251" s="115"/>
      <c r="I251" s="121"/>
    </row>
    <row r="252" spans="2:9" x14ac:dyDescent="0.15">
      <c r="B252" s="108"/>
      <c r="C252" s="108"/>
      <c r="D252" s="108"/>
      <c r="E252" s="115"/>
      <c r="F252" s="115"/>
      <c r="G252" s="115"/>
      <c r="H252" s="115"/>
      <c r="I252" s="121"/>
    </row>
    <row r="253" spans="2:9" x14ac:dyDescent="0.15">
      <c r="B253" s="108"/>
      <c r="C253" s="108"/>
      <c r="D253" s="108"/>
      <c r="E253" s="115"/>
      <c r="F253" s="115"/>
      <c r="G253" s="115"/>
      <c r="H253" s="115"/>
      <c r="I253" s="121"/>
    </row>
    <row r="254" spans="2:9" x14ac:dyDescent="0.15">
      <c r="B254" s="108"/>
      <c r="C254" s="108"/>
      <c r="D254" s="108"/>
      <c r="E254" s="115"/>
      <c r="F254" s="115"/>
      <c r="G254" s="115"/>
      <c r="H254" s="115"/>
      <c r="I254" s="121"/>
    </row>
    <row r="255" spans="2:9" x14ac:dyDescent="0.15">
      <c r="B255" s="108"/>
      <c r="C255" s="108"/>
      <c r="D255" s="108"/>
      <c r="E255" s="115"/>
      <c r="F255" s="115"/>
      <c r="G255" s="115"/>
      <c r="H255" s="115"/>
      <c r="I255" s="121"/>
    </row>
    <row r="256" spans="2:9" x14ac:dyDescent="0.15">
      <c r="B256" s="108"/>
      <c r="C256" s="108"/>
      <c r="D256" s="108"/>
      <c r="E256" s="115"/>
      <c r="F256" s="115"/>
      <c r="G256" s="115"/>
      <c r="H256" s="115"/>
      <c r="I256" s="121"/>
    </row>
    <row r="257" spans="2:9" x14ac:dyDescent="0.15">
      <c r="B257" s="108"/>
      <c r="C257" s="108"/>
      <c r="D257" s="108"/>
      <c r="E257" s="115"/>
      <c r="F257" s="115"/>
      <c r="G257" s="115"/>
      <c r="H257" s="115"/>
      <c r="I257" s="121"/>
    </row>
    <row r="258" spans="2:9" x14ac:dyDescent="0.15">
      <c r="B258" s="108"/>
      <c r="C258" s="108"/>
      <c r="D258" s="108"/>
      <c r="E258" s="115"/>
      <c r="F258" s="115"/>
      <c r="G258" s="115"/>
      <c r="H258" s="115"/>
      <c r="I258" s="121"/>
    </row>
    <row r="259" spans="2:9" x14ac:dyDescent="0.15">
      <c r="B259" s="108"/>
      <c r="C259" s="108"/>
      <c r="D259" s="108"/>
      <c r="E259" s="115"/>
      <c r="F259" s="115"/>
      <c r="G259" s="115"/>
      <c r="H259" s="115"/>
      <c r="I259" s="121"/>
    </row>
    <row r="260" spans="2:9" x14ac:dyDescent="0.15">
      <c r="B260" s="108"/>
      <c r="C260" s="108"/>
      <c r="D260" s="108"/>
      <c r="E260" s="115"/>
      <c r="F260" s="115"/>
      <c r="G260" s="115"/>
      <c r="H260" s="115"/>
      <c r="I260" s="121"/>
    </row>
    <row r="261" spans="2:9" x14ac:dyDescent="0.15">
      <c r="B261" s="108"/>
      <c r="C261" s="108"/>
      <c r="D261" s="108"/>
      <c r="E261" s="115"/>
      <c r="F261" s="115"/>
      <c r="G261" s="115"/>
      <c r="H261" s="115"/>
      <c r="I261" s="121"/>
    </row>
    <row r="262" spans="2:9" x14ac:dyDescent="0.15">
      <c r="B262" s="108"/>
      <c r="C262" s="108"/>
      <c r="D262" s="108"/>
      <c r="E262" s="115"/>
      <c r="F262" s="115"/>
      <c r="G262" s="115"/>
      <c r="H262" s="115"/>
      <c r="I262" s="121"/>
    </row>
    <row r="263" spans="2:9" x14ac:dyDescent="0.15">
      <c r="B263" s="108"/>
      <c r="C263" s="108"/>
      <c r="D263" s="108"/>
      <c r="E263" s="115"/>
      <c r="F263" s="115"/>
      <c r="G263" s="115"/>
      <c r="H263" s="115"/>
      <c r="I263" s="121"/>
    </row>
    <row r="264" spans="2:9" x14ac:dyDescent="0.15">
      <c r="B264" s="108"/>
      <c r="C264" s="108"/>
      <c r="D264" s="108"/>
      <c r="E264" s="115"/>
      <c r="F264" s="115"/>
      <c r="G264" s="115"/>
      <c r="H264" s="115"/>
      <c r="I264" s="121"/>
    </row>
    <row r="265" spans="2:9" x14ac:dyDescent="0.15">
      <c r="B265" s="108"/>
      <c r="C265" s="108"/>
      <c r="D265" s="108"/>
      <c r="E265" s="115"/>
      <c r="F265" s="115"/>
      <c r="G265" s="115"/>
      <c r="H265" s="115"/>
      <c r="I265" s="121"/>
    </row>
    <row r="266" spans="2:9" x14ac:dyDescent="0.15">
      <c r="B266" s="108"/>
      <c r="C266" s="108"/>
      <c r="D266" s="108"/>
      <c r="E266" s="115"/>
      <c r="F266" s="115"/>
      <c r="G266" s="115"/>
      <c r="H266" s="115"/>
      <c r="I266" s="121"/>
    </row>
    <row r="267" spans="2:9" x14ac:dyDescent="0.15">
      <c r="B267" s="108"/>
      <c r="C267" s="108"/>
      <c r="D267" s="108"/>
      <c r="E267" s="115"/>
      <c r="F267" s="115"/>
      <c r="G267" s="115"/>
      <c r="H267" s="115"/>
      <c r="I267" s="121"/>
    </row>
    <row r="268" spans="2:9" x14ac:dyDescent="0.15">
      <c r="B268" s="108"/>
      <c r="C268" s="108"/>
      <c r="D268" s="108"/>
      <c r="E268" s="115"/>
      <c r="F268" s="115"/>
      <c r="G268" s="115"/>
      <c r="H268" s="115"/>
      <c r="I268" s="121"/>
    </row>
    <row r="269" spans="2:9" x14ac:dyDescent="0.15">
      <c r="B269" s="108"/>
      <c r="C269" s="108"/>
      <c r="D269" s="108"/>
      <c r="E269" s="115"/>
      <c r="F269" s="115"/>
      <c r="G269" s="115"/>
      <c r="H269" s="115"/>
      <c r="I269" s="121"/>
    </row>
    <row r="270" spans="2:9" x14ac:dyDescent="0.15">
      <c r="B270" s="108"/>
      <c r="C270" s="108"/>
      <c r="D270" s="108"/>
      <c r="E270" s="115"/>
      <c r="F270" s="115"/>
      <c r="G270" s="115"/>
      <c r="H270" s="115"/>
      <c r="I270" s="121"/>
    </row>
    <row r="271" spans="2:9" x14ac:dyDescent="0.15">
      <c r="B271" s="108"/>
      <c r="C271" s="108"/>
      <c r="D271" s="108"/>
      <c r="E271" s="115"/>
      <c r="F271" s="115"/>
      <c r="G271" s="115"/>
      <c r="H271" s="115"/>
      <c r="I271" s="121"/>
    </row>
    <row r="272" spans="2:9" x14ac:dyDescent="0.15">
      <c r="B272" s="108"/>
      <c r="C272" s="108"/>
      <c r="D272" s="108"/>
      <c r="E272" s="115"/>
      <c r="F272" s="115"/>
      <c r="G272" s="115"/>
      <c r="H272" s="115"/>
      <c r="I272" s="121"/>
    </row>
    <row r="273" spans="2:9" x14ac:dyDescent="0.15">
      <c r="B273" s="108"/>
      <c r="C273" s="108"/>
      <c r="D273" s="108"/>
      <c r="E273" s="115"/>
      <c r="F273" s="115"/>
      <c r="G273" s="115"/>
      <c r="H273" s="115"/>
      <c r="I273" s="121"/>
    </row>
    <row r="274" spans="2:9" x14ac:dyDescent="0.15">
      <c r="B274" s="108"/>
      <c r="C274" s="108"/>
      <c r="D274" s="108"/>
      <c r="E274" s="115"/>
      <c r="F274" s="115"/>
      <c r="G274" s="115"/>
      <c r="H274" s="115"/>
      <c r="I274" s="121"/>
    </row>
    <row r="275" spans="2:9" x14ac:dyDescent="0.15">
      <c r="B275" s="108"/>
      <c r="C275" s="108"/>
      <c r="D275" s="108"/>
      <c r="E275" s="115"/>
      <c r="F275" s="115"/>
      <c r="G275" s="115"/>
      <c r="H275" s="115"/>
      <c r="I275" s="121"/>
    </row>
    <row r="276" spans="2:9" x14ac:dyDescent="0.15">
      <c r="B276" s="108"/>
      <c r="C276" s="108"/>
      <c r="D276" s="108"/>
      <c r="E276" s="115"/>
      <c r="F276" s="115"/>
      <c r="G276" s="115"/>
      <c r="H276" s="115"/>
      <c r="I276" s="121"/>
    </row>
    <row r="277" spans="2:9" x14ac:dyDescent="0.15">
      <c r="B277" s="108"/>
      <c r="C277" s="108"/>
      <c r="D277" s="108"/>
      <c r="E277" s="115"/>
      <c r="F277" s="115"/>
      <c r="G277" s="115"/>
      <c r="H277" s="115"/>
      <c r="I277" s="121"/>
    </row>
    <row r="278" spans="2:9" x14ac:dyDescent="0.15">
      <c r="B278" s="108"/>
      <c r="C278" s="108"/>
      <c r="D278" s="108"/>
      <c r="E278" s="115"/>
      <c r="F278" s="115"/>
      <c r="G278" s="115"/>
      <c r="H278" s="115"/>
      <c r="I278" s="121"/>
    </row>
    <row r="279" spans="2:9" x14ac:dyDescent="0.15">
      <c r="B279" s="108"/>
      <c r="C279" s="108"/>
      <c r="D279" s="108"/>
      <c r="E279" s="115"/>
      <c r="F279" s="115"/>
      <c r="G279" s="115"/>
      <c r="H279" s="115"/>
      <c r="I279" s="121"/>
    </row>
    <row r="280" spans="2:9" x14ac:dyDescent="0.15">
      <c r="B280" s="108"/>
      <c r="C280" s="108"/>
      <c r="D280" s="108"/>
      <c r="E280" s="115"/>
      <c r="F280" s="115"/>
      <c r="G280" s="115"/>
      <c r="H280" s="115"/>
      <c r="I280" s="121"/>
    </row>
    <row r="281" spans="2:9" x14ac:dyDescent="0.15">
      <c r="B281" s="108"/>
      <c r="C281" s="108"/>
      <c r="D281" s="108"/>
      <c r="E281" s="115"/>
      <c r="F281" s="115"/>
      <c r="G281" s="115"/>
      <c r="H281" s="115"/>
      <c r="I281" s="121"/>
    </row>
    <row r="282" spans="2:9" x14ac:dyDescent="0.15">
      <c r="B282" s="108"/>
      <c r="C282" s="108"/>
      <c r="D282" s="108"/>
      <c r="E282" s="115"/>
      <c r="F282" s="115"/>
      <c r="G282" s="115"/>
      <c r="H282" s="115"/>
      <c r="I282" s="121"/>
    </row>
    <row r="283" spans="2:9" x14ac:dyDescent="0.15">
      <c r="B283" s="108"/>
      <c r="C283" s="108"/>
      <c r="D283" s="108"/>
      <c r="E283" s="115"/>
      <c r="F283" s="115"/>
      <c r="G283" s="115"/>
      <c r="H283" s="115"/>
      <c r="I283" s="121"/>
    </row>
    <row r="284" spans="2:9" x14ac:dyDescent="0.15">
      <c r="B284" s="108"/>
      <c r="C284" s="108"/>
      <c r="D284" s="108"/>
      <c r="E284" s="115"/>
      <c r="F284" s="115"/>
      <c r="G284" s="115"/>
      <c r="H284" s="115"/>
      <c r="I284" s="121"/>
    </row>
    <row r="285" spans="2:9" x14ac:dyDescent="0.15">
      <c r="B285" s="108"/>
      <c r="C285" s="108"/>
      <c r="D285" s="108"/>
      <c r="E285" s="115"/>
      <c r="F285" s="115"/>
      <c r="G285" s="115"/>
      <c r="H285" s="115"/>
      <c r="I285" s="121"/>
    </row>
    <row r="286" spans="2:9" x14ac:dyDescent="0.15">
      <c r="B286" s="108"/>
      <c r="C286" s="108"/>
      <c r="D286" s="108"/>
      <c r="E286" s="115"/>
      <c r="F286" s="115"/>
      <c r="G286" s="115"/>
      <c r="H286" s="115"/>
      <c r="I286" s="121"/>
    </row>
    <row r="287" spans="2:9" x14ac:dyDescent="0.15">
      <c r="B287" s="108"/>
      <c r="C287" s="108"/>
      <c r="D287" s="108"/>
      <c r="E287" s="115"/>
      <c r="F287" s="115"/>
      <c r="G287" s="115"/>
      <c r="H287" s="115"/>
      <c r="I287" s="121"/>
    </row>
    <row r="288" spans="2:9" x14ac:dyDescent="0.15">
      <c r="B288" s="108"/>
      <c r="C288" s="108"/>
      <c r="D288" s="108"/>
      <c r="E288" s="115"/>
      <c r="F288" s="115"/>
      <c r="G288" s="115"/>
      <c r="H288" s="115"/>
      <c r="I288" s="121"/>
    </row>
    <row r="289" spans="2:9" x14ac:dyDescent="0.15">
      <c r="B289" s="108"/>
      <c r="C289" s="108"/>
      <c r="D289" s="108"/>
      <c r="E289" s="115"/>
      <c r="F289" s="115"/>
      <c r="G289" s="115"/>
      <c r="H289" s="115"/>
      <c r="I289" s="121"/>
    </row>
    <row r="290" spans="2:9" x14ac:dyDescent="0.15">
      <c r="B290" s="108"/>
      <c r="C290" s="108"/>
      <c r="D290" s="108"/>
      <c r="E290" s="115"/>
      <c r="F290" s="115"/>
      <c r="G290" s="115"/>
      <c r="H290" s="115"/>
      <c r="I290" s="121"/>
    </row>
    <row r="291" spans="2:9" x14ac:dyDescent="0.15">
      <c r="B291" s="108"/>
      <c r="C291" s="108"/>
      <c r="D291" s="108"/>
      <c r="E291" s="115"/>
      <c r="F291" s="115"/>
      <c r="G291" s="115"/>
      <c r="H291" s="115"/>
      <c r="I291" s="121"/>
    </row>
    <row r="292" spans="2:9" x14ac:dyDescent="0.15">
      <c r="B292" s="108"/>
      <c r="C292" s="108"/>
      <c r="D292" s="108"/>
      <c r="E292" s="115"/>
      <c r="F292" s="115"/>
      <c r="G292" s="115"/>
      <c r="H292" s="115"/>
      <c r="I292" s="121"/>
    </row>
    <row r="293" spans="2:9" x14ac:dyDescent="0.15">
      <c r="B293" s="108"/>
      <c r="C293" s="108"/>
      <c r="D293" s="108"/>
      <c r="E293" s="115"/>
      <c r="F293" s="115"/>
      <c r="G293" s="115"/>
      <c r="H293" s="115"/>
      <c r="I293" s="121"/>
    </row>
    <row r="294" spans="2:9" x14ac:dyDescent="0.15">
      <c r="B294" s="108"/>
      <c r="C294" s="108"/>
      <c r="D294" s="108"/>
      <c r="E294" s="115"/>
      <c r="F294" s="115"/>
      <c r="G294" s="115"/>
      <c r="H294" s="115"/>
      <c r="I294" s="121"/>
    </row>
    <row r="295" spans="2:9" x14ac:dyDescent="0.15">
      <c r="B295" s="108"/>
      <c r="C295" s="108"/>
      <c r="D295" s="108"/>
      <c r="E295" s="115"/>
      <c r="F295" s="115"/>
      <c r="G295" s="115"/>
      <c r="H295" s="115"/>
      <c r="I295" s="121"/>
    </row>
    <row r="296" spans="2:9" x14ac:dyDescent="0.15">
      <c r="B296" s="108"/>
      <c r="C296" s="108"/>
      <c r="D296" s="108"/>
      <c r="E296" s="115"/>
      <c r="F296" s="115"/>
      <c r="G296" s="115"/>
      <c r="H296" s="115"/>
      <c r="I296" s="121"/>
    </row>
    <row r="297" spans="2:9" x14ac:dyDescent="0.15">
      <c r="B297" s="108"/>
      <c r="C297" s="108"/>
      <c r="D297" s="108"/>
      <c r="E297" s="115"/>
      <c r="F297" s="115"/>
      <c r="G297" s="115"/>
      <c r="H297" s="115"/>
      <c r="I297" s="121"/>
    </row>
    <row r="298" spans="2:9" x14ac:dyDescent="0.15">
      <c r="B298" s="108"/>
      <c r="C298" s="108"/>
      <c r="D298" s="108"/>
      <c r="E298" s="115"/>
      <c r="F298" s="115"/>
      <c r="G298" s="115"/>
      <c r="H298" s="115"/>
      <c r="I298" s="121"/>
    </row>
    <row r="299" spans="2:9" x14ac:dyDescent="0.15">
      <c r="B299" s="108"/>
      <c r="C299" s="108"/>
      <c r="D299" s="108"/>
      <c r="E299" s="115"/>
      <c r="F299" s="115"/>
      <c r="G299" s="115"/>
      <c r="H299" s="115"/>
      <c r="I299" s="121"/>
    </row>
    <row r="300" spans="2:9" x14ac:dyDescent="0.15">
      <c r="B300" s="108"/>
      <c r="C300" s="108"/>
      <c r="D300" s="108"/>
      <c r="E300" s="115"/>
      <c r="F300" s="115"/>
      <c r="G300" s="115"/>
      <c r="H300" s="115"/>
      <c r="I300" s="121"/>
    </row>
    <row r="301" spans="2:9" x14ac:dyDescent="0.15">
      <c r="B301" s="108"/>
      <c r="C301" s="108"/>
      <c r="D301" s="108"/>
      <c r="E301" s="115"/>
      <c r="F301" s="115"/>
      <c r="G301" s="115"/>
      <c r="H301" s="115"/>
      <c r="I301" s="121"/>
    </row>
    <row r="302" spans="2:9" x14ac:dyDescent="0.15">
      <c r="B302" s="108"/>
      <c r="C302" s="108"/>
      <c r="D302" s="108"/>
      <c r="E302" s="115"/>
      <c r="F302" s="115"/>
      <c r="G302" s="115"/>
      <c r="H302" s="115"/>
      <c r="I302" s="121"/>
    </row>
    <row r="303" spans="2:9" x14ac:dyDescent="0.15">
      <c r="B303" s="108"/>
      <c r="C303" s="108"/>
      <c r="D303" s="108"/>
      <c r="E303" s="115"/>
      <c r="F303" s="115"/>
      <c r="G303" s="115"/>
      <c r="H303" s="115"/>
      <c r="I303" s="121"/>
    </row>
    <row r="304" spans="2:9" x14ac:dyDescent="0.15">
      <c r="B304" s="108"/>
      <c r="C304" s="108"/>
      <c r="D304" s="108"/>
      <c r="E304" s="115"/>
      <c r="F304" s="115"/>
      <c r="G304" s="115"/>
      <c r="H304" s="115"/>
      <c r="I304" s="121"/>
    </row>
    <row r="305" spans="2:9" x14ac:dyDescent="0.15">
      <c r="B305" s="108"/>
      <c r="C305" s="108"/>
      <c r="D305" s="108"/>
      <c r="E305" s="115"/>
      <c r="F305" s="115"/>
      <c r="G305" s="115"/>
      <c r="H305" s="115"/>
      <c r="I305" s="121"/>
    </row>
    <row r="306" spans="2:9" x14ac:dyDescent="0.15">
      <c r="B306" s="108"/>
      <c r="C306" s="108"/>
      <c r="D306" s="108"/>
      <c r="E306" s="115"/>
      <c r="F306" s="115"/>
      <c r="G306" s="115"/>
      <c r="H306" s="115"/>
      <c r="I306" s="121"/>
    </row>
    <row r="307" spans="2:9" x14ac:dyDescent="0.15">
      <c r="B307" s="108"/>
      <c r="C307" s="108"/>
      <c r="D307" s="108"/>
      <c r="E307" s="115"/>
      <c r="F307" s="115"/>
      <c r="G307" s="115"/>
      <c r="H307" s="115"/>
      <c r="I307" s="121"/>
    </row>
    <row r="308" spans="2:9" x14ac:dyDescent="0.15">
      <c r="B308" s="108"/>
      <c r="C308" s="108"/>
      <c r="D308" s="108"/>
      <c r="E308" s="115"/>
      <c r="F308" s="115"/>
      <c r="G308" s="115"/>
      <c r="H308" s="115"/>
      <c r="I308" s="121"/>
    </row>
    <row r="309" spans="2:9" x14ac:dyDescent="0.15">
      <c r="B309" s="108"/>
      <c r="C309" s="108"/>
      <c r="D309" s="108"/>
      <c r="E309" s="115"/>
      <c r="F309" s="115"/>
      <c r="G309" s="115"/>
      <c r="H309" s="115"/>
      <c r="I309" s="121"/>
    </row>
    <row r="310" spans="2:9" x14ac:dyDescent="0.15">
      <c r="B310" s="108"/>
      <c r="C310" s="108"/>
      <c r="D310" s="108"/>
      <c r="E310" s="115"/>
      <c r="F310" s="115"/>
      <c r="G310" s="115"/>
      <c r="H310" s="115"/>
      <c r="I310" s="121"/>
    </row>
    <row r="311" spans="2:9" x14ac:dyDescent="0.15">
      <c r="B311" s="108"/>
      <c r="C311" s="108"/>
      <c r="D311" s="108"/>
      <c r="E311" s="115"/>
      <c r="F311" s="115"/>
      <c r="G311" s="115"/>
      <c r="H311" s="115"/>
      <c r="I311" s="121"/>
    </row>
    <row r="312" spans="2:9" x14ac:dyDescent="0.15">
      <c r="B312" s="108"/>
      <c r="C312" s="108"/>
      <c r="D312" s="108"/>
      <c r="E312" s="115"/>
      <c r="F312" s="115"/>
      <c r="G312" s="115"/>
      <c r="H312" s="115"/>
      <c r="I312" s="121"/>
    </row>
    <row r="313" spans="2:9" x14ac:dyDescent="0.15">
      <c r="B313" s="108"/>
      <c r="C313" s="108"/>
      <c r="D313" s="108"/>
      <c r="E313" s="115"/>
      <c r="F313" s="115"/>
      <c r="G313" s="115"/>
      <c r="H313" s="115"/>
      <c r="I313" s="121"/>
    </row>
    <row r="314" spans="2:9" x14ac:dyDescent="0.15">
      <c r="B314" s="108"/>
      <c r="C314" s="108"/>
      <c r="D314" s="108"/>
      <c r="E314" s="115"/>
      <c r="F314" s="115"/>
      <c r="G314" s="115"/>
      <c r="H314" s="115"/>
      <c r="I314" s="121"/>
    </row>
    <row r="315" spans="2:9" x14ac:dyDescent="0.15">
      <c r="B315" s="108"/>
      <c r="C315" s="108"/>
      <c r="D315" s="108"/>
      <c r="E315" s="115"/>
      <c r="F315" s="115"/>
      <c r="G315" s="115"/>
      <c r="H315" s="115"/>
      <c r="I315" s="121"/>
    </row>
    <row r="316" spans="2:9" x14ac:dyDescent="0.15">
      <c r="B316" s="108"/>
      <c r="C316" s="108"/>
      <c r="D316" s="108"/>
      <c r="E316" s="115"/>
      <c r="F316" s="115"/>
      <c r="G316" s="115"/>
      <c r="H316" s="115"/>
      <c r="I316" s="121"/>
    </row>
    <row r="317" spans="2:9" x14ac:dyDescent="0.15">
      <c r="B317" s="108"/>
      <c r="C317" s="108"/>
      <c r="D317" s="108"/>
      <c r="E317" s="115"/>
      <c r="F317" s="115"/>
      <c r="G317" s="115"/>
      <c r="H317" s="115"/>
      <c r="I317" s="121"/>
    </row>
    <row r="318" spans="2:9" x14ac:dyDescent="0.15">
      <c r="B318" s="108"/>
      <c r="C318" s="108"/>
      <c r="D318" s="108"/>
      <c r="E318" s="115"/>
      <c r="F318" s="115"/>
      <c r="G318" s="115"/>
      <c r="H318" s="115"/>
      <c r="I318" s="121"/>
    </row>
    <row r="319" spans="2:9" x14ac:dyDescent="0.15">
      <c r="B319" s="108"/>
      <c r="C319" s="108"/>
      <c r="D319" s="108"/>
      <c r="E319" s="115"/>
      <c r="F319" s="115"/>
      <c r="G319" s="115"/>
      <c r="H319" s="115"/>
      <c r="I319" s="121"/>
    </row>
    <row r="320" spans="2:9" x14ac:dyDescent="0.15">
      <c r="B320" s="108"/>
      <c r="C320" s="108"/>
      <c r="D320" s="108"/>
      <c r="E320" s="115"/>
      <c r="F320" s="115"/>
      <c r="G320" s="115"/>
      <c r="H320" s="115"/>
      <c r="I320" s="121"/>
    </row>
    <row r="321" spans="2:9" x14ac:dyDescent="0.15">
      <c r="B321" s="108"/>
      <c r="C321" s="108"/>
      <c r="D321" s="108"/>
      <c r="E321" s="115"/>
      <c r="F321" s="115"/>
      <c r="G321" s="115"/>
      <c r="H321" s="115"/>
      <c r="I321" s="121"/>
    </row>
    <row r="322" spans="2:9" x14ac:dyDescent="0.15">
      <c r="B322" s="108"/>
      <c r="C322" s="108"/>
      <c r="D322" s="108"/>
      <c r="E322" s="115"/>
      <c r="F322" s="115"/>
      <c r="G322" s="115"/>
      <c r="H322" s="115"/>
      <c r="I322" s="121"/>
    </row>
    <row r="323" spans="2:9" x14ac:dyDescent="0.15">
      <c r="B323" s="108"/>
      <c r="C323" s="108"/>
      <c r="D323" s="108"/>
      <c r="E323" s="115"/>
      <c r="F323" s="115"/>
      <c r="G323" s="115"/>
      <c r="H323" s="115"/>
      <c r="I323" s="121"/>
    </row>
    <row r="324" spans="2:9" x14ac:dyDescent="0.15">
      <c r="B324" s="108"/>
      <c r="C324" s="108"/>
      <c r="D324" s="108"/>
      <c r="E324" s="115"/>
      <c r="F324" s="115"/>
      <c r="G324" s="115"/>
      <c r="H324" s="115"/>
      <c r="I324" s="121"/>
    </row>
    <row r="325" spans="2:9" x14ac:dyDescent="0.15">
      <c r="B325" s="108"/>
      <c r="C325" s="108"/>
      <c r="D325" s="108"/>
      <c r="E325" s="115"/>
      <c r="F325" s="115"/>
      <c r="G325" s="115"/>
      <c r="H325" s="115"/>
      <c r="I325" s="121"/>
    </row>
    <row r="326" spans="2:9" x14ac:dyDescent="0.15">
      <c r="B326" s="108"/>
      <c r="C326" s="108"/>
      <c r="D326" s="108"/>
      <c r="E326" s="115"/>
      <c r="F326" s="115"/>
      <c r="G326" s="115"/>
      <c r="H326" s="115"/>
      <c r="I326" s="121"/>
    </row>
    <row r="327" spans="2:9" x14ac:dyDescent="0.15">
      <c r="B327" s="108"/>
      <c r="C327" s="108"/>
      <c r="D327" s="108"/>
      <c r="E327" s="115"/>
      <c r="F327" s="115"/>
      <c r="G327" s="115"/>
      <c r="H327" s="115"/>
      <c r="I327" s="121"/>
    </row>
    <row r="328" spans="2:9" x14ac:dyDescent="0.15">
      <c r="B328" s="108"/>
      <c r="C328" s="108"/>
      <c r="D328" s="108"/>
      <c r="E328" s="115"/>
      <c r="F328" s="115"/>
      <c r="G328" s="115"/>
      <c r="H328" s="115"/>
      <c r="I328" s="121"/>
    </row>
    <row r="329" spans="2:9" x14ac:dyDescent="0.15">
      <c r="B329" s="108"/>
      <c r="C329" s="108"/>
      <c r="D329" s="108"/>
      <c r="E329" s="115"/>
      <c r="F329" s="115"/>
      <c r="G329" s="115"/>
      <c r="H329" s="115"/>
      <c r="I329" s="121"/>
    </row>
    <row r="330" spans="2:9" x14ac:dyDescent="0.15">
      <c r="B330" s="108"/>
      <c r="C330" s="108"/>
      <c r="D330" s="108"/>
      <c r="E330" s="115"/>
      <c r="F330" s="115"/>
      <c r="G330" s="115"/>
      <c r="H330" s="115"/>
      <c r="I330" s="121"/>
    </row>
    <row r="331" spans="2:9" x14ac:dyDescent="0.15">
      <c r="B331" s="108"/>
      <c r="C331" s="108"/>
      <c r="D331" s="108"/>
      <c r="E331" s="115"/>
      <c r="F331" s="115"/>
      <c r="G331" s="115"/>
      <c r="H331" s="115"/>
      <c r="I331" s="121"/>
    </row>
    <row r="332" spans="2:9" x14ac:dyDescent="0.15">
      <c r="B332" s="108"/>
      <c r="C332" s="108"/>
      <c r="D332" s="108"/>
      <c r="E332" s="115"/>
      <c r="F332" s="115"/>
      <c r="G332" s="115"/>
      <c r="H332" s="115"/>
      <c r="I332" s="121"/>
    </row>
    <row r="333" spans="2:9" x14ac:dyDescent="0.15">
      <c r="B333" s="108"/>
      <c r="C333" s="108"/>
      <c r="D333" s="108"/>
      <c r="E333" s="115"/>
      <c r="F333" s="115"/>
      <c r="G333" s="115"/>
      <c r="H333" s="115"/>
      <c r="I333" s="121"/>
    </row>
    <row r="334" spans="2:9" x14ac:dyDescent="0.15">
      <c r="B334" s="108"/>
      <c r="C334" s="108"/>
      <c r="D334" s="108"/>
      <c r="E334" s="115"/>
      <c r="F334" s="115"/>
      <c r="G334" s="115"/>
      <c r="H334" s="115"/>
      <c r="I334" s="121"/>
    </row>
    <row r="335" spans="2:9" x14ac:dyDescent="0.15">
      <c r="B335" s="108"/>
      <c r="C335" s="108"/>
      <c r="D335" s="108"/>
      <c r="E335" s="115"/>
      <c r="F335" s="115"/>
      <c r="G335" s="115"/>
      <c r="H335" s="115"/>
      <c r="I335" s="121"/>
    </row>
    <row r="336" spans="2:9" x14ac:dyDescent="0.15">
      <c r="B336" s="108"/>
      <c r="C336" s="108"/>
      <c r="D336" s="108"/>
      <c r="E336" s="115"/>
      <c r="F336" s="115"/>
      <c r="G336" s="115"/>
      <c r="H336" s="115"/>
      <c r="I336" s="121"/>
    </row>
    <row r="337" spans="2:9" x14ac:dyDescent="0.15">
      <c r="B337" s="108"/>
      <c r="C337" s="108"/>
      <c r="D337" s="108"/>
      <c r="E337" s="115"/>
      <c r="F337" s="115"/>
      <c r="G337" s="115"/>
      <c r="H337" s="115"/>
      <c r="I337" s="121"/>
    </row>
    <row r="338" spans="2:9" x14ac:dyDescent="0.15">
      <c r="B338" s="108"/>
      <c r="C338" s="108"/>
      <c r="D338" s="108"/>
      <c r="E338" s="115"/>
      <c r="F338" s="115"/>
      <c r="G338" s="115"/>
      <c r="H338" s="115"/>
      <c r="I338" s="121"/>
    </row>
    <row r="339" spans="2:9" x14ac:dyDescent="0.15">
      <c r="B339" s="108"/>
      <c r="C339" s="108"/>
      <c r="D339" s="108"/>
      <c r="E339" s="115"/>
      <c r="F339" s="115"/>
      <c r="G339" s="115"/>
      <c r="H339" s="115"/>
      <c r="I339" s="121"/>
    </row>
    <row r="340" spans="2:9" x14ac:dyDescent="0.15">
      <c r="B340" s="108"/>
      <c r="C340" s="108"/>
      <c r="D340" s="108"/>
      <c r="E340" s="115"/>
      <c r="F340" s="115"/>
      <c r="G340" s="115"/>
      <c r="H340" s="115"/>
      <c r="I340" s="121"/>
    </row>
    <row r="341" spans="2:9" x14ac:dyDescent="0.15">
      <c r="B341" s="108"/>
      <c r="C341" s="108"/>
      <c r="D341" s="108"/>
      <c r="E341" s="115"/>
      <c r="F341" s="115"/>
      <c r="G341" s="115"/>
      <c r="H341" s="115"/>
      <c r="I341" s="121"/>
    </row>
    <row r="342" spans="2:9" x14ac:dyDescent="0.15">
      <c r="B342" s="108"/>
      <c r="C342" s="108"/>
      <c r="D342" s="108"/>
      <c r="E342" s="115"/>
      <c r="F342" s="115"/>
      <c r="G342" s="115"/>
      <c r="H342" s="115"/>
      <c r="I342" s="121"/>
    </row>
    <row r="343" spans="2:9" x14ac:dyDescent="0.15">
      <c r="B343" s="108"/>
      <c r="C343" s="108"/>
      <c r="D343" s="108"/>
      <c r="E343" s="115"/>
      <c r="F343" s="115"/>
      <c r="G343" s="115"/>
      <c r="H343" s="115"/>
      <c r="I343" s="121"/>
    </row>
    <row r="344" spans="2:9" x14ac:dyDescent="0.15">
      <c r="B344" s="108"/>
      <c r="C344" s="108"/>
      <c r="D344" s="108"/>
      <c r="E344" s="115"/>
      <c r="F344" s="115"/>
      <c r="G344" s="115"/>
      <c r="H344" s="115"/>
      <c r="I344" s="121"/>
    </row>
    <row r="345" spans="2:9" x14ac:dyDescent="0.15">
      <c r="B345" s="108"/>
      <c r="C345" s="108"/>
      <c r="D345" s="108"/>
      <c r="E345" s="115"/>
      <c r="F345" s="115"/>
      <c r="G345" s="115"/>
      <c r="H345" s="115"/>
      <c r="I345" s="121"/>
    </row>
    <row r="346" spans="2:9" x14ac:dyDescent="0.15">
      <c r="B346" s="108"/>
      <c r="C346" s="108"/>
      <c r="D346" s="108"/>
      <c r="E346" s="115"/>
      <c r="F346" s="115"/>
      <c r="G346" s="115"/>
      <c r="H346" s="115"/>
      <c r="I346" s="121"/>
    </row>
    <row r="347" spans="2:9" x14ac:dyDescent="0.15">
      <c r="B347" s="108"/>
      <c r="C347" s="108"/>
      <c r="D347" s="108"/>
      <c r="E347" s="115"/>
      <c r="F347" s="115"/>
      <c r="G347" s="115"/>
      <c r="H347" s="115"/>
      <c r="I347" s="121"/>
    </row>
    <row r="348" spans="2:9" x14ac:dyDescent="0.15">
      <c r="B348" s="108"/>
      <c r="C348" s="108"/>
      <c r="D348" s="108"/>
      <c r="E348" s="115"/>
      <c r="F348" s="115"/>
      <c r="G348" s="115"/>
      <c r="H348" s="115"/>
      <c r="I348" s="121"/>
    </row>
    <row r="349" spans="2:9" x14ac:dyDescent="0.15">
      <c r="B349" s="108"/>
      <c r="C349" s="108"/>
      <c r="D349" s="108"/>
      <c r="E349" s="115"/>
      <c r="F349" s="115"/>
      <c r="G349" s="115"/>
      <c r="H349" s="115"/>
      <c r="I349" s="121"/>
    </row>
    <row r="350" spans="2:9" x14ac:dyDescent="0.15">
      <c r="B350" s="108"/>
      <c r="C350" s="108"/>
      <c r="D350" s="108"/>
      <c r="E350" s="115"/>
      <c r="F350" s="115"/>
      <c r="G350" s="115"/>
      <c r="H350" s="115"/>
      <c r="I350" s="121"/>
    </row>
    <row r="351" spans="2:9" x14ac:dyDescent="0.15">
      <c r="B351" s="108"/>
      <c r="C351" s="108"/>
      <c r="D351" s="108"/>
      <c r="E351" s="115"/>
      <c r="F351" s="115"/>
      <c r="G351" s="115"/>
      <c r="H351" s="115"/>
      <c r="I351" s="121"/>
    </row>
    <row r="352" spans="2:9" x14ac:dyDescent="0.15">
      <c r="B352" s="108"/>
      <c r="C352" s="108"/>
      <c r="D352" s="108"/>
      <c r="E352" s="115"/>
      <c r="F352" s="115"/>
      <c r="G352" s="115"/>
      <c r="H352" s="115"/>
      <c r="I352" s="121"/>
    </row>
    <row r="353" spans="2:9" x14ac:dyDescent="0.15">
      <c r="B353" s="108"/>
      <c r="C353" s="108"/>
      <c r="D353" s="108"/>
      <c r="E353" s="115"/>
      <c r="F353" s="115"/>
      <c r="G353" s="115"/>
      <c r="H353" s="115"/>
      <c r="I353" s="121"/>
    </row>
    <row r="354" spans="2:9" x14ac:dyDescent="0.15">
      <c r="B354" s="108"/>
      <c r="C354" s="108"/>
      <c r="D354" s="108"/>
      <c r="E354" s="115"/>
      <c r="F354" s="115"/>
      <c r="G354" s="115"/>
      <c r="H354" s="115"/>
      <c r="I354" s="121"/>
    </row>
    <row r="355" spans="2:9" x14ac:dyDescent="0.15">
      <c r="B355" s="108"/>
      <c r="C355" s="108"/>
      <c r="D355" s="108"/>
      <c r="E355" s="115"/>
      <c r="F355" s="115"/>
      <c r="G355" s="115"/>
      <c r="H355" s="115"/>
      <c r="I355" s="121"/>
    </row>
    <row r="356" spans="2:9" x14ac:dyDescent="0.15">
      <c r="B356" s="108"/>
      <c r="C356" s="108"/>
      <c r="D356" s="108"/>
      <c r="E356" s="115"/>
      <c r="F356" s="115"/>
      <c r="G356" s="115"/>
      <c r="H356" s="115"/>
      <c r="I356" s="121"/>
    </row>
    <row r="357" spans="2:9" x14ac:dyDescent="0.15">
      <c r="B357" s="108"/>
      <c r="C357" s="108"/>
      <c r="D357" s="108"/>
      <c r="E357" s="115"/>
      <c r="F357" s="115"/>
      <c r="G357" s="115"/>
      <c r="H357" s="115"/>
      <c r="I357" s="121"/>
    </row>
    <row r="358" spans="2:9" x14ac:dyDescent="0.15">
      <c r="B358" s="108"/>
      <c r="C358" s="108"/>
      <c r="D358" s="108"/>
      <c r="E358" s="115"/>
      <c r="F358" s="115"/>
      <c r="G358" s="115"/>
      <c r="H358" s="115"/>
      <c r="I358" s="121"/>
    </row>
    <row r="359" spans="2:9" x14ac:dyDescent="0.15">
      <c r="B359" s="108"/>
      <c r="C359" s="108"/>
      <c r="D359" s="108"/>
      <c r="E359" s="115"/>
      <c r="F359" s="115"/>
      <c r="G359" s="115"/>
      <c r="H359" s="115"/>
      <c r="I359" s="121"/>
    </row>
    <row r="360" spans="2:9" x14ac:dyDescent="0.15">
      <c r="B360" s="108"/>
      <c r="C360" s="108"/>
      <c r="D360" s="108"/>
      <c r="E360" s="115"/>
      <c r="F360" s="115"/>
      <c r="G360" s="115"/>
      <c r="H360" s="115"/>
      <c r="I360" s="121"/>
    </row>
    <row r="361" spans="2:9" x14ac:dyDescent="0.15">
      <c r="B361" s="108"/>
      <c r="C361" s="108"/>
      <c r="D361" s="108"/>
      <c r="E361" s="115"/>
      <c r="F361" s="115"/>
      <c r="G361" s="115"/>
      <c r="H361" s="115"/>
      <c r="I361" s="121"/>
    </row>
    <row r="362" spans="2:9" x14ac:dyDescent="0.15">
      <c r="B362" s="108"/>
      <c r="C362" s="108"/>
      <c r="D362" s="108"/>
      <c r="E362" s="115"/>
      <c r="F362" s="115"/>
      <c r="G362" s="115"/>
      <c r="H362" s="115"/>
      <c r="I362" s="121"/>
    </row>
    <row r="363" spans="2:9" x14ac:dyDescent="0.15">
      <c r="B363" s="108"/>
      <c r="C363" s="108"/>
      <c r="D363" s="108"/>
      <c r="E363" s="115"/>
      <c r="F363" s="115"/>
      <c r="G363" s="115"/>
      <c r="H363" s="115"/>
      <c r="I363" s="121"/>
    </row>
    <row r="364" spans="2:9" x14ac:dyDescent="0.15">
      <c r="B364" s="108"/>
      <c r="C364" s="108"/>
      <c r="D364" s="108"/>
      <c r="E364" s="115"/>
      <c r="F364" s="115"/>
      <c r="G364" s="115"/>
      <c r="H364" s="115"/>
      <c r="I364" s="121"/>
    </row>
    <row r="365" spans="2:9" x14ac:dyDescent="0.15">
      <c r="B365" s="108"/>
      <c r="C365" s="108"/>
      <c r="D365" s="108"/>
      <c r="E365" s="115"/>
      <c r="F365" s="115"/>
      <c r="G365" s="115"/>
      <c r="H365" s="115"/>
      <c r="I365" s="121"/>
    </row>
    <row r="366" spans="2:9" x14ac:dyDescent="0.15">
      <c r="B366" s="108"/>
      <c r="C366" s="108"/>
      <c r="D366" s="108"/>
      <c r="E366" s="115"/>
      <c r="F366" s="115"/>
      <c r="G366" s="115"/>
      <c r="H366" s="115"/>
      <c r="I366" s="121"/>
    </row>
    <row r="367" spans="2:9" x14ac:dyDescent="0.15">
      <c r="B367" s="108"/>
      <c r="C367" s="108"/>
      <c r="D367" s="108"/>
      <c r="E367" s="115"/>
      <c r="F367" s="115"/>
      <c r="G367" s="115"/>
      <c r="H367" s="115"/>
      <c r="I367" s="121"/>
    </row>
    <row r="368" spans="2:9" x14ac:dyDescent="0.15">
      <c r="B368" s="108"/>
      <c r="C368" s="108"/>
      <c r="D368" s="108"/>
      <c r="E368" s="115"/>
      <c r="F368" s="115"/>
      <c r="G368" s="115"/>
      <c r="H368" s="115"/>
      <c r="I368" s="121"/>
    </row>
    <row r="369" spans="2:9" x14ac:dyDescent="0.15">
      <c r="B369" s="108"/>
      <c r="C369" s="108"/>
      <c r="D369" s="108"/>
      <c r="E369" s="115"/>
      <c r="F369" s="115"/>
      <c r="G369" s="115"/>
      <c r="H369" s="115"/>
      <c r="I369" s="121"/>
    </row>
    <row r="370" spans="2:9" x14ac:dyDescent="0.15">
      <c r="B370" s="108"/>
      <c r="C370" s="108"/>
      <c r="D370" s="108"/>
      <c r="E370" s="115"/>
      <c r="F370" s="115"/>
      <c r="G370" s="115"/>
      <c r="H370" s="115"/>
      <c r="I370" s="121"/>
    </row>
    <row r="371" spans="2:9" x14ac:dyDescent="0.15">
      <c r="B371" s="108"/>
      <c r="C371" s="108"/>
      <c r="D371" s="108"/>
      <c r="E371" s="115"/>
      <c r="F371" s="115"/>
      <c r="G371" s="115"/>
      <c r="H371" s="115"/>
      <c r="I371" s="121"/>
    </row>
    <row r="372" spans="2:9" x14ac:dyDescent="0.15">
      <c r="B372" s="108"/>
      <c r="C372" s="108"/>
      <c r="D372" s="108"/>
      <c r="E372" s="115"/>
      <c r="F372" s="115"/>
      <c r="G372" s="115"/>
      <c r="H372" s="115"/>
      <c r="I372" s="121"/>
    </row>
    <row r="373" spans="2:9" x14ac:dyDescent="0.15">
      <c r="B373" s="108"/>
      <c r="C373" s="108"/>
      <c r="D373" s="108"/>
      <c r="E373" s="115"/>
      <c r="F373" s="115"/>
      <c r="G373" s="115"/>
      <c r="H373" s="115"/>
      <c r="I373" s="121"/>
    </row>
    <row r="374" spans="2:9" x14ac:dyDescent="0.15">
      <c r="B374" s="108"/>
      <c r="C374" s="108"/>
      <c r="D374" s="108"/>
      <c r="E374" s="115"/>
      <c r="F374" s="115"/>
      <c r="G374" s="115"/>
      <c r="H374" s="115"/>
      <c r="I374" s="121"/>
    </row>
    <row r="375" spans="2:9" x14ac:dyDescent="0.15">
      <c r="B375" s="108"/>
      <c r="C375" s="108"/>
      <c r="D375" s="108"/>
      <c r="E375" s="115"/>
      <c r="F375" s="115"/>
      <c r="G375" s="115"/>
      <c r="H375" s="115"/>
      <c r="I375" s="121"/>
    </row>
    <row r="376" spans="2:9" x14ac:dyDescent="0.15">
      <c r="B376" s="108"/>
      <c r="C376" s="108"/>
      <c r="D376" s="108"/>
      <c r="E376" s="115"/>
      <c r="F376" s="115"/>
      <c r="G376" s="115"/>
      <c r="H376" s="115"/>
      <c r="I376" s="121"/>
    </row>
    <row r="377" spans="2:9" x14ac:dyDescent="0.15">
      <c r="B377" s="108"/>
      <c r="C377" s="108"/>
      <c r="D377" s="108"/>
      <c r="E377" s="115"/>
      <c r="F377" s="115"/>
      <c r="G377" s="115"/>
      <c r="H377" s="115"/>
      <c r="I377" s="121"/>
    </row>
    <row r="378" spans="2:9" x14ac:dyDescent="0.15">
      <c r="B378" s="108"/>
      <c r="C378" s="108"/>
      <c r="D378" s="108"/>
      <c r="E378" s="115"/>
      <c r="F378" s="115"/>
      <c r="G378" s="115"/>
      <c r="H378" s="115"/>
      <c r="I378" s="121"/>
    </row>
    <row r="379" spans="2:9" x14ac:dyDescent="0.15">
      <c r="B379" s="108"/>
      <c r="C379" s="108"/>
      <c r="D379" s="108"/>
      <c r="E379" s="115"/>
      <c r="F379" s="115"/>
      <c r="G379" s="115"/>
      <c r="H379" s="115"/>
      <c r="I379" s="121"/>
    </row>
    <row r="380" spans="2:9" x14ac:dyDescent="0.15">
      <c r="B380" s="108"/>
      <c r="C380" s="108"/>
      <c r="D380" s="108"/>
      <c r="E380" s="115"/>
      <c r="F380" s="115"/>
      <c r="G380" s="115"/>
      <c r="H380" s="115"/>
      <c r="I380" s="121"/>
    </row>
    <row r="381" spans="2:9" x14ac:dyDescent="0.15">
      <c r="B381" s="108"/>
      <c r="C381" s="108"/>
      <c r="D381" s="108"/>
      <c r="E381" s="115"/>
      <c r="F381" s="115"/>
      <c r="G381" s="115"/>
      <c r="H381" s="115"/>
      <c r="I381" s="121"/>
    </row>
    <row r="382" spans="2:9" x14ac:dyDescent="0.15">
      <c r="B382" s="108"/>
      <c r="C382" s="108"/>
      <c r="D382" s="108"/>
      <c r="E382" s="115"/>
      <c r="F382" s="115"/>
      <c r="G382" s="115"/>
      <c r="H382" s="115"/>
      <c r="I382" s="121"/>
    </row>
    <row r="383" spans="2:9" x14ac:dyDescent="0.15">
      <c r="B383" s="108"/>
      <c r="C383" s="108"/>
      <c r="D383" s="108"/>
      <c r="E383" s="115"/>
      <c r="F383" s="115"/>
      <c r="G383" s="115"/>
      <c r="H383" s="115"/>
      <c r="I383" s="121"/>
    </row>
    <row r="384" spans="2:9" x14ac:dyDescent="0.15">
      <c r="B384" s="108"/>
      <c r="C384" s="108"/>
      <c r="D384" s="108"/>
      <c r="E384" s="115"/>
      <c r="F384" s="115"/>
      <c r="G384" s="115"/>
      <c r="H384" s="115"/>
      <c r="I384" s="121"/>
    </row>
    <row r="385" spans="2:9" x14ac:dyDescent="0.15">
      <c r="B385" s="108"/>
      <c r="C385" s="108"/>
      <c r="D385" s="108"/>
      <c r="E385" s="115"/>
      <c r="F385" s="115"/>
      <c r="G385" s="115"/>
      <c r="H385" s="115"/>
      <c r="I385" s="121"/>
    </row>
    <row r="386" spans="2:9" x14ac:dyDescent="0.15">
      <c r="B386" s="108"/>
      <c r="C386" s="108"/>
      <c r="D386" s="108"/>
      <c r="E386" s="115"/>
      <c r="F386" s="115"/>
      <c r="G386" s="115"/>
      <c r="H386" s="115"/>
      <c r="I386" s="121"/>
    </row>
    <row r="387" spans="2:9" x14ac:dyDescent="0.15">
      <c r="B387" s="108"/>
      <c r="C387" s="108"/>
      <c r="D387" s="108"/>
      <c r="E387" s="115"/>
      <c r="F387" s="115"/>
      <c r="G387" s="115"/>
      <c r="H387" s="115"/>
      <c r="I387" s="121"/>
    </row>
    <row r="388" spans="2:9" x14ac:dyDescent="0.15">
      <c r="B388" s="108"/>
      <c r="C388" s="108"/>
      <c r="D388" s="108"/>
      <c r="E388" s="115"/>
      <c r="F388" s="115"/>
      <c r="G388" s="115"/>
      <c r="H388" s="115"/>
      <c r="I388" s="121"/>
    </row>
    <row r="389" spans="2:9" x14ac:dyDescent="0.15">
      <c r="B389" s="108"/>
      <c r="C389" s="108"/>
      <c r="D389" s="108"/>
      <c r="E389" s="115"/>
      <c r="F389" s="115"/>
      <c r="G389" s="115"/>
      <c r="H389" s="115"/>
      <c r="I389" s="121"/>
    </row>
    <row r="390" spans="2:9" x14ac:dyDescent="0.15">
      <c r="B390" s="108"/>
      <c r="C390" s="108"/>
      <c r="D390" s="108"/>
      <c r="E390" s="115"/>
      <c r="F390" s="115"/>
      <c r="G390" s="115"/>
      <c r="H390" s="115"/>
    </row>
    <row r="391" spans="2:9" x14ac:dyDescent="0.15">
      <c r="B391" s="108"/>
      <c r="C391" s="108"/>
      <c r="D391" s="108"/>
      <c r="E391" s="115"/>
      <c r="F391" s="115"/>
      <c r="G391" s="115"/>
      <c r="H391" s="115"/>
    </row>
    <row r="392" spans="2:9" x14ac:dyDescent="0.15">
      <c r="B392" s="108"/>
      <c r="C392" s="108"/>
      <c r="D392" s="108"/>
      <c r="E392" s="115"/>
      <c r="F392" s="115"/>
      <c r="G392" s="115"/>
      <c r="H392" s="115"/>
    </row>
    <row r="393" spans="2:9" x14ac:dyDescent="0.15">
      <c r="B393" s="108"/>
      <c r="C393" s="108"/>
      <c r="D393" s="108"/>
      <c r="E393" s="115"/>
      <c r="F393" s="115"/>
      <c r="G393" s="115"/>
      <c r="H393" s="115"/>
    </row>
    <row r="394" spans="2:9" x14ac:dyDescent="0.15">
      <c r="B394" s="108"/>
      <c r="C394" s="108"/>
      <c r="D394" s="108"/>
      <c r="E394" s="115"/>
      <c r="F394" s="115"/>
      <c r="G394" s="115"/>
      <c r="H394" s="115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1FB047E2F584E924ED8601CB5A550" ma:contentTypeVersion="13" ma:contentTypeDescription="Create a new document." ma:contentTypeScope="" ma:versionID="d51cad08df8ed668a0da6107429a80c7">
  <xsd:schema xmlns:xsd="http://www.w3.org/2001/XMLSchema" xmlns:xs="http://www.w3.org/2001/XMLSchema" xmlns:p="http://schemas.microsoft.com/office/2006/metadata/properties" xmlns:ns3="054f2265-6ec0-4a6b-8a61-fdda30f2ad93" xmlns:ns4="faf6003c-e7a6-4ee0-8c3c-12db71497fde" targetNamespace="http://schemas.microsoft.com/office/2006/metadata/properties" ma:root="true" ma:fieldsID="7e3dc917ce34aa0068ab08e06872157f" ns3:_="" ns4:_="">
    <xsd:import namespace="054f2265-6ec0-4a6b-8a61-fdda30f2ad93"/>
    <xsd:import namespace="faf6003c-e7a6-4ee0-8c3c-12db71497f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f2265-6ec0-4a6b-8a61-fdda30f2a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6003c-e7a6-4ee0-8c3c-12db71497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7037FF-BCAC-4C30-A428-C606A6C2EB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FFD30E-EEE7-4C96-A3ED-31A1A53F04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66164-F4C5-4405-BF06-6B012272D0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4f2265-6ec0-4a6b-8a61-fdda30f2ad93"/>
    <ds:schemaRef ds:uri="faf6003c-e7a6-4ee0-8c3c-12db71497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P &amp;L Chart</vt:lpstr>
      <vt:lpstr>Revenue Chart </vt:lpstr>
      <vt:lpstr>Income Chart</vt:lpstr>
      <vt:lpstr>Expense Chart </vt:lpstr>
      <vt:lpstr>Expanded P&amp;L Chart </vt:lpstr>
      <vt:lpstr>Capital Expense Chart</vt:lpstr>
      <vt:lpstr>Sheet3</vt:lpstr>
      <vt:lpstr>Loan-150,000 </vt:lpstr>
      <vt:lpstr>Loan-150,000 prepay</vt:lpstr>
      <vt:lpstr>Abbreviate P&amp;L</vt:lpstr>
      <vt:lpstr>8 Yr Forecast LT Adj Assump</vt:lpstr>
      <vt:lpstr>Cap Ex fcst</vt:lpstr>
      <vt:lpstr>'8 Yr Forecast LT Adj Assump'!Print_Area</vt:lpstr>
      <vt:lpstr>'Abbreviate P&amp;L'!Print_Area</vt:lpstr>
      <vt:lpstr>'8 Yr Forecast LT Adj Assump'!Print_Titles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Darryl's Machine</dc:creator>
  <cp:lastModifiedBy>Steven Rosenberg</cp:lastModifiedBy>
  <cp:lastPrinted>2020-04-09T20:06:55Z</cp:lastPrinted>
  <dcterms:created xsi:type="dcterms:W3CDTF">2011-12-15T14:51:57Z</dcterms:created>
  <dcterms:modified xsi:type="dcterms:W3CDTF">2026-01-31T17:03:49Z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0x010100F681FB047E2F584E924ED8601CB5A550</vt:lpwstr>
  </property>
</Properties>
</file>