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5D017D78-BE09-44F6-937E-69C6EB171D33}" xr6:coauthVersionLast="47" xr6:coauthVersionMax="47" xr10:uidLastSave="{00000000-0000-0000-0000-000000000000}"/>
  <bookViews>
    <workbookView xWindow="-120" yWindow="-120" windowWidth="29040" windowHeight="15840" tabRatio="932" firstSheet="5" activeTab="9" xr2:uid="{00000000-000D-0000-FFFF-FFFF00000000}"/>
  </bookViews>
  <sheets>
    <sheet name="Budget Amendment 2019" sheetId="1" state="hidden" r:id="rId1"/>
    <sheet name="CIP Amend 2019" sheetId="18" state="hidden" r:id="rId2"/>
    <sheet name="Assessment Schedule" sheetId="14" r:id="rId3"/>
    <sheet name="2025-26 Budget Page" sheetId="4" r:id="rId4"/>
    <sheet name="CIP 2018 Summary" sheetId="20" state="hidden" r:id="rId5"/>
    <sheet name="Capital Projects Lead" sheetId="11" r:id="rId6"/>
    <sheet name="Sheet1" sheetId="24" r:id="rId7"/>
    <sheet name="Staffing and Personel" sheetId="5" r:id="rId8"/>
    <sheet name="Operating Expenses" sheetId="7" r:id="rId9"/>
    <sheet name="Capital Outlay" sheetId="9" r:id="rId10"/>
    <sheet name="March Annual" sheetId="23" state="hidden" r:id="rId11"/>
    <sheet name="CIP 2015 Annual" sheetId="21" state="hidden" r:id="rId12"/>
    <sheet name="GF Annual" sheetId="22" state="hidden" r:id="rId13"/>
  </sheets>
  <definedNames>
    <definedName name="_xlnm.Print_Area" localSheetId="0">'Budget Amendment 2019'!$A$1:$M$116</definedName>
    <definedName name="_xlnm.Print_Area" localSheetId="9">'Capital Outlay'!$A$1:$AD$14</definedName>
    <definedName name="_xlnm.Print_Area" localSheetId="1">'CIP Amend 2019'!$A$1:$K$43</definedName>
    <definedName name="_xlnm.Print_Area" localSheetId="12">'GF Annual'!$A$1:$AH$74</definedName>
    <definedName name="_xlnm.Print_Area" localSheetId="7">'Staffing and Personel'!$A$1:$P$44</definedName>
    <definedName name="_xlnm.Print_Titles" localSheetId="3">'2025-26 Budget Page'!$1:$3</definedName>
    <definedName name="_xlnm.Print_Titles" localSheetId="0">'Budget Amendment 2019'!$A:$F,'Budget Amendment 2019'!$1:$1</definedName>
    <definedName name="_xlnm.Print_Titles" localSheetId="11">'CIP 2015 Annual'!$A:$D,'CIP 2015 Annual'!$1:$1</definedName>
    <definedName name="_xlnm.Print_Titles" localSheetId="1">'CIP Amend 2019'!$A:$D,'CIP Amend 2019'!$1:$2</definedName>
    <definedName name="_xlnm.Print_Titles" localSheetId="12">'GF Annual'!$A:$G,'GF Annual'!$1:$1</definedName>
    <definedName name="_xlnm.Print_Titles" localSheetId="10">'March Annual'!$A:$G,'March Annual'!$1:$1</definedName>
    <definedName name="_xlnm.Print_Titles" localSheetId="8">'Operating Expenses'!$1:$7</definedName>
    <definedName name="QB_COLUMN_2921" localSheetId="11" hidden="1">'CIP 2015 Annual'!$E$1</definedName>
    <definedName name="QB_COLUMN_2921" localSheetId="12" hidden="1">'GF Annual'!$H$1</definedName>
    <definedName name="QB_COLUMN_2921" localSheetId="10" hidden="1">'March Annual'!$H$1</definedName>
    <definedName name="QB_COLUMN_29210" localSheetId="11" hidden="1">'CIP 2015 Annual'!$W$1</definedName>
    <definedName name="QB_COLUMN_29210" localSheetId="12" hidden="1">'GF Annual'!$Z$1</definedName>
    <definedName name="QB_COLUMN_29211" localSheetId="11" hidden="1">'CIP 2015 Annual'!$Y$1</definedName>
    <definedName name="QB_COLUMN_29211" localSheetId="12" hidden="1">'GF Annual'!$AB$1</definedName>
    <definedName name="QB_COLUMN_29212" localSheetId="11" hidden="1">'CIP 2015 Annual'!$AA$1</definedName>
    <definedName name="QB_COLUMN_29212" localSheetId="12" hidden="1">'GF Annual'!$AD$1</definedName>
    <definedName name="QB_COLUMN_29213" localSheetId="11" hidden="1">'CIP 2015 Annual'!$AC$1</definedName>
    <definedName name="QB_COLUMN_29213" localSheetId="12" hidden="1">'GF Annual'!$AF$1</definedName>
    <definedName name="QB_COLUMN_2922" localSheetId="11" hidden="1">'CIP 2015 Annual'!$G$1</definedName>
    <definedName name="QB_COLUMN_2922" localSheetId="12" hidden="1">'GF Annual'!$J$1</definedName>
    <definedName name="QB_COLUMN_2922" localSheetId="10" hidden="1">'March Annual'!$J$1</definedName>
    <definedName name="QB_COLUMN_2923" localSheetId="11" hidden="1">'CIP 2015 Annual'!$I$1</definedName>
    <definedName name="QB_COLUMN_2923" localSheetId="12" hidden="1">'GF Annual'!$L$1</definedName>
    <definedName name="QB_COLUMN_2923" localSheetId="10" hidden="1">'March Annual'!$L$1</definedName>
    <definedName name="QB_COLUMN_2924" localSheetId="11" hidden="1">'CIP 2015 Annual'!$K$1</definedName>
    <definedName name="QB_COLUMN_2924" localSheetId="12" hidden="1">'GF Annual'!$N$1</definedName>
    <definedName name="QB_COLUMN_2924" localSheetId="10" hidden="1">'March Annual'!$N$1</definedName>
    <definedName name="QB_COLUMN_2925" localSheetId="11" hidden="1">'CIP 2015 Annual'!$M$1</definedName>
    <definedName name="QB_COLUMN_2925" localSheetId="12" hidden="1">'GF Annual'!$P$1</definedName>
    <definedName name="QB_COLUMN_2925" localSheetId="10" hidden="1">'March Annual'!$P$1</definedName>
    <definedName name="QB_COLUMN_2926" localSheetId="11" hidden="1">'CIP 2015 Annual'!$O$1</definedName>
    <definedName name="QB_COLUMN_2926" localSheetId="12" hidden="1">'GF Annual'!$R$1</definedName>
    <definedName name="QB_COLUMN_2926" localSheetId="10" hidden="1">'March Annual'!$R$1</definedName>
    <definedName name="QB_COLUMN_2927" localSheetId="11" hidden="1">'CIP 2015 Annual'!$Q$1</definedName>
    <definedName name="QB_COLUMN_2927" localSheetId="12" hidden="1">'GF Annual'!$T$1</definedName>
    <definedName name="QB_COLUMN_2928" localSheetId="11" hidden="1">'CIP 2015 Annual'!$S$1</definedName>
    <definedName name="QB_COLUMN_2928" localSheetId="12" hidden="1">'GF Annual'!$V$1</definedName>
    <definedName name="QB_COLUMN_2929" localSheetId="11" hidden="1">'CIP 2015 Annual'!$U$1</definedName>
    <definedName name="QB_COLUMN_2929" localSheetId="12" hidden="1">'GF Annual'!$X$1</definedName>
    <definedName name="QB_COLUMN_2930" localSheetId="11" hidden="1">'CIP 2015 Annual'!$AE$1</definedName>
    <definedName name="QB_COLUMN_2930" localSheetId="12" hidden="1">'GF Annual'!$AH$1</definedName>
    <definedName name="QB_COLUMN_2930" localSheetId="10" hidden="1">'March Annual'!$T$1</definedName>
    <definedName name="QB_DATA_0" localSheetId="11" hidden="1">'CIP 2015 Annual'!$4:$4,'CIP 2015 Annual'!$5:$5,'CIP 2015 Annual'!$8:$8,'CIP 2015 Annual'!$9:$9,'CIP 2015 Annual'!$10:$10,'CIP 2015 Annual'!$11:$11,'CIP 2015 Annual'!$12:$12,'CIP 2015 Annual'!$17:$17</definedName>
    <definedName name="QB_DATA_0" localSheetId="12" hidden="1">'GF Annual'!$4:$4,'GF Annual'!$5:$5,'GF Annual'!$6:$6,'GF Annual'!$7:$7,'GF Annual'!$8:$8,'GF Annual'!$9:$9,'GF Annual'!$10:$10,'GF Annual'!$11:$11,'GF Annual'!$12:$12,'GF Annual'!$13:$13,'GF Annual'!$14:$14,'GF Annual'!$19:$19,'GF Annual'!$20:$20,'GF Annual'!$21:$21,'GF Annual'!$22:$22,'GF Annual'!$23:$23</definedName>
    <definedName name="QB_DATA_0" localSheetId="10" hidden="1">'March Annual'!$4:$4,'March Annual'!$5:$5,'March Annual'!$6:$6,'March Annual'!$7:$7,'March Annual'!$8:$8,'March Annual'!$9:$9,'March Annual'!$10:$10,'March Annual'!$11:$11,'March Annual'!$12:$12,'March Annual'!$13:$13,'March Annual'!$14:$14,'March Annual'!$19:$19,'March Annual'!$20:$20,'March Annual'!$21:$21,'March Annual'!$22:$22,'March Annual'!$23:$23</definedName>
    <definedName name="QB_DATA_1" localSheetId="12" hidden="1">'GF Annual'!$24:$24,'GF Annual'!$25:$25,'GF Annual'!$26:$26,'GF Annual'!$27:$27,'GF Annual'!$28:$28,'GF Annual'!$29:$29,'GF Annual'!$30:$30,'GF Annual'!$33:$33,'GF Annual'!$34:$34,'GF Annual'!$35:$35,'GF Annual'!$36:$36,'GF Annual'!$37:$37,'GF Annual'!$38:$38,'GF Annual'!$39:$39,'GF Annual'!$40:$40,'GF Annual'!$41:$41</definedName>
    <definedName name="QB_DATA_1" localSheetId="10" hidden="1">'March Annual'!$24:$24,'March Annual'!$25:$25,'March Annual'!$26:$26,'March Annual'!$28:$28,'March Annual'!$29:$29,'March Annual'!$31:$31,'March Annual'!$32:$32,'March Annual'!$33:$33,'March Annual'!$36:$36,'March Annual'!$37:$37,'March Annual'!$38:$38,'March Annual'!$39:$39,'March Annual'!$40:$40,'March Annual'!$41:$41,'March Annual'!$42:$42,'March Annual'!$43:$43</definedName>
    <definedName name="QB_DATA_2" localSheetId="12" hidden="1">'GF Annual'!$42:$42,'GF Annual'!$43:$43,'GF Annual'!$45:$45,'GF Annual'!$46:$46,'GF Annual'!$48:$48,'GF Annual'!$49:$49,'GF Annual'!$50:$50,'GF Annual'!$52:$52,'GF Annual'!$53:$53,'GF Annual'!$55:$55,'GF Annual'!$56:$56,'GF Annual'!$57:$57,'GF Annual'!$58:$58,'GF Annual'!$59:$59,'GF Annual'!$60:$60,'GF Annual'!$61:$61</definedName>
    <definedName name="QB_DATA_2" localSheetId="10" hidden="1">'March Annual'!$44:$44,'March Annual'!$45:$45,'March Annual'!$46:$46,'March Annual'!$47:$47,'March Annual'!$48:$48,'March Annual'!$49:$49,'March Annual'!$50:$50,'March Annual'!$51:$51,'March Annual'!$52:$52,'March Annual'!$53:$53,'March Annual'!$54:$54,'March Annual'!$55:$55,'March Annual'!$56:$56,'March Annual'!$57:$57,'March Annual'!$60:$60,'March Annual'!$62:$62</definedName>
    <definedName name="QB_DATA_3" localSheetId="12" hidden="1">'GF Annual'!$62:$62,'GF Annual'!$65:$65,'GF Annual'!$66:$66,'GF Annual'!$67:$67,'GF Annual'!$69:$69,'GF Annual'!$70:$70</definedName>
    <definedName name="QB_FORMULA_0" localSheetId="11" hidden="1">'CIP 2015 Annual'!$AE$4,'CIP 2015 Annual'!$AE$5,'CIP 2015 Annual'!$E$6,'CIP 2015 Annual'!$G$6,'CIP 2015 Annual'!$I$6,'CIP 2015 Annual'!$K$6,'CIP 2015 Annual'!$M$6,'CIP 2015 Annual'!$O$6,'CIP 2015 Annual'!$Q$6,'CIP 2015 Annual'!$S$6,'CIP 2015 Annual'!$U$6,'CIP 2015 Annual'!$W$6,'CIP 2015 Annual'!$Y$6,'CIP 2015 Annual'!$AA$6,'CIP 2015 Annual'!$AC$6,'CIP 2015 Annual'!$AE$6</definedName>
    <definedName name="QB_FORMULA_0" localSheetId="12" hidden="1">'GF Annual'!$AH$4,'GF Annual'!$AH$5,'GF Annual'!$AH$6,'GF Annual'!$AH$7,'GF Annual'!$AH$8,'GF Annual'!$AH$9,'GF Annual'!$AH$10,'GF Annual'!$AH$11,'GF Annual'!$AH$12,'GF Annual'!$AH$13,'GF Annual'!$AH$14,'GF Annual'!$H$15,'GF Annual'!$J$15,'GF Annual'!$L$15,'GF Annual'!$N$15,'GF Annual'!$P$15</definedName>
    <definedName name="QB_FORMULA_0" localSheetId="10" hidden="1">'March Annual'!$T$4,'March Annual'!$T$5,'March Annual'!$T$6,'March Annual'!$T$7,'March Annual'!$T$8,'March Annual'!$T$9,'March Annual'!$T$10,'March Annual'!$T$11,'March Annual'!$T$12,'March Annual'!$T$13,'March Annual'!$T$14,'March Annual'!$H$15,'March Annual'!$J$15,'March Annual'!$L$15,'March Annual'!$N$15,'March Annual'!$P$15</definedName>
    <definedName name="QB_FORMULA_1" localSheetId="11" hidden="1">'CIP 2015 Annual'!$AE$8,'CIP 2015 Annual'!$AE$9,'CIP 2015 Annual'!$AE$10,'CIP 2015 Annual'!$AE$11,'CIP 2015 Annual'!$AE$12,'CIP 2015 Annual'!$E$13,'CIP 2015 Annual'!$G$13,'CIP 2015 Annual'!$I$13,'CIP 2015 Annual'!$K$13,'CIP 2015 Annual'!$M$13,'CIP 2015 Annual'!$O$13,'CIP 2015 Annual'!$Q$13,'CIP 2015 Annual'!$S$13,'CIP 2015 Annual'!$U$13,'CIP 2015 Annual'!$W$13,'CIP 2015 Annual'!$Y$13</definedName>
    <definedName name="QB_FORMULA_1" localSheetId="12" hidden="1">'GF Annual'!$R$15,'GF Annual'!$T$15,'GF Annual'!$V$15,'GF Annual'!$X$15,'GF Annual'!$Z$15,'GF Annual'!$AB$15,'GF Annual'!$AD$15,'GF Annual'!$AF$15,'GF Annual'!$AH$15,'GF Annual'!$H$16,'GF Annual'!$J$16,'GF Annual'!$L$16,'GF Annual'!$N$16,'GF Annual'!$P$16,'GF Annual'!$R$16,'GF Annual'!$T$16</definedName>
    <definedName name="QB_FORMULA_1" localSheetId="10" hidden="1">'March Annual'!$R$15,'March Annual'!$T$15,'March Annual'!$H$16,'March Annual'!$J$16,'March Annual'!$L$16,'March Annual'!$N$16,'March Annual'!$P$16,'March Annual'!$R$16,'March Annual'!$T$16,'March Annual'!$T$19,'March Annual'!$T$20,'March Annual'!$T$21,'March Annual'!$T$22,'March Annual'!$T$23,'March Annual'!$T$24,'March Annual'!$T$25</definedName>
    <definedName name="QB_FORMULA_10" localSheetId="12" hidden="1">'GF Annual'!$X$71,'GF Annual'!$Z$71,'GF Annual'!$AB$71,'GF Annual'!$AD$71,'GF Annual'!$AF$71,'GF Annual'!$AH$71,'GF Annual'!$H$72,'GF Annual'!$J$72,'GF Annual'!$L$72,'GF Annual'!$N$72,'GF Annual'!$P$72,'GF Annual'!$R$72,'GF Annual'!$T$72,'GF Annual'!$V$72,'GF Annual'!$X$72,'GF Annual'!$Z$72</definedName>
    <definedName name="QB_FORMULA_11" localSheetId="12" hidden="1">'GF Annual'!$AB$72,'GF Annual'!$AD$72,'GF Annual'!$AF$72,'GF Annual'!$AH$72,'GF Annual'!$H$73,'GF Annual'!$J$73,'GF Annual'!$L$73,'GF Annual'!$N$73,'GF Annual'!$P$73,'GF Annual'!$R$73,'GF Annual'!$T$73,'GF Annual'!$V$73,'GF Annual'!$X$73,'GF Annual'!$Z$73,'GF Annual'!$AB$73,'GF Annual'!$AD$73</definedName>
    <definedName name="QB_FORMULA_12" localSheetId="12" hidden="1">'GF Annual'!$AF$73,'GF Annual'!$AH$73</definedName>
    <definedName name="QB_FORMULA_2" localSheetId="11" hidden="1">'CIP 2015 Annual'!$AA$13,'CIP 2015 Annual'!$AC$13,'CIP 2015 Annual'!$AE$13,'CIP 2015 Annual'!$E$14,'CIP 2015 Annual'!$G$14,'CIP 2015 Annual'!$I$14,'CIP 2015 Annual'!$K$14,'CIP 2015 Annual'!$M$14,'CIP 2015 Annual'!$O$14,'CIP 2015 Annual'!$Q$14,'CIP 2015 Annual'!$S$14,'CIP 2015 Annual'!$U$14,'CIP 2015 Annual'!$W$14,'CIP 2015 Annual'!$Y$14,'CIP 2015 Annual'!$AA$14,'CIP 2015 Annual'!$AC$14</definedName>
    <definedName name="QB_FORMULA_2" localSheetId="12" hidden="1">'GF Annual'!$V$16,'GF Annual'!$X$16,'GF Annual'!$Z$16,'GF Annual'!$AB$16,'GF Annual'!$AD$16,'GF Annual'!$AF$16,'GF Annual'!$AH$16,'GF Annual'!$AH$19,'GF Annual'!$AH$20,'GF Annual'!$AH$21,'GF Annual'!$AH$22,'GF Annual'!$AH$23,'GF Annual'!$AH$24,'GF Annual'!$AH$25,'GF Annual'!$AH$26,'GF Annual'!$AH$27</definedName>
    <definedName name="QB_FORMULA_2" localSheetId="10" hidden="1">'March Annual'!$T$26,'March Annual'!$T$28,'March Annual'!$T$29,'March Annual'!$H$30,'March Annual'!$J$30,'March Annual'!$L$30,'March Annual'!$N$30,'March Annual'!$P$30,'March Annual'!$R$30,'March Annual'!$T$30,'March Annual'!$T$31,'March Annual'!$T$32,'March Annual'!$T$33,'March Annual'!$H$34,'March Annual'!$J$34,'March Annual'!$L$34</definedName>
    <definedName name="QB_FORMULA_3" localSheetId="11" hidden="1">'CIP 2015 Annual'!$AE$14,'CIP 2015 Annual'!$AE$17,'CIP 2015 Annual'!$E$18,'CIP 2015 Annual'!$G$18,'CIP 2015 Annual'!$I$18,'CIP 2015 Annual'!$K$18,'CIP 2015 Annual'!$M$18,'CIP 2015 Annual'!$O$18,'CIP 2015 Annual'!$Q$18,'CIP 2015 Annual'!$S$18,'CIP 2015 Annual'!$U$18,'CIP 2015 Annual'!$W$18,'CIP 2015 Annual'!$Y$18,'CIP 2015 Annual'!$AA$18,'CIP 2015 Annual'!$AC$18,'CIP 2015 Annual'!$AE$18</definedName>
    <definedName name="QB_FORMULA_3" localSheetId="12" hidden="1">'GF Annual'!$AH$28,'GF Annual'!$AH$29,'GF Annual'!$AH$30,'GF Annual'!$H$31,'GF Annual'!$J$31,'GF Annual'!$L$31,'GF Annual'!$N$31,'GF Annual'!$P$31,'GF Annual'!$R$31,'GF Annual'!$T$31,'GF Annual'!$V$31,'GF Annual'!$X$31,'GF Annual'!$Z$31,'GF Annual'!$AB$31,'GF Annual'!$AD$31,'GF Annual'!$AF$31</definedName>
    <definedName name="QB_FORMULA_3" localSheetId="10" hidden="1">'March Annual'!$N$34,'March Annual'!$P$34,'March Annual'!$R$34,'March Annual'!$T$34,'March Annual'!$T$36,'March Annual'!$T$37,'March Annual'!$T$38,'March Annual'!$T$39,'March Annual'!$T$40,'March Annual'!$T$41,'March Annual'!$T$42,'March Annual'!$T$43,'March Annual'!$T$44,'March Annual'!$T$45,'March Annual'!$T$46,'March Annual'!$T$47</definedName>
    <definedName name="QB_FORMULA_4" localSheetId="11" hidden="1">'CIP 2015 Annual'!$E$19,'CIP 2015 Annual'!$G$19,'CIP 2015 Annual'!$I$19,'CIP 2015 Annual'!$K$19,'CIP 2015 Annual'!$M$19,'CIP 2015 Annual'!$O$19,'CIP 2015 Annual'!$Q$19,'CIP 2015 Annual'!$S$19,'CIP 2015 Annual'!$U$19,'CIP 2015 Annual'!$W$19,'CIP 2015 Annual'!$Y$19,'CIP 2015 Annual'!$AA$19,'CIP 2015 Annual'!$AC$19,'CIP 2015 Annual'!$AE$19,'CIP 2015 Annual'!$E$20,'CIP 2015 Annual'!$G$20</definedName>
    <definedName name="QB_FORMULA_4" localSheetId="12" hidden="1">'GF Annual'!$AH$31,'GF Annual'!$AH$33,'GF Annual'!$AH$34,'GF Annual'!$AH$35,'GF Annual'!$AH$36,'GF Annual'!$AH$37,'GF Annual'!$AH$38,'GF Annual'!$AH$39,'GF Annual'!$AH$40,'GF Annual'!$AH$41,'GF Annual'!$AH$42,'GF Annual'!$AH$43,'GF Annual'!$AH$45,'GF Annual'!$AH$46,'GF Annual'!$H$47,'GF Annual'!$J$47</definedName>
    <definedName name="QB_FORMULA_4" localSheetId="10" hidden="1">'March Annual'!$T$48,'March Annual'!$T$49,'March Annual'!$T$50,'March Annual'!$T$51,'March Annual'!$T$52,'March Annual'!$T$53,'March Annual'!$T$54,'March Annual'!$T$55,'March Annual'!$T$56,'March Annual'!$T$57,'March Annual'!$H$58,'March Annual'!$J$58,'March Annual'!$L$58,'March Annual'!$N$58,'March Annual'!$P$58,'March Annual'!$R$58</definedName>
    <definedName name="QB_FORMULA_5" localSheetId="11" hidden="1">'CIP 2015 Annual'!$I$20,'CIP 2015 Annual'!$K$20,'CIP 2015 Annual'!$M$20,'CIP 2015 Annual'!$O$20,'CIP 2015 Annual'!$Q$20,'CIP 2015 Annual'!$S$20,'CIP 2015 Annual'!$U$20,'CIP 2015 Annual'!$W$20,'CIP 2015 Annual'!$Y$20,'CIP 2015 Annual'!$AA$20,'CIP 2015 Annual'!$AC$20,'CIP 2015 Annual'!$AE$20</definedName>
    <definedName name="QB_FORMULA_5" localSheetId="12" hidden="1">'GF Annual'!$L$47,'GF Annual'!$N$47,'GF Annual'!$P$47,'GF Annual'!$R$47,'GF Annual'!$T$47,'GF Annual'!$V$47,'GF Annual'!$X$47,'GF Annual'!$Z$47,'GF Annual'!$AB$47,'GF Annual'!$AD$47,'GF Annual'!$AF$47,'GF Annual'!$AH$47,'GF Annual'!$AH$48,'GF Annual'!$AH$49,'GF Annual'!$AH$50,'GF Annual'!$AH$52</definedName>
    <definedName name="QB_FORMULA_5" localSheetId="10" hidden="1">'March Annual'!$T$58,'March Annual'!$T$60,'March Annual'!$H$61,'March Annual'!$J$61,'March Annual'!$L$61,'March Annual'!$N$61,'March Annual'!$P$61,'March Annual'!$R$61,'March Annual'!$T$61,'March Annual'!$T$62,'March Annual'!$H$63,'March Annual'!$J$63,'March Annual'!$L$63,'March Annual'!$N$63,'March Annual'!$P$63,'March Annual'!$R$63</definedName>
    <definedName name="QB_FORMULA_6" localSheetId="12" hidden="1">'GF Annual'!$AH$53,'GF Annual'!$H$54,'GF Annual'!$J$54,'GF Annual'!$L$54,'GF Annual'!$N$54,'GF Annual'!$P$54,'GF Annual'!$R$54,'GF Annual'!$T$54,'GF Annual'!$V$54,'GF Annual'!$X$54,'GF Annual'!$Z$54,'GF Annual'!$AB$54,'GF Annual'!$AD$54,'GF Annual'!$AF$54,'GF Annual'!$AH$54,'GF Annual'!$AH$55</definedName>
    <definedName name="QB_FORMULA_6" localSheetId="10" hidden="1">'March Annual'!$T$63,'March Annual'!$H$64,'March Annual'!$J$64,'March Annual'!$L$64,'March Annual'!$N$64,'March Annual'!$P$64,'March Annual'!$R$64,'March Annual'!$T$64,'March Annual'!$H$65,'March Annual'!$J$65,'March Annual'!$L$65,'March Annual'!$N$65,'March Annual'!$P$65,'March Annual'!$R$65,'March Annual'!$T$65</definedName>
    <definedName name="QB_FORMULA_7" localSheetId="12" hidden="1">'GF Annual'!$AH$56,'GF Annual'!$AH$57,'GF Annual'!$AH$58,'GF Annual'!$AH$59,'GF Annual'!$AH$60,'GF Annual'!$AH$61,'GF Annual'!$AH$62,'GF Annual'!$H$63,'GF Annual'!$J$63,'GF Annual'!$L$63,'GF Annual'!$N$63,'GF Annual'!$P$63,'GF Annual'!$R$63,'GF Annual'!$T$63,'GF Annual'!$V$63,'GF Annual'!$X$63</definedName>
    <definedName name="QB_FORMULA_8" localSheetId="12" hidden="1">'GF Annual'!$Z$63,'GF Annual'!$AB$63,'GF Annual'!$AD$63,'GF Annual'!$AF$63,'GF Annual'!$AH$63,'GF Annual'!$AH$65,'GF Annual'!$AH$66,'GF Annual'!$AH$67,'GF Annual'!$H$68,'GF Annual'!$J$68,'GF Annual'!$L$68,'GF Annual'!$N$68,'GF Annual'!$P$68,'GF Annual'!$R$68,'GF Annual'!$T$68,'GF Annual'!$V$68</definedName>
    <definedName name="QB_FORMULA_9" localSheetId="12" hidden="1">'GF Annual'!$X$68,'GF Annual'!$Z$68,'GF Annual'!$AB$68,'GF Annual'!$AD$68,'GF Annual'!$AF$68,'GF Annual'!$AH$68,'GF Annual'!$AH$69,'GF Annual'!$AH$70,'GF Annual'!$H$71,'GF Annual'!$J$71,'GF Annual'!$L$71,'GF Annual'!$N$71,'GF Annual'!$P$71,'GF Annual'!$R$71,'GF Annual'!$T$71,'GF Annual'!$V$71</definedName>
    <definedName name="QB_ROW_102250" localSheetId="12" hidden="1">'GF Annual'!$F$21</definedName>
    <definedName name="QB_ROW_102250" localSheetId="10" hidden="1">'March Annual'!$F$21</definedName>
    <definedName name="QB_ROW_10230" localSheetId="11" hidden="1">'CIP 2015 Annual'!$D$4</definedName>
    <definedName name="QB_ROW_103250" localSheetId="12" hidden="1">'GF Annual'!$F$22</definedName>
    <definedName name="QB_ROW_103250" localSheetId="10" hidden="1">'March Annual'!$F$22</definedName>
    <definedName name="QB_ROW_104250" localSheetId="12" hidden="1">'GF Annual'!$F$23</definedName>
    <definedName name="QB_ROW_104250" localSheetId="10" hidden="1">'March Annual'!$F$23</definedName>
    <definedName name="QB_ROW_107260" localSheetId="12" hidden="1">'GF Annual'!$G$52</definedName>
    <definedName name="QB_ROW_112240" localSheetId="12" hidden="1">'GF Annual'!$E$9</definedName>
    <definedName name="QB_ROW_112240" localSheetId="10" hidden="1">'March Annual'!$E$10</definedName>
    <definedName name="QB_ROW_113240" localSheetId="10" hidden="1">'March Annual'!$E$8</definedName>
    <definedName name="QB_ROW_114240" localSheetId="12" hidden="1">'GF Annual'!$E$8</definedName>
    <definedName name="QB_ROW_114240" localSheetId="10" hidden="1">'March Annual'!$E$9</definedName>
    <definedName name="QB_ROW_117260" localSheetId="10" hidden="1">'March Annual'!$G$28</definedName>
    <definedName name="QB_ROW_134250" localSheetId="12" hidden="1">'GF Annual'!$F$56</definedName>
    <definedName name="QB_ROW_134250" localSheetId="10" hidden="1">'March Annual'!$F$51</definedName>
    <definedName name="QB_ROW_138250" localSheetId="12" hidden="1">'GF Annual'!$F$57</definedName>
    <definedName name="QB_ROW_138250" localSheetId="10" hidden="1">'March Annual'!$F$52</definedName>
    <definedName name="QB_ROW_139250" localSheetId="12" hidden="1">'GF Annual'!$F$40</definedName>
    <definedName name="QB_ROW_139250" localSheetId="10" hidden="1">'March Annual'!$F$41</definedName>
    <definedName name="QB_ROW_140250" localSheetId="12" hidden="1">'GF Annual'!$F$30</definedName>
    <definedName name="QB_ROW_140250" localSheetId="10" hidden="1">'March Annual'!$F$33</definedName>
    <definedName name="QB_ROW_14230" localSheetId="11" hidden="1">'CIP 2015 Annual'!$D$12</definedName>
    <definedName name="QB_ROW_143250" localSheetId="12" hidden="1">'GF Annual'!$F$59</definedName>
    <definedName name="QB_ROW_143250" localSheetId="10" hidden="1">'March Annual'!$F$55</definedName>
    <definedName name="QB_ROW_147240" localSheetId="12" hidden="1">'GF Annual'!$E$70</definedName>
    <definedName name="QB_ROW_157250" localSheetId="10" hidden="1">'March Annual'!$F$53</definedName>
    <definedName name="QB_ROW_166260" localSheetId="12" hidden="1">'GF Annual'!$G$45</definedName>
    <definedName name="QB_ROW_18301" localSheetId="11" hidden="1">'CIP 2015 Annual'!$A$20</definedName>
    <definedName name="QB_ROW_18301" localSheetId="12" hidden="1">'GF Annual'!$A$73</definedName>
    <definedName name="QB_ROW_18301" localSheetId="10" hidden="1">'March Annual'!$A$65</definedName>
    <definedName name="QB_ROW_19011" localSheetId="11" hidden="1">'CIP 2015 Annual'!$B$2</definedName>
    <definedName name="QB_ROW_19011" localSheetId="12" hidden="1">'GF Annual'!$B$2</definedName>
    <definedName name="QB_ROW_19011" localSheetId="10" hidden="1">'March Annual'!$B$2</definedName>
    <definedName name="QB_ROW_19311" localSheetId="11" hidden="1">'CIP 2015 Annual'!$B$14</definedName>
    <definedName name="QB_ROW_19311" localSheetId="12" hidden="1">'GF Annual'!$B$72</definedName>
    <definedName name="QB_ROW_19311" localSheetId="10" hidden="1">'March Annual'!$B$64</definedName>
    <definedName name="QB_ROW_20021" localSheetId="11" hidden="1">'CIP 2015 Annual'!$C$3</definedName>
    <definedName name="QB_ROW_20031" localSheetId="12" hidden="1">'GF Annual'!$D$3</definedName>
    <definedName name="QB_ROW_20031" localSheetId="10" hidden="1">'March Annual'!$D$3</definedName>
    <definedName name="QB_ROW_20321" localSheetId="11" hidden="1">'CIP 2015 Annual'!$C$6</definedName>
    <definedName name="QB_ROW_20331" localSheetId="12" hidden="1">'GF Annual'!$D$15</definedName>
    <definedName name="QB_ROW_20331" localSheetId="10" hidden="1">'March Annual'!$D$15</definedName>
    <definedName name="QB_ROW_21021" localSheetId="11" hidden="1">'CIP 2015 Annual'!$C$7</definedName>
    <definedName name="QB_ROW_21031" localSheetId="12" hidden="1">'GF Annual'!$D$17</definedName>
    <definedName name="QB_ROW_21031" localSheetId="10" hidden="1">'March Annual'!$D$17</definedName>
    <definedName name="QB_ROW_21321" localSheetId="11" hidden="1">'CIP 2015 Annual'!$C$13</definedName>
    <definedName name="QB_ROW_21331" localSheetId="12" hidden="1">'GF Annual'!$D$71</definedName>
    <definedName name="QB_ROW_21331" localSheetId="10" hidden="1">'March Annual'!$D$63</definedName>
    <definedName name="QB_ROW_22011" localSheetId="11" hidden="1">'CIP 2015 Annual'!$B$15</definedName>
    <definedName name="QB_ROW_22311" localSheetId="11" hidden="1">'CIP 2015 Annual'!$B$19</definedName>
    <definedName name="QB_ROW_2240" localSheetId="12" hidden="1">'GF Annual'!$E$69</definedName>
    <definedName name="QB_ROW_2240" localSheetId="10" hidden="1">'March Annual'!$E$62</definedName>
    <definedName name="QB_ROW_23021" localSheetId="11" hidden="1">'CIP 2015 Annual'!$C$16</definedName>
    <definedName name="QB_ROW_23321" localSheetId="11" hidden="1">'CIP 2015 Annual'!$C$18</definedName>
    <definedName name="QB_ROW_25230" localSheetId="11" hidden="1">'CIP 2015 Annual'!$D$9</definedName>
    <definedName name="QB_ROW_28230" localSheetId="11" hidden="1">'CIP 2015 Annual'!$D$10</definedName>
    <definedName name="QB_ROW_30230" localSheetId="11" hidden="1">'CIP 2015 Annual'!$D$8</definedName>
    <definedName name="QB_ROW_30240" localSheetId="12" hidden="1">'GF Annual'!$E$4</definedName>
    <definedName name="QB_ROW_30240" localSheetId="10" hidden="1">'March Annual'!$E$4</definedName>
    <definedName name="QB_ROW_32240" localSheetId="12" hidden="1">'GF Annual'!$E$5</definedName>
    <definedName name="QB_ROW_32240" localSheetId="10" hidden="1">'March Annual'!$E$5</definedName>
    <definedName name="QB_ROW_34230" localSheetId="11" hidden="1">'CIP 2015 Annual'!$D$17</definedName>
    <definedName name="QB_ROW_35240" localSheetId="12" hidden="1">'GF Annual'!$E$6</definedName>
    <definedName name="QB_ROW_35240" localSheetId="10" hidden="1">'March Annual'!$E$6</definedName>
    <definedName name="QB_ROW_36240" localSheetId="12" hidden="1">'GF Annual'!$E$10</definedName>
    <definedName name="QB_ROW_36240" localSheetId="10" hidden="1">'March Annual'!$E$11</definedName>
    <definedName name="QB_ROW_37240" localSheetId="12" hidden="1">'GF Annual'!$E$11</definedName>
    <definedName name="QB_ROW_37240" localSheetId="10" hidden="1">'March Annual'!$E$12</definedName>
    <definedName name="QB_ROW_38240" localSheetId="12" hidden="1">'GF Annual'!$E$12</definedName>
    <definedName name="QB_ROW_38240" localSheetId="10" hidden="1">'March Annual'!$E$13</definedName>
    <definedName name="QB_ROW_39230" localSheetId="11" hidden="1">'CIP 2015 Annual'!$D$11</definedName>
    <definedName name="QB_ROW_40230" localSheetId="11" hidden="1">'CIP 2015 Annual'!$D$5</definedName>
    <definedName name="QB_ROW_42240" localSheetId="12" hidden="1">'GF Annual'!$E$14</definedName>
    <definedName name="QB_ROW_42240" localSheetId="10" hidden="1">'March Annual'!$E$14</definedName>
    <definedName name="QB_ROW_43250" localSheetId="12" hidden="1">'GF Annual'!$F$19</definedName>
    <definedName name="QB_ROW_43250" localSheetId="10" hidden="1">'March Annual'!$F$19</definedName>
    <definedName name="QB_ROW_44250" localSheetId="12" hidden="1">'GF Annual'!$F$20</definedName>
    <definedName name="QB_ROW_44250" localSheetId="10" hidden="1">'March Annual'!$F$20</definedName>
    <definedName name="QB_ROW_46250" localSheetId="12" hidden="1">'GF Annual'!$F$24</definedName>
    <definedName name="QB_ROW_46250" localSheetId="10" hidden="1">'March Annual'!$F$24</definedName>
    <definedName name="QB_ROW_47250" localSheetId="12" hidden="1">'GF Annual'!$F$26</definedName>
    <definedName name="QB_ROW_47250" localSheetId="10" hidden="1">'March Annual'!$F$26</definedName>
    <definedName name="QB_ROW_48050" localSheetId="10" hidden="1">'March Annual'!$F$27</definedName>
    <definedName name="QB_ROW_48260" localSheetId="10" hidden="1">'March Annual'!$G$29</definedName>
    <definedName name="QB_ROW_48350" localSheetId="12" hidden="1">'GF Annual'!$F$27</definedName>
    <definedName name="QB_ROW_48350" localSheetId="10" hidden="1">'March Annual'!$F$30</definedName>
    <definedName name="QB_ROW_49250" localSheetId="12" hidden="1">'GF Annual'!$F$28</definedName>
    <definedName name="QB_ROW_49250" localSheetId="10" hidden="1">'March Annual'!$F$31</definedName>
    <definedName name="QB_ROW_50250" localSheetId="12" hidden="1">'GF Annual'!$F$33</definedName>
    <definedName name="QB_ROW_50250" localSheetId="10" hidden="1">'March Annual'!$F$36</definedName>
    <definedName name="QB_ROW_51250" localSheetId="12" hidden="1">'GF Annual'!$F$34</definedName>
    <definedName name="QB_ROW_52250" localSheetId="12" hidden="1">'GF Annual'!$F$35</definedName>
    <definedName name="QB_ROW_52250" localSheetId="10" hidden="1">'March Annual'!$F$37</definedName>
    <definedName name="QB_ROW_53250" localSheetId="12" hidden="1">'GF Annual'!$F$36</definedName>
    <definedName name="QB_ROW_53250" localSheetId="10" hidden="1">'March Annual'!$F$38</definedName>
    <definedName name="QB_ROW_54250" localSheetId="12" hidden="1">'GF Annual'!$F$37</definedName>
    <definedName name="QB_ROW_54250" localSheetId="10" hidden="1">'March Annual'!$F$39</definedName>
    <definedName name="QB_ROW_55250" localSheetId="12" hidden="1">'GF Annual'!$F$38</definedName>
    <definedName name="QB_ROW_56250" localSheetId="12" hidden="1">'GF Annual'!$F$39</definedName>
    <definedName name="QB_ROW_56250" localSheetId="10" hidden="1">'March Annual'!$F$40</definedName>
    <definedName name="QB_ROW_57250" localSheetId="12" hidden="1">'GF Annual'!$F$41</definedName>
    <definedName name="QB_ROW_57250" localSheetId="10" hidden="1">'March Annual'!$F$42</definedName>
    <definedName name="QB_ROW_58250" localSheetId="12" hidden="1">'GF Annual'!$F$42</definedName>
    <definedName name="QB_ROW_58250" localSheetId="10" hidden="1">'March Annual'!$F$43</definedName>
    <definedName name="QB_ROW_59250" localSheetId="12" hidden="1">'GF Annual'!$F$43</definedName>
    <definedName name="QB_ROW_59250" localSheetId="10" hidden="1">'March Annual'!$F$44</definedName>
    <definedName name="QB_ROW_60050" localSheetId="12" hidden="1">'GF Annual'!$F$44</definedName>
    <definedName name="QB_ROW_60260" localSheetId="12" hidden="1">'GF Annual'!$G$46</definedName>
    <definedName name="QB_ROW_60350" localSheetId="12" hidden="1">'GF Annual'!$F$47</definedName>
    <definedName name="QB_ROW_60350" localSheetId="10" hidden="1">'March Annual'!$F$45</definedName>
    <definedName name="QB_ROW_61250" localSheetId="12" hidden="1">'GF Annual'!$F$48</definedName>
    <definedName name="QB_ROW_61250" localSheetId="10" hidden="1">'March Annual'!$F$46</definedName>
    <definedName name="QB_ROW_62250" localSheetId="12" hidden="1">'GF Annual'!$F$49</definedName>
    <definedName name="QB_ROW_62250" localSheetId="10" hidden="1">'March Annual'!$F$47</definedName>
    <definedName name="QB_ROW_63250" localSheetId="12" hidden="1">'GF Annual'!$F$50</definedName>
    <definedName name="QB_ROW_63250" localSheetId="10" hidden="1">'March Annual'!$F$48</definedName>
    <definedName name="QB_ROW_64050" localSheetId="12" hidden="1">'GF Annual'!$F$51</definedName>
    <definedName name="QB_ROW_64260" localSheetId="12" hidden="1">'GF Annual'!$G$53</definedName>
    <definedName name="QB_ROW_64350" localSheetId="12" hidden="1">'GF Annual'!$F$54</definedName>
    <definedName name="QB_ROW_64350" localSheetId="10" hidden="1">'March Annual'!$F$49</definedName>
    <definedName name="QB_ROW_65250" localSheetId="12" hidden="1">'GF Annual'!$F$55</definedName>
    <definedName name="QB_ROW_65250" localSheetId="10" hidden="1">'March Annual'!$F$50</definedName>
    <definedName name="QB_ROW_66250" localSheetId="12" hidden="1">'GF Annual'!$F$58</definedName>
    <definedName name="QB_ROW_66250" localSheetId="10" hidden="1">'March Annual'!$F$54</definedName>
    <definedName name="QB_ROW_68250" localSheetId="12" hidden="1">'GF Annual'!$F$60</definedName>
    <definedName name="QB_ROW_68250" localSheetId="10" hidden="1">'March Annual'!$F$56</definedName>
    <definedName name="QB_ROW_70250" localSheetId="12" hidden="1">'GF Annual'!$F$61</definedName>
    <definedName name="QB_ROW_70250" localSheetId="10" hidden="1">'March Annual'!$F$57</definedName>
    <definedName name="QB_ROW_75250" localSheetId="12" hidden="1">'GF Annual'!$F$65</definedName>
    <definedName name="QB_ROW_75250" localSheetId="10" hidden="1">'March Annual'!$F$60</definedName>
    <definedName name="QB_ROW_78240" localSheetId="12" hidden="1">'GF Annual'!$E$13</definedName>
    <definedName name="QB_ROW_79240" localSheetId="12" hidden="1">'GF Annual'!$E$7</definedName>
    <definedName name="QB_ROW_79240" localSheetId="10" hidden="1">'March Annual'!$E$7</definedName>
    <definedName name="QB_ROW_80250" localSheetId="12" hidden="1">'GF Annual'!$F$66</definedName>
    <definedName name="QB_ROW_81250" localSheetId="12" hidden="1">'GF Annual'!$F$67</definedName>
    <definedName name="QB_ROW_84040" localSheetId="12" hidden="1">'GF Annual'!$E$18</definedName>
    <definedName name="QB_ROW_84040" localSheetId="10" hidden="1">'March Annual'!$E$18</definedName>
    <definedName name="QB_ROW_84340" localSheetId="12" hidden="1">'GF Annual'!$E$31</definedName>
    <definedName name="QB_ROW_84340" localSheetId="10" hidden="1">'March Annual'!$E$34</definedName>
    <definedName name="QB_ROW_85040" localSheetId="12" hidden="1">'GF Annual'!$E$32</definedName>
    <definedName name="QB_ROW_85040" localSheetId="10" hidden="1">'March Annual'!$E$35</definedName>
    <definedName name="QB_ROW_85250" localSheetId="12" hidden="1">'GF Annual'!$F$62</definedName>
    <definedName name="QB_ROW_85340" localSheetId="12" hidden="1">'GF Annual'!$E$63</definedName>
    <definedName name="QB_ROW_85340" localSheetId="10" hidden="1">'March Annual'!$E$58</definedName>
    <definedName name="QB_ROW_86040" localSheetId="12" hidden="1">'GF Annual'!$E$64</definedName>
    <definedName name="QB_ROW_86040" localSheetId="10" hidden="1">'March Annual'!$E$59</definedName>
    <definedName name="QB_ROW_86321" localSheetId="12" hidden="1">'GF Annual'!$C$16</definedName>
    <definedName name="QB_ROW_86321" localSheetId="10" hidden="1">'March Annual'!$C$16</definedName>
    <definedName name="QB_ROW_86340" localSheetId="12" hidden="1">'GF Annual'!$E$68</definedName>
    <definedName name="QB_ROW_86340" localSheetId="10" hidden="1">'March Annual'!$E$61</definedName>
    <definedName name="QB_ROW_90250" localSheetId="12" hidden="1">'GF Annual'!$F$25</definedName>
    <definedName name="QB_ROW_90250" localSheetId="10" hidden="1">'March Annual'!$F$25</definedName>
    <definedName name="QB_ROW_91250" localSheetId="12" hidden="1">'GF Annual'!$F$29</definedName>
    <definedName name="QB_ROW_91250" localSheetId="10" hidden="1">'March Annual'!$F$32</definedName>
    <definedName name="QBCANSUPPORTUPDATE" localSheetId="11">TRUE</definedName>
    <definedName name="QBCANSUPPORTUPDATE" localSheetId="12">TRUE</definedName>
    <definedName name="QBCANSUPPORTUPDATE" localSheetId="10">TRUE</definedName>
    <definedName name="QBCOMPANYFILENAME" localSheetId="11">"C:\Users\seth.WHOPA\Desktop\Assembly\Other\FERWCD - Capital Projects Fund (QuickBooks2013 Sep 14,2015  11 40 AM).QBA"</definedName>
    <definedName name="QBCOMPANYFILENAME" localSheetId="12">"C:\Users\seth.WHOPA\Desktop\Assembly\Other\Flagler Estates Road and Water Control District (QuickBooks2013 Sep 14,2015  11 51 AM).QBA"</definedName>
    <definedName name="QBCOMPANYFILENAME" localSheetId="10">"I:\F\FLAGLER ESTATES ROAD AND WATER CTL DIST\Flagler Estates Road and Water Control District.QBW"</definedName>
    <definedName name="QBENDDATE" localSheetId="11">20150930</definedName>
    <definedName name="QBENDDATE" localSheetId="12">20150930</definedName>
    <definedName name="QBENDDATE" localSheetId="10">20160331</definedName>
    <definedName name="QBHEADERSONSCREEN" localSheetId="11">FALSE</definedName>
    <definedName name="QBHEADERSONSCREEN" localSheetId="12">FALSE</definedName>
    <definedName name="QBHEADERSONSCREEN" localSheetId="10">FALSE</definedName>
    <definedName name="QBMETADATASIZE" localSheetId="11">5802</definedName>
    <definedName name="QBMETADATASIZE" localSheetId="12">5802</definedName>
    <definedName name="QBMETADATASIZE" localSheetId="10">5892</definedName>
    <definedName name="QBPRESERVECOLOR" localSheetId="11">TRUE</definedName>
    <definedName name="QBPRESERVECOLOR" localSheetId="12">TRUE</definedName>
    <definedName name="QBPRESERVECOLOR" localSheetId="10">TRUE</definedName>
    <definedName name="QBPRESERVEFONT" localSheetId="11">TRUE</definedName>
    <definedName name="QBPRESERVEFONT" localSheetId="12">TRUE</definedName>
    <definedName name="QBPRESERVEFONT" localSheetId="10">TRUE</definedName>
    <definedName name="QBPRESERVEROWHEIGHT" localSheetId="11">TRUE</definedName>
    <definedName name="QBPRESERVEROWHEIGHT" localSheetId="12">TRUE</definedName>
    <definedName name="QBPRESERVEROWHEIGHT" localSheetId="10">TRUE</definedName>
    <definedName name="QBPRESERVESPACE" localSheetId="11">TRUE</definedName>
    <definedName name="QBPRESERVESPACE" localSheetId="12">TRUE</definedName>
    <definedName name="QBPRESERVESPACE" localSheetId="10">TRUE</definedName>
    <definedName name="QBREPORTCOLAXIS" localSheetId="11">6</definedName>
    <definedName name="QBREPORTCOLAXIS" localSheetId="12">6</definedName>
    <definedName name="QBREPORTCOLAXIS" localSheetId="10">6</definedName>
    <definedName name="QBREPORTCOMPANYID" localSheetId="11">"7c34e4d4f3194fa89562ae27fdddaad8"</definedName>
    <definedName name="QBREPORTCOMPANYID" localSheetId="12">"e6b158b35f0c4a19ad0e19bfb00e27ae"</definedName>
    <definedName name="QBREPORTCOMPANYID" localSheetId="10">"e6b158b35f0c4a19ad0e19bfb00e27ae"</definedName>
    <definedName name="QBREPORTCOMPARECOL_ANNUALBUDGET" localSheetId="11">FALSE</definedName>
    <definedName name="QBREPORTCOMPARECOL_ANNUALBUDGET" localSheetId="12">FALSE</definedName>
    <definedName name="QBREPORTCOMPARECOL_ANNUALBUDGET" localSheetId="10">FALSE</definedName>
    <definedName name="QBREPORTCOMPARECOL_AVGCOGS" localSheetId="11">FALSE</definedName>
    <definedName name="QBREPORTCOMPARECOL_AVGCOGS" localSheetId="12">FALSE</definedName>
    <definedName name="QBREPORTCOMPARECOL_AVGCOGS" localSheetId="10">FALSE</definedName>
    <definedName name="QBREPORTCOMPARECOL_AVGPRICE" localSheetId="11">FALSE</definedName>
    <definedName name="QBREPORTCOMPARECOL_AVGPRICE" localSheetId="12">FALSE</definedName>
    <definedName name="QBREPORTCOMPARECOL_AVGPRICE" localSheetId="10">FALSE</definedName>
    <definedName name="QBREPORTCOMPARECOL_BUDDIFF" localSheetId="11">FALSE</definedName>
    <definedName name="QBREPORTCOMPARECOL_BUDDIFF" localSheetId="12">FALSE</definedName>
    <definedName name="QBREPORTCOMPARECOL_BUDDIFF" localSheetId="10">FALSE</definedName>
    <definedName name="QBREPORTCOMPARECOL_BUDGET" localSheetId="11">FALSE</definedName>
    <definedName name="QBREPORTCOMPARECOL_BUDGET" localSheetId="12">FALSE</definedName>
    <definedName name="QBREPORTCOMPARECOL_BUDGET" localSheetId="10">FALSE</definedName>
    <definedName name="QBREPORTCOMPARECOL_BUDPCT" localSheetId="11">FALSE</definedName>
    <definedName name="QBREPORTCOMPARECOL_BUDPCT" localSheetId="12">FALSE</definedName>
    <definedName name="QBREPORTCOMPARECOL_BUDPCT" localSheetId="10">FALSE</definedName>
    <definedName name="QBREPORTCOMPARECOL_COGS" localSheetId="11">FALSE</definedName>
    <definedName name="QBREPORTCOMPARECOL_COGS" localSheetId="12">FALSE</definedName>
    <definedName name="QBREPORTCOMPARECOL_COGS" localSheetId="10">FALSE</definedName>
    <definedName name="QBREPORTCOMPARECOL_EXCLUDEAMOUNT" localSheetId="11">FALSE</definedName>
    <definedName name="QBREPORTCOMPARECOL_EXCLUDEAMOUNT" localSheetId="12">FALSE</definedName>
    <definedName name="QBREPORTCOMPARECOL_EXCLUDEAMOUNT" localSheetId="10">FALSE</definedName>
    <definedName name="QBREPORTCOMPARECOL_EXCLUDECURPERIOD" localSheetId="11">FALSE</definedName>
    <definedName name="QBREPORTCOMPARECOL_EXCLUDECURPERIOD" localSheetId="12">FALSE</definedName>
    <definedName name="QBREPORTCOMPARECOL_EXCLUDECURPERIOD" localSheetId="10">FALSE</definedName>
    <definedName name="QBREPORTCOMPARECOL_FORECAST" localSheetId="11">FALSE</definedName>
    <definedName name="QBREPORTCOMPARECOL_FORECAST" localSheetId="12">FALSE</definedName>
    <definedName name="QBREPORTCOMPARECOL_FORECAST" localSheetId="10">FALSE</definedName>
    <definedName name="QBREPORTCOMPARECOL_GROSSMARGIN" localSheetId="11">FALSE</definedName>
    <definedName name="QBREPORTCOMPARECOL_GROSSMARGIN" localSheetId="12">FALSE</definedName>
    <definedName name="QBREPORTCOMPARECOL_GROSSMARGIN" localSheetId="10">FALSE</definedName>
    <definedName name="QBREPORTCOMPARECOL_GROSSMARGINPCT" localSheetId="11">FALSE</definedName>
    <definedName name="QBREPORTCOMPARECOL_GROSSMARGINPCT" localSheetId="12">FALSE</definedName>
    <definedName name="QBREPORTCOMPARECOL_GROSSMARGINPCT" localSheetId="10">FALSE</definedName>
    <definedName name="QBREPORTCOMPARECOL_HOURS" localSheetId="11">FALSE</definedName>
    <definedName name="QBREPORTCOMPARECOL_HOURS" localSheetId="12">FALSE</definedName>
    <definedName name="QBREPORTCOMPARECOL_HOURS" localSheetId="10">FALSE</definedName>
    <definedName name="QBREPORTCOMPARECOL_PCTCOL" localSheetId="11">FALSE</definedName>
    <definedName name="QBREPORTCOMPARECOL_PCTCOL" localSheetId="12">FALSE</definedName>
    <definedName name="QBREPORTCOMPARECOL_PCTCOL" localSheetId="10">FALSE</definedName>
    <definedName name="QBREPORTCOMPARECOL_PCTEXPENSE" localSheetId="11">FALSE</definedName>
    <definedName name="QBREPORTCOMPARECOL_PCTEXPENSE" localSheetId="12">FALSE</definedName>
    <definedName name="QBREPORTCOMPARECOL_PCTEXPENSE" localSheetId="10">FALSE</definedName>
    <definedName name="QBREPORTCOMPARECOL_PCTINCOME" localSheetId="11">FALSE</definedName>
    <definedName name="QBREPORTCOMPARECOL_PCTINCOME" localSheetId="12">FALSE</definedName>
    <definedName name="QBREPORTCOMPARECOL_PCTINCOME" localSheetId="10">FALSE</definedName>
    <definedName name="QBREPORTCOMPARECOL_PCTOFSALES" localSheetId="11">FALSE</definedName>
    <definedName name="QBREPORTCOMPARECOL_PCTOFSALES" localSheetId="12">FALSE</definedName>
    <definedName name="QBREPORTCOMPARECOL_PCTOFSALES" localSheetId="10">FALSE</definedName>
    <definedName name="QBREPORTCOMPARECOL_PCTROW" localSheetId="11">FALSE</definedName>
    <definedName name="QBREPORTCOMPARECOL_PCTROW" localSheetId="12">FALSE</definedName>
    <definedName name="QBREPORTCOMPARECOL_PCTROW" localSheetId="10">FALSE</definedName>
    <definedName name="QBREPORTCOMPARECOL_PPDIFF" localSheetId="11">FALSE</definedName>
    <definedName name="QBREPORTCOMPARECOL_PPDIFF" localSheetId="12">FALSE</definedName>
    <definedName name="QBREPORTCOMPARECOL_PPDIFF" localSheetId="10">FALSE</definedName>
    <definedName name="QBREPORTCOMPARECOL_PPPCT" localSheetId="11">FALSE</definedName>
    <definedName name="QBREPORTCOMPARECOL_PPPCT" localSheetId="12">FALSE</definedName>
    <definedName name="QBREPORTCOMPARECOL_PPPCT" localSheetId="10">FALSE</definedName>
    <definedName name="QBREPORTCOMPARECOL_PREVPERIOD" localSheetId="11">FALSE</definedName>
    <definedName name="QBREPORTCOMPARECOL_PREVPERIOD" localSheetId="12">FALSE</definedName>
    <definedName name="QBREPORTCOMPARECOL_PREVPERIOD" localSheetId="10">FALSE</definedName>
    <definedName name="QBREPORTCOMPARECOL_PREVYEAR" localSheetId="11">FALSE</definedName>
    <definedName name="QBREPORTCOMPARECOL_PREVYEAR" localSheetId="12">FALSE</definedName>
    <definedName name="QBREPORTCOMPARECOL_PREVYEAR" localSheetId="10">FALSE</definedName>
    <definedName name="QBREPORTCOMPARECOL_PYDIFF" localSheetId="11">FALSE</definedName>
    <definedName name="QBREPORTCOMPARECOL_PYDIFF" localSheetId="12">FALSE</definedName>
    <definedName name="QBREPORTCOMPARECOL_PYDIFF" localSheetId="10">FALSE</definedName>
    <definedName name="QBREPORTCOMPARECOL_PYPCT" localSheetId="11">FALSE</definedName>
    <definedName name="QBREPORTCOMPARECOL_PYPCT" localSheetId="12">FALSE</definedName>
    <definedName name="QBREPORTCOMPARECOL_PYPCT" localSheetId="10">FALSE</definedName>
    <definedName name="QBREPORTCOMPARECOL_QTY" localSheetId="11">FALSE</definedName>
    <definedName name="QBREPORTCOMPARECOL_QTY" localSheetId="12">FALSE</definedName>
    <definedName name="QBREPORTCOMPARECOL_QTY" localSheetId="10">FALSE</definedName>
    <definedName name="QBREPORTCOMPARECOL_RATE" localSheetId="11">FALSE</definedName>
    <definedName name="QBREPORTCOMPARECOL_RATE" localSheetId="12">FALSE</definedName>
    <definedName name="QBREPORTCOMPARECOL_RATE" localSheetId="10">FALSE</definedName>
    <definedName name="QBREPORTCOMPARECOL_TRIPBILLEDMILES" localSheetId="11">FALSE</definedName>
    <definedName name="QBREPORTCOMPARECOL_TRIPBILLEDMILES" localSheetId="12">FALSE</definedName>
    <definedName name="QBREPORTCOMPARECOL_TRIPBILLEDMILES" localSheetId="10">FALSE</definedName>
    <definedName name="QBREPORTCOMPARECOL_TRIPBILLINGAMOUNT" localSheetId="11">FALSE</definedName>
    <definedName name="QBREPORTCOMPARECOL_TRIPBILLINGAMOUNT" localSheetId="12">FALSE</definedName>
    <definedName name="QBREPORTCOMPARECOL_TRIPBILLINGAMOUNT" localSheetId="10">FALSE</definedName>
    <definedName name="QBREPORTCOMPARECOL_TRIPMILES" localSheetId="11">FALSE</definedName>
    <definedName name="QBREPORTCOMPARECOL_TRIPMILES" localSheetId="12">FALSE</definedName>
    <definedName name="QBREPORTCOMPARECOL_TRIPMILES" localSheetId="10">FALSE</definedName>
    <definedName name="QBREPORTCOMPARECOL_TRIPNOTBILLABLEMILES" localSheetId="11">FALSE</definedName>
    <definedName name="QBREPORTCOMPARECOL_TRIPNOTBILLABLEMILES" localSheetId="12">FALSE</definedName>
    <definedName name="QBREPORTCOMPARECOL_TRIPNOTBILLABLEMILES" localSheetId="10">FALSE</definedName>
    <definedName name="QBREPORTCOMPARECOL_TRIPTAXDEDUCTIBLEAMOUNT" localSheetId="11">FALSE</definedName>
    <definedName name="QBREPORTCOMPARECOL_TRIPTAXDEDUCTIBLEAMOUNT" localSheetId="12">FALSE</definedName>
    <definedName name="QBREPORTCOMPARECOL_TRIPTAXDEDUCTIBLEAMOUNT" localSheetId="10">FALSE</definedName>
    <definedName name="QBREPORTCOMPARECOL_TRIPUNBILLEDMILES" localSheetId="11">FALSE</definedName>
    <definedName name="QBREPORTCOMPARECOL_TRIPUNBILLEDMILES" localSheetId="12">FALSE</definedName>
    <definedName name="QBREPORTCOMPARECOL_TRIPUNBILLEDMILES" localSheetId="10">FALSE</definedName>
    <definedName name="QBREPORTCOMPARECOL_YTD" localSheetId="11">FALSE</definedName>
    <definedName name="QBREPORTCOMPARECOL_YTD" localSheetId="12">FALSE</definedName>
    <definedName name="QBREPORTCOMPARECOL_YTD" localSheetId="10">FALSE</definedName>
    <definedName name="QBREPORTCOMPARECOL_YTDBUDGET" localSheetId="11">FALSE</definedName>
    <definedName name="QBREPORTCOMPARECOL_YTDBUDGET" localSheetId="12">FALSE</definedName>
    <definedName name="QBREPORTCOMPARECOL_YTDBUDGET" localSheetId="10">FALSE</definedName>
    <definedName name="QBREPORTCOMPARECOL_YTDPCT" localSheetId="11">FALSE</definedName>
    <definedName name="QBREPORTCOMPARECOL_YTDPCT" localSheetId="12">FALSE</definedName>
    <definedName name="QBREPORTCOMPARECOL_YTDPCT" localSheetId="10">FALSE</definedName>
    <definedName name="QBREPORTROWAXIS" localSheetId="11">11</definedName>
    <definedName name="QBREPORTROWAXIS" localSheetId="12">11</definedName>
    <definedName name="QBREPORTROWAXIS" localSheetId="10">11</definedName>
    <definedName name="QBREPORTSUBCOLAXIS" localSheetId="11">0</definedName>
    <definedName name="QBREPORTSUBCOLAXIS" localSheetId="12">0</definedName>
    <definedName name="QBREPORTSUBCOLAXIS" localSheetId="10">0</definedName>
    <definedName name="QBREPORTTYPE" localSheetId="11">0</definedName>
    <definedName name="QBREPORTTYPE" localSheetId="12">0</definedName>
    <definedName name="QBREPORTTYPE" localSheetId="10">0</definedName>
    <definedName name="QBROWHEADERS" localSheetId="11">4</definedName>
    <definedName name="QBROWHEADERS" localSheetId="12">7</definedName>
    <definedName name="QBROWHEADERS" localSheetId="10">7</definedName>
    <definedName name="QBSTARTDATE" localSheetId="11">20140901</definedName>
    <definedName name="QBSTARTDATE" localSheetId="12">20140901</definedName>
    <definedName name="QBSTARTDATE" localSheetId="10">20151001</definedName>
  </definedNames>
  <calcPr calcId="181029"/>
</workbook>
</file>

<file path=xl/calcChain.xml><?xml version="1.0" encoding="utf-8"?>
<calcChain xmlns="http://schemas.openxmlformats.org/spreadsheetml/2006/main">
  <c r="G12" i="5" l="1"/>
  <c r="I12" i="5" s="1"/>
  <c r="C12" i="5"/>
  <c r="C17" i="5"/>
  <c r="I17" i="5"/>
  <c r="J17" i="5" s="1"/>
  <c r="G111" i="1"/>
  <c r="G115" i="1" s="1"/>
  <c r="F12" i="18"/>
  <c r="F33" i="18"/>
  <c r="F34" i="18"/>
  <c r="F37" i="11"/>
  <c r="G114" i="4"/>
  <c r="C16" i="5"/>
  <c r="C15" i="5"/>
  <c r="C14" i="5"/>
  <c r="C13" i="5"/>
  <c r="C11" i="5"/>
  <c r="C10" i="5"/>
  <c r="C9" i="5"/>
  <c r="Z14" i="7"/>
  <c r="Z35" i="7" s="1"/>
  <c r="O24" i="11"/>
  <c r="O14" i="11"/>
  <c r="X14" i="9"/>
  <c r="Y22" i="7"/>
  <c r="P16" i="5"/>
  <c r="M16" i="5"/>
  <c r="I93" i="1"/>
  <c r="I89" i="1"/>
  <c r="O9" i="4"/>
  <c r="O8" i="7"/>
  <c r="O13" i="7"/>
  <c r="O10" i="7"/>
  <c r="O14" i="7"/>
  <c r="O9" i="7"/>
  <c r="V27" i="23"/>
  <c r="T62" i="23"/>
  <c r="R61" i="23"/>
  <c r="P61" i="23"/>
  <c r="N61" i="23"/>
  <c r="L61" i="23"/>
  <c r="T61" i="23" s="1"/>
  <c r="J61" i="23"/>
  <c r="H61" i="23"/>
  <c r="T60" i="23"/>
  <c r="V60" i="23" s="1"/>
  <c r="V61" i="23" s="1"/>
  <c r="R58" i="23"/>
  <c r="P58" i="23"/>
  <c r="N58" i="23"/>
  <c r="L58" i="23"/>
  <c r="J58" i="23"/>
  <c r="H58" i="23"/>
  <c r="T58" i="23" s="1"/>
  <c r="T57" i="23"/>
  <c r="V57" i="23" s="1"/>
  <c r="T56" i="23"/>
  <c r="V56" i="23" s="1"/>
  <c r="T55" i="23"/>
  <c r="V55" i="23" s="1"/>
  <c r="T54" i="23"/>
  <c r="V54" i="23" s="1"/>
  <c r="T53" i="23"/>
  <c r="V53" i="23" s="1"/>
  <c r="T52" i="23"/>
  <c r="V52" i="23" s="1"/>
  <c r="T51" i="23"/>
  <c r="V51" i="23" s="1"/>
  <c r="T50" i="23"/>
  <c r="V50" i="23" s="1"/>
  <c r="T49" i="23"/>
  <c r="V49" i="23" s="1"/>
  <c r="T48" i="23"/>
  <c r="V48" i="23" s="1"/>
  <c r="T47" i="23"/>
  <c r="V47" i="23" s="1"/>
  <c r="T46" i="23"/>
  <c r="V46" i="23" s="1"/>
  <c r="T45" i="23"/>
  <c r="V45" i="23" s="1"/>
  <c r="T44" i="23"/>
  <c r="V44" i="23" s="1"/>
  <c r="T43" i="23"/>
  <c r="V43" i="23" s="1"/>
  <c r="T42" i="23"/>
  <c r="V42" i="23" s="1"/>
  <c r="T41" i="23"/>
  <c r="V41" i="23" s="1"/>
  <c r="T40" i="23"/>
  <c r="V40" i="23" s="1"/>
  <c r="T39" i="23"/>
  <c r="V39" i="23" s="1"/>
  <c r="T38" i="23"/>
  <c r="V38" i="23" s="1"/>
  <c r="T37" i="23"/>
  <c r="V37" i="23" s="1"/>
  <c r="T36" i="23"/>
  <c r="V36" i="23" s="1"/>
  <c r="T33" i="23"/>
  <c r="V33" i="23" s="1"/>
  <c r="T32" i="23"/>
  <c r="V32" i="23" s="1"/>
  <c r="T31" i="23"/>
  <c r="V31" i="23" s="1"/>
  <c r="R30" i="23"/>
  <c r="R34" i="23" s="1"/>
  <c r="R63" i="23" s="1"/>
  <c r="P30" i="23"/>
  <c r="P34" i="23"/>
  <c r="P63" i="23" s="1"/>
  <c r="N30" i="23"/>
  <c r="N34" i="23" s="1"/>
  <c r="N63" i="23" s="1"/>
  <c r="N64" i="23" s="1"/>
  <c r="N65" i="23" s="1"/>
  <c r="L30" i="23"/>
  <c r="L34" i="23"/>
  <c r="L63" i="23" s="1"/>
  <c r="J30" i="23"/>
  <c r="H30" i="23"/>
  <c r="H34" i="23" s="1"/>
  <c r="T29" i="23"/>
  <c r="V29" i="23" s="1"/>
  <c r="T28" i="23"/>
  <c r="V28" i="23" s="1"/>
  <c r="T26" i="23"/>
  <c r="V26" i="23" s="1"/>
  <c r="T25" i="23"/>
  <c r="V25" i="23" s="1"/>
  <c r="T24" i="23"/>
  <c r="V24" i="23" s="1"/>
  <c r="T23" i="23"/>
  <c r="V23" i="23" s="1"/>
  <c r="T22" i="23"/>
  <c r="V22" i="23" s="1"/>
  <c r="T21" i="23"/>
  <c r="V21" i="23" s="1"/>
  <c r="T20" i="23"/>
  <c r="V20" i="23" s="1"/>
  <c r="T19" i="23"/>
  <c r="V19" i="23"/>
  <c r="R15" i="23"/>
  <c r="R16" i="23"/>
  <c r="P15" i="23"/>
  <c r="P16" i="23"/>
  <c r="P64" i="23" s="1"/>
  <c r="P65" i="23" s="1"/>
  <c r="N15" i="23"/>
  <c r="N16" i="23"/>
  <c r="L15" i="23"/>
  <c r="L16" i="23"/>
  <c r="J15" i="23"/>
  <c r="J16" i="23"/>
  <c r="H15" i="23"/>
  <c r="H16" i="23" s="1"/>
  <c r="T14" i="23"/>
  <c r="T13" i="23"/>
  <c r="T12" i="23"/>
  <c r="T11" i="23"/>
  <c r="T10" i="23"/>
  <c r="T9" i="23"/>
  <c r="T8" i="23"/>
  <c r="T7" i="23"/>
  <c r="T6" i="23"/>
  <c r="T5" i="23"/>
  <c r="T4" i="23"/>
  <c r="L64" i="23"/>
  <c r="L65" i="23" s="1"/>
  <c r="V14" i="9"/>
  <c r="W34" i="7"/>
  <c r="W35" i="7"/>
  <c r="G136" i="4"/>
  <c r="AK68" i="22"/>
  <c r="AK54" i="22"/>
  <c r="AK47" i="22"/>
  <c r="AK63" i="22" s="1"/>
  <c r="AK31" i="22"/>
  <c r="AK15" i="22"/>
  <c r="AK16" i="22"/>
  <c r="AH70" i="22"/>
  <c r="AH69" i="22"/>
  <c r="AD68" i="22"/>
  <c r="AB68" i="22"/>
  <c r="Z68" i="22"/>
  <c r="X68" i="22"/>
  <c r="V68" i="22"/>
  <c r="T68" i="22"/>
  <c r="R68" i="22"/>
  <c r="P68" i="22"/>
  <c r="N68" i="22"/>
  <c r="L68" i="22"/>
  <c r="J68" i="22"/>
  <c r="H68" i="22"/>
  <c r="AH67" i="22"/>
  <c r="AH66" i="22"/>
  <c r="AH65" i="22"/>
  <c r="AH62" i="22"/>
  <c r="AH61" i="22"/>
  <c r="AH60" i="22"/>
  <c r="AH59" i="22"/>
  <c r="AH58" i="22"/>
  <c r="AH57" i="22"/>
  <c r="AH56" i="22"/>
  <c r="AH55" i="22"/>
  <c r="AD54" i="22"/>
  <c r="AB54" i="22"/>
  <c r="Z54" i="22"/>
  <c r="X54" i="22"/>
  <c r="AH54" i="22" s="1"/>
  <c r="V54" i="22"/>
  <c r="T54" i="22"/>
  <c r="R54" i="22"/>
  <c r="P54" i="22"/>
  <c r="N54" i="22"/>
  <c r="L54" i="22"/>
  <c r="L63" i="22" s="1"/>
  <c r="J54" i="22"/>
  <c r="H54" i="22"/>
  <c r="AH53" i="22"/>
  <c r="AH52" i="22"/>
  <c r="AH50" i="22"/>
  <c r="AH49" i="22"/>
  <c r="AH48" i="22"/>
  <c r="AD47" i="22"/>
  <c r="AD63" i="22" s="1"/>
  <c r="AB47" i="22"/>
  <c r="AB63" i="22" s="1"/>
  <c r="Z47" i="22"/>
  <c r="Z63" i="22" s="1"/>
  <c r="X47" i="22"/>
  <c r="V47" i="22"/>
  <c r="V63" i="22" s="1"/>
  <c r="V71" i="22" s="1"/>
  <c r="T47" i="22"/>
  <c r="T63" i="22" s="1"/>
  <c r="R47" i="22"/>
  <c r="P47" i="22"/>
  <c r="P63" i="22" s="1"/>
  <c r="N47" i="22"/>
  <c r="N63" i="22"/>
  <c r="L47" i="22"/>
  <c r="J47" i="22"/>
  <c r="J63" i="22"/>
  <c r="H47" i="22"/>
  <c r="H63" i="22"/>
  <c r="AH46" i="22"/>
  <c r="AH45" i="22"/>
  <c r="AH43" i="22"/>
  <c r="AH42" i="22"/>
  <c r="AH41" i="22"/>
  <c r="AH40" i="22"/>
  <c r="AH39" i="22"/>
  <c r="AH38" i="22"/>
  <c r="AH37" i="22"/>
  <c r="AH36" i="22"/>
  <c r="AH35" i="22"/>
  <c r="AH34" i="22"/>
  <c r="AH33" i="22"/>
  <c r="AD31" i="22"/>
  <c r="AB31" i="22"/>
  <c r="Z31" i="22"/>
  <c r="X31" i="22"/>
  <c r="V31" i="22"/>
  <c r="T31" i="22"/>
  <c r="T71" i="22" s="1"/>
  <c r="T72" i="22" s="1"/>
  <c r="T73" i="22" s="1"/>
  <c r="R31" i="22"/>
  <c r="R71" i="22" s="1"/>
  <c r="P31" i="22"/>
  <c r="P71" i="22" s="1"/>
  <c r="N31" i="22"/>
  <c r="N71" i="22" s="1"/>
  <c r="L31" i="22"/>
  <c r="L71" i="22" s="1"/>
  <c r="J31" i="22"/>
  <c r="J71" i="22" s="1"/>
  <c r="H31" i="22"/>
  <c r="AH30" i="22"/>
  <c r="AH29" i="22"/>
  <c r="AH28" i="22"/>
  <c r="AH27" i="22"/>
  <c r="AH26" i="22"/>
  <c r="AH25" i="22"/>
  <c r="AH24" i="22"/>
  <c r="AH23" i="22"/>
  <c r="AH22" i="22"/>
  <c r="AH21" i="22"/>
  <c r="AH20" i="22"/>
  <c r="AH19" i="22"/>
  <c r="AD15" i="22"/>
  <c r="AD16" i="22"/>
  <c r="AB15" i="22"/>
  <c r="AB16" i="22" s="1"/>
  <c r="Z15" i="22"/>
  <c r="X15" i="22"/>
  <c r="X16" i="22" s="1"/>
  <c r="V15" i="22"/>
  <c r="V16" i="22" s="1"/>
  <c r="V72" i="22" s="1"/>
  <c r="V73" i="22" s="1"/>
  <c r="T15" i="22"/>
  <c r="T16" i="22"/>
  <c r="R15" i="22"/>
  <c r="R16" i="22"/>
  <c r="R72" i="22" s="1"/>
  <c r="R73" i="22" s="1"/>
  <c r="P15" i="22"/>
  <c r="P16" i="22"/>
  <c r="N15" i="22"/>
  <c r="N16" i="22"/>
  <c r="L15" i="22"/>
  <c r="L16" i="22" s="1"/>
  <c r="J15" i="22"/>
  <c r="J16" i="22" s="1"/>
  <c r="H15" i="22"/>
  <c r="H16" i="22" s="1"/>
  <c r="AH14" i="22"/>
  <c r="AH13" i="22"/>
  <c r="AH12" i="22"/>
  <c r="AH11" i="22"/>
  <c r="AH10" i="22"/>
  <c r="AH9" i="22"/>
  <c r="AH8" i="22"/>
  <c r="AH7" i="22"/>
  <c r="AH6" i="22"/>
  <c r="AH5" i="22"/>
  <c r="AH4" i="22"/>
  <c r="R63" i="22"/>
  <c r="AH47" i="22"/>
  <c r="AC18" i="21"/>
  <c r="AC19" i="21" s="1"/>
  <c r="AA18" i="21"/>
  <c r="AA19" i="21"/>
  <c r="Y18" i="21"/>
  <c r="Y19" i="21"/>
  <c r="W18" i="21"/>
  <c r="W19" i="21"/>
  <c r="U18" i="21"/>
  <c r="U19" i="21"/>
  <c r="S18" i="21"/>
  <c r="S19" i="21"/>
  <c r="Q18" i="21"/>
  <c r="Q19" i="21" s="1"/>
  <c r="O18" i="21"/>
  <c r="O19" i="21"/>
  <c r="M18" i="21"/>
  <c r="M19" i="21"/>
  <c r="K18" i="21"/>
  <c r="K19" i="21"/>
  <c r="I18" i="21"/>
  <c r="AE18" i="21" s="1"/>
  <c r="I19" i="21"/>
  <c r="G18" i="21"/>
  <c r="G19" i="21" s="1"/>
  <c r="E18" i="21"/>
  <c r="E19" i="21" s="1"/>
  <c r="AE19" i="21" s="1"/>
  <c r="AE17" i="21"/>
  <c r="AC13" i="21"/>
  <c r="AA13" i="21"/>
  <c r="AA14" i="21" s="1"/>
  <c r="AA20" i="21" s="1"/>
  <c r="Y13" i="21"/>
  <c r="W13" i="21"/>
  <c r="U13" i="21"/>
  <c r="S13" i="21"/>
  <c r="Q13" i="21"/>
  <c r="O13" i="21"/>
  <c r="AE13" i="21" s="1"/>
  <c r="M13" i="21"/>
  <c r="K13" i="21"/>
  <c r="I13" i="21"/>
  <c r="G13" i="21"/>
  <c r="E13" i="21"/>
  <c r="AE12" i="21"/>
  <c r="AE11" i="21"/>
  <c r="AE10" i="21"/>
  <c r="AE9" i="21"/>
  <c r="AE8" i="21"/>
  <c r="AC6" i="21"/>
  <c r="AC14" i="21"/>
  <c r="AC20" i="21" s="1"/>
  <c r="AA6" i="21"/>
  <c r="Y6" i="21"/>
  <c r="W6" i="21"/>
  <c r="W14" i="21" s="1"/>
  <c r="W20" i="21" s="1"/>
  <c r="U6" i="21"/>
  <c r="U14" i="21"/>
  <c r="U20" i="21" s="1"/>
  <c r="S6" i="21"/>
  <c r="S14" i="21" s="1"/>
  <c r="S20" i="21"/>
  <c r="Q6" i="21"/>
  <c r="O6" i="21"/>
  <c r="M6" i="21"/>
  <c r="M14" i="21" s="1"/>
  <c r="M20" i="21" s="1"/>
  <c r="K6" i="21"/>
  <c r="I6" i="21"/>
  <c r="I14" i="21" s="1"/>
  <c r="G6" i="21"/>
  <c r="G14" i="21" s="1"/>
  <c r="G20" i="21" s="1"/>
  <c r="E6" i="21"/>
  <c r="AE5" i="21"/>
  <c r="AE4" i="21"/>
  <c r="Y14" i="21"/>
  <c r="Y20" i="21" s="1"/>
  <c r="E14" i="21"/>
  <c r="E20" i="21" s="1"/>
  <c r="AC14" i="9"/>
  <c r="Z14" i="9"/>
  <c r="T14" i="9"/>
  <c r="R14" i="9"/>
  <c r="P14" i="9"/>
  <c r="L14" i="9"/>
  <c r="U35" i="7"/>
  <c r="C36" i="5"/>
  <c r="M30" i="5" s="1"/>
  <c r="P20" i="5"/>
  <c r="P19" i="5"/>
  <c r="P18" i="5"/>
  <c r="P15" i="5"/>
  <c r="P14" i="5"/>
  <c r="P13" i="5"/>
  <c r="P12" i="5"/>
  <c r="P11" i="5"/>
  <c r="P10" i="5"/>
  <c r="P9" i="5"/>
  <c r="M20" i="5"/>
  <c r="M19" i="5"/>
  <c r="M18" i="5"/>
  <c r="M15" i="5"/>
  <c r="M14" i="5"/>
  <c r="M13" i="5"/>
  <c r="M12" i="5"/>
  <c r="M11" i="5"/>
  <c r="M10" i="5"/>
  <c r="M9" i="5"/>
  <c r="D32" i="5"/>
  <c r="D34" i="5"/>
  <c r="D30" i="5"/>
  <c r="D31" i="5"/>
  <c r="D33" i="5"/>
  <c r="P21" i="5"/>
  <c r="O23" i="5"/>
  <c r="I136" i="4"/>
  <c r="H23" i="5"/>
  <c r="Y35" i="7"/>
  <c r="G120" i="4"/>
  <c r="O120" i="4" s="1"/>
  <c r="N9" i="9"/>
  <c r="N14" i="9"/>
  <c r="Q34" i="7"/>
  <c r="Q33" i="7"/>
  <c r="Q35" i="7" s="1"/>
  <c r="O34" i="7"/>
  <c r="O35" i="7" s="1"/>
  <c r="M22" i="7"/>
  <c r="M35" i="7" s="1"/>
  <c r="G20" i="5"/>
  <c r="I20" i="5"/>
  <c r="J20" i="5" s="1"/>
  <c r="G19" i="5"/>
  <c r="I19" i="5" s="1"/>
  <c r="G18" i="5"/>
  <c r="I18" i="5" s="1"/>
  <c r="I16" i="5"/>
  <c r="J16" i="5" s="1"/>
  <c r="G15" i="5"/>
  <c r="I15" i="5" s="1"/>
  <c r="G14" i="5"/>
  <c r="I14" i="5" s="1"/>
  <c r="K14" i="5" s="1"/>
  <c r="G13" i="5"/>
  <c r="I13" i="5" s="1"/>
  <c r="G11" i="5"/>
  <c r="I11" i="5" s="1"/>
  <c r="G10" i="5"/>
  <c r="I10" i="5" s="1"/>
  <c r="J10" i="5" s="1"/>
  <c r="G9" i="5"/>
  <c r="I9" i="5" s="1"/>
  <c r="S35" i="7"/>
  <c r="I77" i="4"/>
  <c r="Q77" i="4" s="1"/>
  <c r="K76" i="1"/>
  <c r="G77" i="4" s="1"/>
  <c r="I120" i="4"/>
  <c r="Q120" i="4" s="1"/>
  <c r="F20" i="14"/>
  <c r="H20" i="14"/>
  <c r="R5" i="20" s="1"/>
  <c r="X23" i="20"/>
  <c r="O23" i="11"/>
  <c r="I49" i="4"/>
  <c r="K49" i="4" s="1"/>
  <c r="M49" i="4" s="1"/>
  <c r="Q49" i="4"/>
  <c r="K87" i="1"/>
  <c r="G88" i="4"/>
  <c r="O88" i="4" s="1"/>
  <c r="K55" i="1"/>
  <c r="G56" i="4"/>
  <c r="O56" i="4"/>
  <c r="I56" i="4"/>
  <c r="Q56" i="4"/>
  <c r="X11" i="20"/>
  <c r="X12" i="20"/>
  <c r="X10" i="20"/>
  <c r="H10" i="11"/>
  <c r="X9" i="20"/>
  <c r="H9" i="11" s="1"/>
  <c r="X8" i="20"/>
  <c r="H8" i="11"/>
  <c r="X6" i="20"/>
  <c r="H6" i="11"/>
  <c r="V13" i="20"/>
  <c r="P13" i="20"/>
  <c r="N13" i="20"/>
  <c r="L13" i="20"/>
  <c r="L35" i="20" s="1"/>
  <c r="J13" i="20"/>
  <c r="H13" i="20"/>
  <c r="X7" i="20"/>
  <c r="H7" i="11" s="1"/>
  <c r="O7" i="11" s="1"/>
  <c r="N34" i="20"/>
  <c r="L34" i="20"/>
  <c r="J34" i="20"/>
  <c r="J35" i="20" s="1"/>
  <c r="H34" i="20"/>
  <c r="H35" i="20" s="1"/>
  <c r="V34" i="20"/>
  <c r="V35" i="20" s="1"/>
  <c r="T34" i="20"/>
  <c r="R34" i="20"/>
  <c r="P34" i="20"/>
  <c r="X33" i="20"/>
  <c r="H33" i="11" s="1"/>
  <c r="O33" i="11" s="1"/>
  <c r="X32" i="20"/>
  <c r="O32" i="11"/>
  <c r="X31" i="20"/>
  <c r="X30" i="20"/>
  <c r="X29" i="20"/>
  <c r="O29" i="11"/>
  <c r="X28" i="20"/>
  <c r="H28" i="11" s="1"/>
  <c r="J28" i="11" s="1"/>
  <c r="X27" i="20"/>
  <c r="H27" i="11" s="1"/>
  <c r="X26" i="20"/>
  <c r="H26" i="11"/>
  <c r="O26" i="11" s="1"/>
  <c r="X25" i="20"/>
  <c r="H25" i="11" s="1"/>
  <c r="X24" i="20"/>
  <c r="X22" i="20"/>
  <c r="H22" i="11"/>
  <c r="X21" i="20"/>
  <c r="O21" i="11"/>
  <c r="X20" i="20"/>
  <c r="O20" i="11"/>
  <c r="X19" i="20"/>
  <c r="H19" i="11" s="1"/>
  <c r="X18" i="20"/>
  <c r="H18" i="11"/>
  <c r="X17" i="20"/>
  <c r="X16" i="20"/>
  <c r="H16" i="11" s="1"/>
  <c r="X15" i="20"/>
  <c r="H15" i="11" s="1"/>
  <c r="F34" i="20"/>
  <c r="Y35" i="20"/>
  <c r="E35" i="20"/>
  <c r="I35" i="11"/>
  <c r="G35" i="11"/>
  <c r="E35" i="11"/>
  <c r="H12" i="18"/>
  <c r="J36" i="18"/>
  <c r="H33" i="18"/>
  <c r="J32" i="18"/>
  <c r="F33" i="11" s="1"/>
  <c r="J31" i="18"/>
  <c r="F32" i="11" s="1"/>
  <c r="M32" i="11" s="1"/>
  <c r="J30" i="18"/>
  <c r="F31" i="11"/>
  <c r="M31" i="11" s="1"/>
  <c r="J29" i="18"/>
  <c r="F30" i="11" s="1"/>
  <c r="J28" i="18"/>
  <c r="F29" i="11"/>
  <c r="M29" i="11" s="1"/>
  <c r="J27" i="18"/>
  <c r="F28" i="11" s="1"/>
  <c r="M28" i="11" s="1"/>
  <c r="J26" i="18"/>
  <c r="F27" i="11"/>
  <c r="M27" i="11" s="1"/>
  <c r="J25" i="18"/>
  <c r="F26" i="11"/>
  <c r="M26" i="11" s="1"/>
  <c r="J24" i="18"/>
  <c r="F25" i="11"/>
  <c r="M25" i="11"/>
  <c r="J23" i="18"/>
  <c r="J22" i="18"/>
  <c r="M23" i="11"/>
  <c r="J21" i="18"/>
  <c r="F22" i="11" s="1"/>
  <c r="M22" i="11" s="1"/>
  <c r="J20" i="18"/>
  <c r="J19" i="18"/>
  <c r="J18" i="18"/>
  <c r="F19" i="11" s="1"/>
  <c r="M19" i="11" s="1"/>
  <c r="J17" i="18"/>
  <c r="F18" i="11" s="1"/>
  <c r="M18" i="11" s="1"/>
  <c r="J16" i="18"/>
  <c r="F17" i="11"/>
  <c r="M17" i="11" s="1"/>
  <c r="J15" i="18"/>
  <c r="J14" i="18"/>
  <c r="F15" i="11" s="1"/>
  <c r="J11" i="18"/>
  <c r="F12" i="11" s="1"/>
  <c r="M12" i="11" s="1"/>
  <c r="J10" i="18"/>
  <c r="F10" i="11"/>
  <c r="M10" i="11" s="1"/>
  <c r="J9" i="18"/>
  <c r="F9" i="11" s="1"/>
  <c r="M9" i="11" s="1"/>
  <c r="J8" i="18"/>
  <c r="F8" i="11" s="1"/>
  <c r="M8" i="11" s="1"/>
  <c r="J7" i="18"/>
  <c r="F7" i="11" s="1"/>
  <c r="M7" i="11" s="1"/>
  <c r="J6" i="18"/>
  <c r="F6" i="11"/>
  <c r="M6" i="11" s="1"/>
  <c r="J5" i="18"/>
  <c r="I34" i="18"/>
  <c r="G34" i="18"/>
  <c r="E34" i="18"/>
  <c r="E13" i="14"/>
  <c r="E23" i="14" s="1"/>
  <c r="Q157" i="4"/>
  <c r="O157" i="4"/>
  <c r="Q156" i="4"/>
  <c r="O156" i="4"/>
  <c r="Q155" i="4"/>
  <c r="O155" i="4"/>
  <c r="Q154" i="4"/>
  <c r="O154" i="4"/>
  <c r="Q153" i="4"/>
  <c r="O153" i="4"/>
  <c r="Q148" i="4"/>
  <c r="O148" i="4"/>
  <c r="O147" i="4"/>
  <c r="O146" i="4"/>
  <c r="Q136" i="4"/>
  <c r="O136" i="4"/>
  <c r="I43" i="4"/>
  <c r="Q43" i="4" s="1"/>
  <c r="I147" i="4"/>
  <c r="Q147" i="4"/>
  <c r="Q146" i="4"/>
  <c r="Q93" i="4"/>
  <c r="Q108" i="4"/>
  <c r="Q107" i="4"/>
  <c r="Q103" i="4"/>
  <c r="Q102" i="4"/>
  <c r="Q104" i="4" s="1"/>
  <c r="Q110" i="4" s="1"/>
  <c r="Q50" i="4"/>
  <c r="Q45" i="4"/>
  <c r="Q44" i="4"/>
  <c r="O44" i="4"/>
  <c r="Q29" i="4"/>
  <c r="Q28" i="4"/>
  <c r="Q30" i="4" s="1"/>
  <c r="Q27" i="4"/>
  <c r="Q26" i="4"/>
  <c r="Q25" i="4"/>
  <c r="Q21" i="4"/>
  <c r="Q20" i="4"/>
  <c r="Q19" i="4"/>
  <c r="Q18" i="4"/>
  <c r="Q17" i="4"/>
  <c r="Q13" i="4"/>
  <c r="Q12" i="4"/>
  <c r="Q14" i="4" s="1"/>
  <c r="Q8" i="4"/>
  <c r="Q7" i="4"/>
  <c r="F9" i="14"/>
  <c r="H9" i="14" s="1"/>
  <c r="H13" i="14" s="1"/>
  <c r="I6" i="4" s="1"/>
  <c r="AB35" i="7"/>
  <c r="K113" i="1"/>
  <c r="O114" i="4"/>
  <c r="I89" i="4"/>
  <c r="Q89" i="4" s="1"/>
  <c r="I88" i="4"/>
  <c r="K88" i="4" s="1"/>
  <c r="M88" i="4" s="1"/>
  <c r="Q88" i="4"/>
  <c r="I87" i="4"/>
  <c r="Q87" i="4"/>
  <c r="I86" i="4"/>
  <c r="I85" i="4"/>
  <c r="I84" i="4"/>
  <c r="Q84" i="4"/>
  <c r="I80" i="4"/>
  <c r="Q80" i="4" s="1"/>
  <c r="I81" i="4"/>
  <c r="Q81" i="4" s="1"/>
  <c r="I79" i="4"/>
  <c r="Q79" i="4" s="1"/>
  <c r="I78" i="4"/>
  <c r="K78" i="4" s="1"/>
  <c r="M78" i="4" s="1"/>
  <c r="I76" i="4"/>
  <c r="Q76" i="4" s="1"/>
  <c r="I75" i="4"/>
  <c r="I74" i="4"/>
  <c r="Q74" i="4" s="1"/>
  <c r="I72" i="4"/>
  <c r="Q72" i="4"/>
  <c r="I71" i="4"/>
  <c r="Q71" i="4" s="1"/>
  <c r="Q73" i="4" s="1"/>
  <c r="I69" i="4"/>
  <c r="Q69" i="4" s="1"/>
  <c r="I68" i="4"/>
  <c r="Q68" i="4" s="1"/>
  <c r="I67" i="4"/>
  <c r="Q67" i="4" s="1"/>
  <c r="I66" i="4"/>
  <c r="Q66" i="4" s="1"/>
  <c r="I65" i="4"/>
  <c r="Q65" i="4" s="1"/>
  <c r="I64" i="4"/>
  <c r="Q64" i="4" s="1"/>
  <c r="I63" i="4"/>
  <c r="Q63" i="4"/>
  <c r="I62" i="4"/>
  <c r="Q62" i="4"/>
  <c r="I61" i="4"/>
  <c r="Q61" i="4"/>
  <c r="I60" i="4"/>
  <c r="I59" i="4"/>
  <c r="Q59" i="4" s="1"/>
  <c r="I58" i="4"/>
  <c r="Q58" i="4"/>
  <c r="I57" i="4"/>
  <c r="Q57" i="4" s="1"/>
  <c r="I55" i="4"/>
  <c r="Q55" i="4" s="1"/>
  <c r="I54" i="4"/>
  <c r="K54" i="4" s="1"/>
  <c r="I53" i="4"/>
  <c r="K35" i="7"/>
  <c r="I35" i="7"/>
  <c r="G35" i="7"/>
  <c r="E35" i="7"/>
  <c r="M21" i="5"/>
  <c r="G21" i="5"/>
  <c r="I21" i="5"/>
  <c r="J21" i="5" s="1"/>
  <c r="I94" i="4"/>
  <c r="I131" i="4" s="1"/>
  <c r="Q131" i="4"/>
  <c r="I109" i="4"/>
  <c r="I104" i="4"/>
  <c r="K70" i="4"/>
  <c r="K44" i="4"/>
  <c r="M44" i="4"/>
  <c r="I30" i="4"/>
  <c r="I22" i="4"/>
  <c r="I14" i="4"/>
  <c r="K84" i="1"/>
  <c r="G85" i="4" s="1"/>
  <c r="O85" i="4" s="1"/>
  <c r="I108" i="1"/>
  <c r="I109" i="1" s="1"/>
  <c r="K107" i="1"/>
  <c r="K108" i="1" s="1"/>
  <c r="G108" i="4"/>
  <c r="K106" i="1"/>
  <c r="I103" i="1"/>
  <c r="K102" i="1"/>
  <c r="K103" i="1" s="1"/>
  <c r="K101" i="1"/>
  <c r="G102" i="4"/>
  <c r="K92" i="1"/>
  <c r="G93" i="4"/>
  <c r="K93" i="4" s="1"/>
  <c r="M93" i="4" s="1"/>
  <c r="K91" i="1"/>
  <c r="K88" i="1"/>
  <c r="G89" i="4" s="1"/>
  <c r="O89" i="4"/>
  <c r="K86" i="1"/>
  <c r="O87" i="4"/>
  <c r="K85" i="1"/>
  <c r="G86" i="4" s="1"/>
  <c r="O86" i="4" s="1"/>
  <c r="K83" i="1"/>
  <c r="G84" i="4" s="1"/>
  <c r="K80" i="1"/>
  <c r="G81" i="4" s="1"/>
  <c r="O81" i="4" s="1"/>
  <c r="K79" i="1"/>
  <c r="G80" i="4" s="1"/>
  <c r="K80" i="4" s="1"/>
  <c r="M80" i="4" s="1"/>
  <c r="O80" i="4"/>
  <c r="K78" i="1"/>
  <c r="G79" i="4"/>
  <c r="O79" i="4" s="1"/>
  <c r="K77" i="1"/>
  <c r="G78" i="4"/>
  <c r="K75" i="1"/>
  <c r="G76" i="4" s="1"/>
  <c r="O76" i="4" s="1"/>
  <c r="K74" i="1"/>
  <c r="G75" i="4"/>
  <c r="O75" i="4" s="1"/>
  <c r="K73" i="1"/>
  <c r="G74" i="4" s="1"/>
  <c r="I72" i="1"/>
  <c r="I81" i="1" s="1"/>
  <c r="K71" i="1"/>
  <c r="K70" i="1"/>
  <c r="G71" i="4"/>
  <c r="K68" i="1"/>
  <c r="G69" i="4" s="1"/>
  <c r="K67" i="1"/>
  <c r="G68" i="4" s="1"/>
  <c r="O68" i="4" s="1"/>
  <c r="K66" i="1"/>
  <c r="G67" i="4"/>
  <c r="O67" i="4" s="1"/>
  <c r="K65" i="1"/>
  <c r="G66" i="4" s="1"/>
  <c r="K64" i="1"/>
  <c r="G65" i="4"/>
  <c r="O65" i="4"/>
  <c r="K63" i="1"/>
  <c r="G64" i="4"/>
  <c r="O64" i="4" s="1"/>
  <c r="K62" i="1"/>
  <c r="G63" i="4" s="1"/>
  <c r="K61" i="1"/>
  <c r="G62" i="4" s="1"/>
  <c r="K60" i="1"/>
  <c r="G61" i="4" s="1"/>
  <c r="K59" i="1"/>
  <c r="G60" i="4"/>
  <c r="K58" i="1"/>
  <c r="G59" i="4"/>
  <c r="O59" i="4" s="1"/>
  <c r="K57" i="1"/>
  <c r="G58" i="4"/>
  <c r="K56" i="1"/>
  <c r="G57" i="4" s="1"/>
  <c r="O57" i="4" s="1"/>
  <c r="K54" i="1"/>
  <c r="G55" i="4" s="1"/>
  <c r="K53" i="1"/>
  <c r="G54" i="4"/>
  <c r="K52" i="1"/>
  <c r="K49" i="1"/>
  <c r="G50" i="4"/>
  <c r="O50" i="4" s="1"/>
  <c r="K48" i="1"/>
  <c r="G49" i="4"/>
  <c r="O49" i="4" s="1"/>
  <c r="K47" i="1"/>
  <c r="G48" i="4"/>
  <c r="O48" i="4" s="1"/>
  <c r="I46" i="1"/>
  <c r="I50" i="1" s="1"/>
  <c r="K45" i="1"/>
  <c r="G46" i="4" s="1"/>
  <c r="O46" i="4" s="1"/>
  <c r="K44" i="1"/>
  <c r="G45" i="4" s="1"/>
  <c r="K42" i="1"/>
  <c r="G43" i="4"/>
  <c r="O43" i="4" s="1"/>
  <c r="K41" i="1"/>
  <c r="G42" i="4"/>
  <c r="O42" i="4" s="1"/>
  <c r="K40" i="1"/>
  <c r="G41" i="4" s="1"/>
  <c r="O41" i="4" s="1"/>
  <c r="K39" i="1"/>
  <c r="G40" i="4"/>
  <c r="O40" i="4" s="1"/>
  <c r="K38" i="1"/>
  <c r="K37" i="1"/>
  <c r="G38" i="4" s="1"/>
  <c r="O38" i="4" s="1"/>
  <c r="K36" i="1"/>
  <c r="K35" i="1"/>
  <c r="K34" i="1"/>
  <c r="G35" i="4" s="1"/>
  <c r="O35" i="4" s="1"/>
  <c r="I29" i="1"/>
  <c r="K28" i="1"/>
  <c r="G29" i="4" s="1"/>
  <c r="K27" i="1"/>
  <c r="G28" i="4"/>
  <c r="K28" i="4" s="1"/>
  <c r="M28" i="4" s="1"/>
  <c r="K26" i="1"/>
  <c r="G27" i="4"/>
  <c r="K27" i="4" s="1"/>
  <c r="M27" i="4" s="1"/>
  <c r="K25" i="1"/>
  <c r="K24" i="1"/>
  <c r="G25" i="4" s="1"/>
  <c r="I21" i="1"/>
  <c r="K20" i="1"/>
  <c r="G21" i="4"/>
  <c r="K19" i="1"/>
  <c r="G20" i="4"/>
  <c r="O20" i="4" s="1"/>
  <c r="K18" i="1"/>
  <c r="G19" i="4"/>
  <c r="K19" i="4" s="1"/>
  <c r="M19" i="4" s="1"/>
  <c r="K17" i="1"/>
  <c r="G18" i="4"/>
  <c r="G22" i="4" s="1"/>
  <c r="K16" i="1"/>
  <c r="G17" i="4"/>
  <c r="I13" i="1"/>
  <c r="K12" i="1"/>
  <c r="G13" i="4"/>
  <c r="O13" i="4" s="1"/>
  <c r="K11" i="1"/>
  <c r="I8" i="1"/>
  <c r="K7" i="1"/>
  <c r="K6" i="1"/>
  <c r="G7" i="4"/>
  <c r="O7" i="4"/>
  <c r="K5" i="1"/>
  <c r="G6" i="4"/>
  <c r="O6" i="4" s="1"/>
  <c r="O131" i="4"/>
  <c r="F13" i="20"/>
  <c r="J12" i="11"/>
  <c r="O6" i="11"/>
  <c r="H11" i="11"/>
  <c r="H39" i="11" s="1"/>
  <c r="Q109" i="4"/>
  <c r="J26" i="11"/>
  <c r="G107" i="4"/>
  <c r="G109" i="4" s="1"/>
  <c r="K107" i="4"/>
  <c r="M107" i="4" s="1"/>
  <c r="O107" i="4"/>
  <c r="G92" i="4"/>
  <c r="K93" i="1"/>
  <c r="I73" i="4"/>
  <c r="G53" i="4"/>
  <c r="O53" i="4" s="1"/>
  <c r="J32" i="11"/>
  <c r="O31" i="11"/>
  <c r="J31" i="11"/>
  <c r="H34" i="18"/>
  <c r="H38" i="18"/>
  <c r="K102" i="4"/>
  <c r="G39" i="4"/>
  <c r="O39" i="4" s="1"/>
  <c r="G36" i="4"/>
  <c r="O36" i="4" s="1"/>
  <c r="G37" i="4"/>
  <c r="O37" i="4" s="1"/>
  <c r="K46" i="1"/>
  <c r="Q92" i="4"/>
  <c r="Q94" i="4" s="1"/>
  <c r="F38" i="18"/>
  <c r="O78" i="4"/>
  <c r="O54" i="4"/>
  <c r="K21" i="1"/>
  <c r="K84" i="4"/>
  <c r="O17" i="4"/>
  <c r="K17" i="4"/>
  <c r="K43" i="4"/>
  <c r="M43" i="4" s="1"/>
  <c r="J20" i="11"/>
  <c r="M20" i="11"/>
  <c r="M24" i="11"/>
  <c r="J24" i="11"/>
  <c r="O8" i="11"/>
  <c r="J23" i="11"/>
  <c r="O93" i="4"/>
  <c r="O28" i="4"/>
  <c r="I110" i="4"/>
  <c r="K56" i="4"/>
  <c r="M56" i="4" s="1"/>
  <c r="K109" i="1"/>
  <c r="K87" i="4"/>
  <c r="M87" i="4" s="1"/>
  <c r="F35" i="20"/>
  <c r="K13" i="1"/>
  <c r="N35" i="20"/>
  <c r="M21" i="11"/>
  <c r="K20" i="4"/>
  <c r="M20" i="4" s="1"/>
  <c r="I31" i="1"/>
  <c r="O71" i="4"/>
  <c r="K72" i="1"/>
  <c r="O60" i="4"/>
  <c r="O55" i="4"/>
  <c r="K7" i="4"/>
  <c r="M7" i="4" s="1"/>
  <c r="O21" i="4"/>
  <c r="K21" i="4"/>
  <c r="M21" i="4" s="1"/>
  <c r="K13" i="4"/>
  <c r="M13" i="4" s="1"/>
  <c r="G12" i="4"/>
  <c r="G14" i="4" s="1"/>
  <c r="G72" i="4"/>
  <c r="G73" i="4" s="1"/>
  <c r="K45" i="4"/>
  <c r="M45" i="4" s="1"/>
  <c r="J21" i="11"/>
  <c r="O30" i="11"/>
  <c r="M32" i="5"/>
  <c r="O72" i="4"/>
  <c r="O73" i="4"/>
  <c r="K72" i="4"/>
  <c r="M72" i="4" s="1"/>
  <c r="D36" i="5"/>
  <c r="K59" i="4" l="1"/>
  <c r="M59" i="4" s="1"/>
  <c r="K67" i="4"/>
  <c r="M67" i="4" s="1"/>
  <c r="K65" i="4"/>
  <c r="M65" i="4" s="1"/>
  <c r="K64" i="4"/>
  <c r="M64" i="4" s="1"/>
  <c r="K58" i="4"/>
  <c r="M58" i="4" s="1"/>
  <c r="M23" i="5"/>
  <c r="H5" i="11"/>
  <c r="O19" i="11"/>
  <c r="J19" i="11"/>
  <c r="K8" i="1"/>
  <c r="G8" i="4"/>
  <c r="O29" i="4"/>
  <c r="K29" i="4"/>
  <c r="M29" i="4" s="1"/>
  <c r="O63" i="4"/>
  <c r="K63" i="4"/>
  <c r="M63" i="4" s="1"/>
  <c r="J8" i="11"/>
  <c r="J7" i="11"/>
  <c r="K53" i="4"/>
  <c r="M53" i="4" s="1"/>
  <c r="Q53" i="4"/>
  <c r="G82" i="4"/>
  <c r="G127" i="4" s="1"/>
  <c r="O127" i="4" s="1"/>
  <c r="O45" i="4"/>
  <c r="O47" i="4" s="1"/>
  <c r="O51" i="4" s="1"/>
  <c r="G47" i="4"/>
  <c r="G51" i="4" s="1"/>
  <c r="G126" i="4" s="1"/>
  <c r="O84" i="4"/>
  <c r="O90" i="4" s="1"/>
  <c r="G90" i="4"/>
  <c r="Q75" i="4"/>
  <c r="K75" i="4"/>
  <c r="M75" i="4" s="1"/>
  <c r="J9" i="11"/>
  <c r="O9" i="11"/>
  <c r="V30" i="23"/>
  <c r="V58" i="23"/>
  <c r="O108" i="4"/>
  <c r="O109" i="4" s="1"/>
  <c r="K108" i="4"/>
  <c r="M108" i="4" s="1"/>
  <c r="M30" i="11"/>
  <c r="J30" i="11"/>
  <c r="J22" i="11"/>
  <c r="O22" i="11"/>
  <c r="K12" i="4"/>
  <c r="O12" i="4"/>
  <c r="O14" i="4" s="1"/>
  <c r="R64" i="23"/>
  <c r="R65" i="23" s="1"/>
  <c r="M15" i="11"/>
  <c r="J72" i="22"/>
  <c r="J73" i="22" s="1"/>
  <c r="AH16" i="22"/>
  <c r="AH15" i="22"/>
  <c r="Z16" i="22"/>
  <c r="AH68" i="22"/>
  <c r="T30" i="23"/>
  <c r="J34" i="23"/>
  <c r="O28" i="11"/>
  <c r="O25" i="4"/>
  <c r="K25" i="4"/>
  <c r="G30" i="4"/>
  <c r="K66" i="4"/>
  <c r="M66" i="4" s="1"/>
  <c r="O66" i="4"/>
  <c r="F16" i="11"/>
  <c r="M16" i="11" s="1"/>
  <c r="J33" i="18"/>
  <c r="O15" i="11"/>
  <c r="J15" i="11"/>
  <c r="R13" i="20"/>
  <c r="R35" i="20" s="1"/>
  <c r="I20" i="21"/>
  <c r="AE20" i="21" s="1"/>
  <c r="L72" i="22"/>
  <c r="L73" i="22" s="1"/>
  <c r="Z71" i="22"/>
  <c r="K92" i="4"/>
  <c r="O92" i="4"/>
  <c r="O94" i="4" s="1"/>
  <c r="G94" i="4"/>
  <c r="G26" i="4"/>
  <c r="K29" i="1"/>
  <c r="O16" i="11"/>
  <c r="J25" i="11"/>
  <c r="O25" i="11"/>
  <c r="N72" i="22"/>
  <c r="N73" i="22" s="1"/>
  <c r="AB71" i="22"/>
  <c r="AB72" i="22" s="1"/>
  <c r="AB73" i="22" s="1"/>
  <c r="AK72" i="22"/>
  <c r="AK73" i="22" s="1"/>
  <c r="O74" i="4"/>
  <c r="O82" i="4" s="1"/>
  <c r="K74" i="4"/>
  <c r="M74" i="4" s="1"/>
  <c r="O5" i="11"/>
  <c r="H13" i="11"/>
  <c r="J12" i="18"/>
  <c r="F5" i="11"/>
  <c r="J33" i="11"/>
  <c r="M33" i="11"/>
  <c r="H17" i="11"/>
  <c r="H34" i="11" s="1"/>
  <c r="X34" i="20"/>
  <c r="AD71" i="22"/>
  <c r="AD72" i="22" s="1"/>
  <c r="AD73" i="22" s="1"/>
  <c r="V34" i="23"/>
  <c r="O10" i="11"/>
  <c r="J10" i="11"/>
  <c r="J18" i="11"/>
  <c r="O77" i="4"/>
  <c r="K77" i="4"/>
  <c r="M77" i="4" s="1"/>
  <c r="O14" i="21"/>
  <c r="O20" i="21" s="1"/>
  <c r="P72" i="22"/>
  <c r="P73" i="22" s="1"/>
  <c r="H71" i="22"/>
  <c r="X63" i="22"/>
  <c r="X71" i="22" s="1"/>
  <c r="X72" i="22" s="1"/>
  <c r="X73" i="22" s="1"/>
  <c r="K62" i="4"/>
  <c r="M62" i="4" s="1"/>
  <c r="O62" i="4"/>
  <c r="O61" i="4"/>
  <c r="K61" i="4"/>
  <c r="M61" i="4" s="1"/>
  <c r="O69" i="4"/>
  <c r="K69" i="4"/>
  <c r="M69" i="4" s="1"/>
  <c r="Q85" i="4"/>
  <c r="Q90" i="4" s="1"/>
  <c r="K85" i="4"/>
  <c r="M85" i="4" s="1"/>
  <c r="J27" i="11"/>
  <c r="O27" i="11"/>
  <c r="J19" i="5"/>
  <c r="K19" i="5"/>
  <c r="AH63" i="22"/>
  <c r="K21" i="5"/>
  <c r="O18" i="4"/>
  <c r="K89" i="1"/>
  <c r="K14" i="21"/>
  <c r="K20" i="21" s="1"/>
  <c r="AH31" i="22"/>
  <c r="K50" i="4"/>
  <c r="M50" i="4" s="1"/>
  <c r="K76" i="4"/>
  <c r="M76" i="4" s="1"/>
  <c r="O11" i="11"/>
  <c r="G103" i="4"/>
  <c r="L16" i="5"/>
  <c r="AK71" i="22"/>
  <c r="K68" i="4"/>
  <c r="M68" i="4" s="1"/>
  <c r="K79" i="4"/>
  <c r="M79" i="4" s="1"/>
  <c r="O19" i="4"/>
  <c r="K18" i="4"/>
  <c r="M18" i="4" s="1"/>
  <c r="T16" i="23"/>
  <c r="P35" i="20"/>
  <c r="H63" i="23"/>
  <c r="T15" i="23"/>
  <c r="K81" i="1"/>
  <c r="K50" i="1"/>
  <c r="K55" i="4"/>
  <c r="K71" i="4"/>
  <c r="K73" i="4" s="1"/>
  <c r="M73" i="4" s="1"/>
  <c r="J29" i="11"/>
  <c r="K60" i="4"/>
  <c r="M60" i="4" s="1"/>
  <c r="Q14" i="21"/>
  <c r="Q20" i="21" s="1"/>
  <c r="J6" i="11"/>
  <c r="O27" i="4"/>
  <c r="O58" i="4"/>
  <c r="Q54" i="4"/>
  <c r="K86" i="4"/>
  <c r="M86" i="4" s="1"/>
  <c r="O18" i="11"/>
  <c r="K20" i="5"/>
  <c r="P23" i="5"/>
  <c r="F25" i="5" s="1"/>
  <c r="K57" i="4"/>
  <c r="M57" i="4" s="1"/>
  <c r="T5" i="20"/>
  <c r="T13" i="20" s="1"/>
  <c r="T35" i="20" s="1"/>
  <c r="O102" i="4"/>
  <c r="Q78" i="4"/>
  <c r="AE6" i="21"/>
  <c r="L20" i="5"/>
  <c r="Q86" i="4"/>
  <c r="I90" i="4"/>
  <c r="K89" i="4"/>
  <c r="M89" i="4" s="1"/>
  <c r="K81" i="4"/>
  <c r="H25" i="5"/>
  <c r="L17" i="5"/>
  <c r="K17" i="5"/>
  <c r="F13" i="14"/>
  <c r="K6" i="4"/>
  <c r="Q6" i="4"/>
  <c r="Q9" i="4" s="1"/>
  <c r="I9" i="4"/>
  <c r="I32" i="4" s="1"/>
  <c r="Q32" i="4" s="1"/>
  <c r="Q22" i="4"/>
  <c r="K22" i="4"/>
  <c r="M22" i="4" s="1"/>
  <c r="M17" i="4"/>
  <c r="K16" i="5"/>
  <c r="J13" i="5"/>
  <c r="K13" i="5"/>
  <c r="L13" i="5"/>
  <c r="L14" i="5"/>
  <c r="J14" i="5"/>
  <c r="L10" i="5"/>
  <c r="L19" i="5"/>
  <c r="K18" i="5"/>
  <c r="L18" i="5"/>
  <c r="J18" i="5"/>
  <c r="I35" i="4"/>
  <c r="C23" i="5"/>
  <c r="K10" i="5"/>
  <c r="L15" i="5"/>
  <c r="K15" i="5"/>
  <c r="J15" i="5"/>
  <c r="L12" i="5"/>
  <c r="J12" i="5"/>
  <c r="K12" i="5"/>
  <c r="J11" i="5"/>
  <c r="L11" i="5"/>
  <c r="K11" i="5"/>
  <c r="I23" i="5"/>
  <c r="K9" i="5"/>
  <c r="L9" i="5"/>
  <c r="J9" i="5"/>
  <c r="Q60" i="4"/>
  <c r="I82" i="4"/>
  <c r="I127" i="4" s="1"/>
  <c r="Q127" i="4" s="1"/>
  <c r="M54" i="4"/>
  <c r="K95" i="1"/>
  <c r="I95" i="1"/>
  <c r="I97" i="1" s="1"/>
  <c r="I111" i="1" s="1"/>
  <c r="I115" i="1" s="1"/>
  <c r="P25" i="5" l="1"/>
  <c r="I46" i="4"/>
  <c r="O126" i="4"/>
  <c r="O128" i="4" s="1"/>
  <c r="G128" i="4"/>
  <c r="G130" i="4" s="1"/>
  <c r="H35" i="11"/>
  <c r="J16" i="11"/>
  <c r="K82" i="4"/>
  <c r="M82" i="4" s="1"/>
  <c r="O13" i="11"/>
  <c r="J34" i="11"/>
  <c r="K34" i="11" s="1"/>
  <c r="K90" i="4"/>
  <c r="T63" i="23"/>
  <c r="X5" i="20"/>
  <c r="X13" i="20" s="1"/>
  <c r="X35" i="20" s="1"/>
  <c r="T34" i="23"/>
  <c r="J63" i="23"/>
  <c r="J64" i="23" s="1"/>
  <c r="J65" i="23" s="1"/>
  <c r="K109" i="4"/>
  <c r="K26" i="4"/>
  <c r="M26" i="4" s="1"/>
  <c r="O26" i="4"/>
  <c r="O96" i="4"/>
  <c r="Q82" i="4"/>
  <c r="O22" i="4"/>
  <c r="G96" i="4"/>
  <c r="O34" i="11"/>
  <c r="Z72" i="22"/>
  <c r="Z73" i="22" s="1"/>
  <c r="O17" i="11"/>
  <c r="J17" i="11"/>
  <c r="H64" i="23"/>
  <c r="K8" i="4"/>
  <c r="M8" i="4" s="1"/>
  <c r="G9" i="4"/>
  <c r="G32" i="4" s="1"/>
  <c r="O8" i="4"/>
  <c r="H72" i="22"/>
  <c r="AH71" i="22"/>
  <c r="M34" i="11"/>
  <c r="K31" i="1"/>
  <c r="K97" i="1" s="1"/>
  <c r="K111" i="1" s="1"/>
  <c r="K115" i="1" s="1"/>
  <c r="O103" i="4"/>
  <c r="O104" i="4" s="1"/>
  <c r="O110" i="4" s="1"/>
  <c r="K103" i="4"/>
  <c r="F34" i="11"/>
  <c r="F13" i="11"/>
  <c r="F35" i="11" s="1"/>
  <c r="F41" i="11" s="1"/>
  <c r="M5" i="11"/>
  <c r="M13" i="11" s="1"/>
  <c r="AE14" i="21"/>
  <c r="M25" i="4"/>
  <c r="K30" i="4"/>
  <c r="M30" i="4" s="1"/>
  <c r="M92" i="4"/>
  <c r="K94" i="4"/>
  <c r="M94" i="4" s="1"/>
  <c r="J34" i="18"/>
  <c r="J38" i="18" s="1"/>
  <c r="O30" i="4"/>
  <c r="G104" i="4"/>
  <c r="G110" i="4" s="1"/>
  <c r="J5" i="11"/>
  <c r="M12" i="4"/>
  <c r="K14" i="4"/>
  <c r="M14" i="4" s="1"/>
  <c r="K9" i="4"/>
  <c r="M9" i="4" s="1"/>
  <c r="M6" i="4"/>
  <c r="K35" i="4"/>
  <c r="Q35" i="4"/>
  <c r="K23" i="5"/>
  <c r="I42" i="4" s="1"/>
  <c r="K42" i="4" s="1"/>
  <c r="M42" i="4" s="1"/>
  <c r="J23" i="5"/>
  <c r="I41" i="4" s="1"/>
  <c r="Q41" i="4" s="1"/>
  <c r="L23" i="5"/>
  <c r="I48" i="4" s="1"/>
  <c r="K48" i="4" s="1"/>
  <c r="E32" i="5"/>
  <c r="I38" i="4" s="1"/>
  <c r="E31" i="5"/>
  <c r="I37" i="4" s="1"/>
  <c r="E33" i="5"/>
  <c r="I39" i="4" s="1"/>
  <c r="E30" i="5"/>
  <c r="M34" i="5"/>
  <c r="M36" i="5" s="1"/>
  <c r="M90" i="4"/>
  <c r="Q46" i="4" l="1"/>
  <c r="Q47" i="4" s="1"/>
  <c r="I47" i="4"/>
  <c r="K46" i="4"/>
  <c r="O35" i="11"/>
  <c r="G98" i="4"/>
  <c r="G112" i="4" s="1"/>
  <c r="G116" i="4" s="1"/>
  <c r="O32" i="4"/>
  <c r="O98" i="4" s="1"/>
  <c r="O112" i="4" s="1"/>
  <c r="H73" i="22"/>
  <c r="AH73" i="22" s="1"/>
  <c r="AH72" i="22"/>
  <c r="M35" i="11"/>
  <c r="H41" i="11"/>
  <c r="T64" i="23"/>
  <c r="H65" i="23"/>
  <c r="T65" i="23" s="1"/>
  <c r="K110" i="4"/>
  <c r="M109" i="4"/>
  <c r="H37" i="11"/>
  <c r="X37" i="20"/>
  <c r="X41" i="20" s="1"/>
  <c r="G133" i="4"/>
  <c r="O130" i="4"/>
  <c r="O133" i="4" s="1"/>
  <c r="O138" i="4" s="1"/>
  <c r="J13" i="11"/>
  <c r="K5" i="11"/>
  <c r="M103" i="4"/>
  <c r="K104" i="4"/>
  <c r="K32" i="4"/>
  <c r="M32" i="4" s="1"/>
  <c r="Q42" i="4"/>
  <c r="Q48" i="4"/>
  <c r="K41" i="4"/>
  <c r="M41" i="4" s="1"/>
  <c r="E34" i="5"/>
  <c r="I40" i="4" s="1"/>
  <c r="Q40" i="4" s="1"/>
  <c r="K38" i="4"/>
  <c r="M38" i="4" s="1"/>
  <c r="Q38" i="4"/>
  <c r="M48" i="4"/>
  <c r="I36" i="4"/>
  <c r="K39" i="4"/>
  <c r="M39" i="4" s="1"/>
  <c r="Q39" i="4"/>
  <c r="K37" i="4"/>
  <c r="M37" i="4" s="1"/>
  <c r="Q37" i="4"/>
  <c r="M46" i="4" l="1"/>
  <c r="K47" i="4"/>
  <c r="M47" i="4" s="1"/>
  <c r="O116" i="4"/>
  <c r="G142" i="4"/>
  <c r="I114" i="4"/>
  <c r="Q114" i="4" s="1"/>
  <c r="G138" i="4"/>
  <c r="G145" i="4"/>
  <c r="O145" i="4" s="1"/>
  <c r="J35" i="11"/>
  <c r="K35" i="11" s="1"/>
  <c r="K13" i="11"/>
  <c r="K40" i="4"/>
  <c r="E36" i="5"/>
  <c r="Q36" i="4"/>
  <c r="Q51" i="4" s="1"/>
  <c r="Q96" i="4" s="1"/>
  <c r="Q98" i="4" s="1"/>
  <c r="Q112" i="4" s="1"/>
  <c r="K36" i="4"/>
  <c r="I51" i="4"/>
  <c r="O142" i="4" l="1"/>
  <c r="O150" i="4" s="1"/>
  <c r="O159" i="4" s="1"/>
  <c r="G150" i="4"/>
  <c r="G159" i="4" s="1"/>
  <c r="I126" i="4"/>
  <c r="I96" i="4"/>
  <c r="I98" i="4" s="1"/>
  <c r="I112" i="4" s="1"/>
  <c r="M36" i="4"/>
  <c r="K51" i="4"/>
  <c r="M51" i="4" l="1"/>
  <c r="K96" i="4"/>
  <c r="I116" i="4"/>
  <c r="Q116" i="4" s="1"/>
  <c r="I142" i="4"/>
  <c r="Q126" i="4"/>
  <c r="Q128" i="4" s="1"/>
  <c r="I128" i="4"/>
  <c r="I130" i="4" s="1"/>
  <c r="I133" i="4" l="1"/>
  <c r="Q130" i="4"/>
  <c r="Q133" i="4" s="1"/>
  <c r="Q138" i="4" s="1"/>
  <c r="Q142" i="4"/>
  <c r="M96" i="4"/>
  <c r="K98" i="4"/>
  <c r="K112" i="4" l="1"/>
  <c r="M112" i="4" s="1"/>
  <c r="M98" i="4"/>
  <c r="I138" i="4"/>
  <c r="I145" i="4"/>
  <c r="Q145" i="4" l="1"/>
  <c r="Q150" i="4" s="1"/>
  <c r="Q159" i="4" s="1"/>
  <c r="I150" i="4"/>
  <c r="I159" i="4" s="1"/>
</calcChain>
</file>

<file path=xl/sharedStrings.xml><?xml version="1.0" encoding="utf-8"?>
<sst xmlns="http://schemas.openxmlformats.org/spreadsheetml/2006/main" count="726" uniqueCount="351">
  <si>
    <t>31125 · Taxes - St Johns County</t>
  </si>
  <si>
    <t>31150 · Taxes - Flagler County</t>
  </si>
  <si>
    <t>33825 · Excess Fees - St Johns County</t>
  </si>
  <si>
    <t>33880 · FEMA -</t>
  </si>
  <si>
    <t>34190 · Culvert Permit Fees</t>
  </si>
  <si>
    <t>34195 · Culvert Installation - Packages</t>
  </si>
  <si>
    <t>34196 · Maintenance, Repairs &amp; Damages</t>
  </si>
  <si>
    <t>34197 · Copies, Maps and Other</t>
  </si>
  <si>
    <t>34199 · Move On/Off Permit</t>
  </si>
  <si>
    <t>36115 · Interest Earned First Federal</t>
  </si>
  <si>
    <t>36120 · Interest Earned - SBA</t>
  </si>
  <si>
    <t>36132 · Interest Income - St Johns</t>
  </si>
  <si>
    <t>36990 · Miscellaneous Revenues</t>
  </si>
  <si>
    <t>51000 · Personal Services</t>
  </si>
  <si>
    <t>51100 · Supervisors Fees</t>
  </si>
  <si>
    <t>51200 · Salary and Wages</t>
  </si>
  <si>
    <t>51210 · Vacation</t>
  </si>
  <si>
    <t>51220 · Sick</t>
  </si>
  <si>
    <t>51230 · Holiday</t>
  </si>
  <si>
    <t>51400 · Overtime Pay</t>
  </si>
  <si>
    <t>52100 · FICA Taxes</t>
  </si>
  <si>
    <t>52150 · Payroll Taxes - Medicare</t>
  </si>
  <si>
    <t>52200 · Retirement</t>
  </si>
  <si>
    <t>52300 · Life and Health Insurance</t>
  </si>
  <si>
    <t>52350 · Dependent Life Ins</t>
  </si>
  <si>
    <t>52300 · Life and Health Insurance - Other</t>
  </si>
  <si>
    <t>Total 52300 · Life and Health Insurance</t>
  </si>
  <si>
    <t>52400 · Unemployment Compensation</t>
  </si>
  <si>
    <t>52450 · Workers Compensation Insurance</t>
  </si>
  <si>
    <t>52460 · Drug &amp; Alcohol Testing</t>
  </si>
  <si>
    <t>Total 51000 · Personal Services</t>
  </si>
  <si>
    <t>53000 · Operating Expenses</t>
  </si>
  <si>
    <t>53131 · Services - Engineering</t>
  </si>
  <si>
    <t>53132 · Vegetation Control</t>
  </si>
  <si>
    <t>53133 · Surveying</t>
  </si>
  <si>
    <t>53154 · Legal</t>
  </si>
  <si>
    <t>53155 · Legal Advertisement</t>
  </si>
  <si>
    <t>53200 · Accounting</t>
  </si>
  <si>
    <t>53225 · Auditing</t>
  </si>
  <si>
    <t>54000 · Travel &amp; Per Diem</t>
  </si>
  <si>
    <t>54010 · Continuing Education &amp; Seminars</t>
  </si>
  <si>
    <t>54100 · Telephone</t>
  </si>
  <si>
    <t>54251 · Postage</t>
  </si>
  <si>
    <t>54252 · Fuel &amp; Oil</t>
  </si>
  <si>
    <t>54300 · Utilities</t>
  </si>
  <si>
    <t>54500 · Insurance</t>
  </si>
  <si>
    <t>54600 · Shop Expense</t>
  </si>
  <si>
    <t>54658 · Equipment Rental</t>
  </si>
  <si>
    <t>54659 · Equipment Maintenance</t>
  </si>
  <si>
    <t>54660 · Computers</t>
  </si>
  <si>
    <t>54659 · Equipment Maintenance - Other</t>
  </si>
  <si>
    <t>Total 54659 · Equipment Maintenance</t>
  </si>
  <si>
    <t>55152 · Office Supplies</t>
  </si>
  <si>
    <t>55153 · Admin Fees, Licenses, Permits</t>
  </si>
  <si>
    <t>55154 · Facility Maintenance &amp; Repairs</t>
  </si>
  <si>
    <t>55225 · Collection Expense-St Johns</t>
  </si>
  <si>
    <t>55230 · Collection Discounts - SJC</t>
  </si>
  <si>
    <t>55275 · Collection Expense - SJPA</t>
  </si>
  <si>
    <t>55459 · Other Current Charges</t>
  </si>
  <si>
    <t>Total 53000 · Operating Expenses</t>
  </si>
  <si>
    <t>56000 · Capital Outlay</t>
  </si>
  <si>
    <t>56463 · Street Signs</t>
  </si>
  <si>
    <t>56466 · Drainage Control</t>
  </si>
  <si>
    <t>56467 · Road Improvements</t>
  </si>
  <si>
    <t>56468 · Signage</t>
  </si>
  <si>
    <t>Total 56000 · Capital Outlay</t>
  </si>
  <si>
    <t>57000 · Debt Service</t>
  </si>
  <si>
    <t>57471 · Principal Payments</t>
  </si>
  <si>
    <t>57472 · Interest Payments</t>
  </si>
  <si>
    <t>Total 57000 · Debt Service</t>
  </si>
  <si>
    <t>60000 · Other Sources and Uses</t>
  </si>
  <si>
    <t>Anticipated Revenues</t>
  </si>
  <si>
    <t>Assessments &amp; Related Fees</t>
  </si>
  <si>
    <t>Total Assessments &amp; Related Fees</t>
  </si>
  <si>
    <t>Grants</t>
  </si>
  <si>
    <t>Total Grants</t>
  </si>
  <si>
    <t>Service and Permit Fees</t>
  </si>
  <si>
    <t>Total Service and Permit Fees</t>
  </si>
  <si>
    <t>Miscellaneous Revenues</t>
  </si>
  <si>
    <t>Total Miscellaneous Revenues</t>
  </si>
  <si>
    <t>Total Anticipated Revenues</t>
  </si>
  <si>
    <t>Proposed Expenditures</t>
  </si>
  <si>
    <t>Debt Proceeds</t>
  </si>
  <si>
    <t>Other Proceeds</t>
  </si>
  <si>
    <t>Total 60000 · Other Sources and Uses</t>
  </si>
  <si>
    <t>Total Proposed Expenditures</t>
  </si>
  <si>
    <t>Interfund Transfers</t>
  </si>
  <si>
    <t>Transfers In</t>
  </si>
  <si>
    <t>Transfers Out</t>
  </si>
  <si>
    <t>Total Interfund Transfers</t>
  </si>
  <si>
    <t>Anticipated Operating Excess (Deficit)</t>
  </si>
  <si>
    <t>Other Sources, Uses and Transfers</t>
  </si>
  <si>
    <t>Total Other Sources, Uses and Transfers</t>
  </si>
  <si>
    <t>Total Excess (Deficit)</t>
  </si>
  <si>
    <t>33885 · Other</t>
  </si>
  <si>
    <t>Anticipated Amendments</t>
  </si>
  <si>
    <t>56464 · Machinery &amp; Equipment</t>
  </si>
  <si>
    <t>Change From Prior Year</t>
  </si>
  <si>
    <t>Dollars</t>
  </si>
  <si>
    <t>Percent</t>
  </si>
  <si>
    <t>Flagler Estates Road and Water Control District</t>
  </si>
  <si>
    <t>Salary Wages and Related Costs</t>
  </si>
  <si>
    <t>Employee Name</t>
  </si>
  <si>
    <t>Proposed Pay Rate</t>
  </si>
  <si>
    <t>Hours</t>
  </si>
  <si>
    <t>Proposed Base Salary</t>
  </si>
  <si>
    <t>FICA @ 6.2%</t>
  </si>
  <si>
    <t>Medicare @ 1.45%</t>
  </si>
  <si>
    <t>Mike Paesch</t>
  </si>
  <si>
    <t>Totals</t>
  </si>
  <si>
    <t>Evan Ryon</t>
  </si>
  <si>
    <t>56470 · FERDAP - PARK LANDS</t>
  </si>
  <si>
    <t>Allocated</t>
  </si>
  <si>
    <t>Exhibited Percentage</t>
  </si>
  <si>
    <t>Service and Chemicals for aquatic weed control</t>
  </si>
  <si>
    <t>Cost of third party surveying not related to capital projects</t>
  </si>
  <si>
    <t>Personal Services Budget Worksheet - General Fund</t>
  </si>
  <si>
    <t>Cost of required advertisements</t>
  </si>
  <si>
    <t>Training and seminar costs</t>
  </si>
  <si>
    <t>Telephone and Internet</t>
  </si>
  <si>
    <t>Total Wages for Estimatation period</t>
  </si>
  <si>
    <t>Total Retirement for Estimatation Period</t>
  </si>
  <si>
    <t>Base fees for the day to day engineering services provided to the District - Does not include fees for Capital Project or Special Project Related Items</t>
  </si>
  <si>
    <t>Attorney Fees to the District Counsel, as well as other legal fees for other consulting attorneys</t>
  </si>
  <si>
    <t>Postage - Including annual mailings</t>
  </si>
  <si>
    <t xml:space="preserve"> </t>
  </si>
  <si>
    <t>Notes</t>
  </si>
  <si>
    <t>Proposed</t>
  </si>
  <si>
    <t>Cost of all fuels used by district</t>
  </si>
  <si>
    <t>Primarily Electricity</t>
  </si>
  <si>
    <t>Parts and Supplies</t>
  </si>
  <si>
    <t>Tires, major equipment servicing and repairs</t>
  </si>
  <si>
    <t>General office expenses</t>
  </si>
  <si>
    <t>Memberships, renewals and other subscription type items</t>
  </si>
  <si>
    <t>New capital equipment items</t>
  </si>
  <si>
    <t>Repairs not covered under Capital Projects Fund</t>
  </si>
  <si>
    <t>Street Signs</t>
  </si>
  <si>
    <t>Capital Outlay Expenses Budget Worksheet - General Fund</t>
  </si>
  <si>
    <t>Operating Expense Budget Worksheet - General Fund</t>
  </si>
  <si>
    <t>Closing Reserve</t>
  </si>
  <si>
    <t>Treasurer fees</t>
  </si>
  <si>
    <t>31125 · CIP Assessment Collections</t>
  </si>
  <si>
    <t>36110 · Interest Income</t>
  </si>
  <si>
    <t>39991 · FEMA - Grants</t>
  </si>
  <si>
    <t>53131 · Engineering Services</t>
  </si>
  <si>
    <t>53132 · Project Supervision</t>
  </si>
  <si>
    <t>53133 · Survey Services</t>
  </si>
  <si>
    <t>53134 · Environmental Services</t>
  </si>
  <si>
    <t>55230 · SJC - Collection Exp</t>
  </si>
  <si>
    <t>55235 · SJC Assessment Discount</t>
  </si>
  <si>
    <t>56460 · Paving and Stabilization</t>
  </si>
  <si>
    <t>56465 · Road Resurfacing</t>
  </si>
  <si>
    <t>56475 · Signage</t>
  </si>
  <si>
    <t>56480 · Pavment Striping</t>
  </si>
  <si>
    <t>56490 · Driveway Culverts</t>
  </si>
  <si>
    <t>56495 · Paving Culverts &amp; Rip Rap</t>
  </si>
  <si>
    <t>56500 · Culvert Replacements</t>
  </si>
  <si>
    <t>Anticipated Excess/(Deficit)</t>
  </si>
  <si>
    <t>Opening Reserves</t>
  </si>
  <si>
    <t>Closing Reserves</t>
  </si>
  <si>
    <t>Maintenance</t>
  </si>
  <si>
    <t>Assessment Component</t>
  </si>
  <si>
    <t>Applicable Acreage</t>
  </si>
  <si>
    <t>Proposed Assessment</t>
  </si>
  <si>
    <t>Total to be Billed</t>
  </si>
  <si>
    <t>Budgeted Rate</t>
  </si>
  <si>
    <t>Budgeted Revenues</t>
  </si>
  <si>
    <t>Maintenance &amp; Operations</t>
  </si>
  <si>
    <t>Total Assessments</t>
  </si>
  <si>
    <t>Capital Projects</t>
  </si>
  <si>
    <t>Assessment Total</t>
  </si>
  <si>
    <t>Per Acre Figures @ 6180.61 Acres</t>
  </si>
  <si>
    <t>Debt Proceeds - Including Capital Leases</t>
  </si>
  <si>
    <t>Anticipated Annual Operating Expenditures</t>
  </si>
  <si>
    <t>Personnel</t>
  </si>
  <si>
    <t>Operating</t>
  </si>
  <si>
    <t xml:space="preserve">Total </t>
  </si>
  <si>
    <t>Recommended Reserve</t>
  </si>
  <si>
    <t>Excess/(Deficit) Reserve Funding</t>
  </si>
  <si>
    <t>Operating Reserve</t>
  </si>
  <si>
    <t>Non-Operating Reserves</t>
  </si>
  <si>
    <t>Less:</t>
  </si>
  <si>
    <t>Recommended Operating Reserves</t>
  </si>
  <si>
    <t>SBA B-Fund</t>
  </si>
  <si>
    <t>Estimated Net Unobligated funds</t>
  </si>
  <si>
    <t>Proposed Obligations</t>
  </si>
  <si>
    <t>FEMA Matching</t>
  </si>
  <si>
    <t>Other</t>
  </si>
  <si>
    <t>Unobligated Non-Operating Reserve</t>
  </si>
  <si>
    <t>Reserve Calculations</t>
  </si>
  <si>
    <t>Anticipated Cash Carry forward September 30</t>
  </si>
  <si>
    <t>36115 · Other Grants</t>
  </si>
  <si>
    <t>Proposed Retirement</t>
  </si>
  <si>
    <t>Per Hour</t>
  </si>
  <si>
    <t>Purchase of Right of Ways</t>
  </si>
  <si>
    <t>Note as not all employees are eligible, actual cost has been</t>
  </si>
  <si>
    <t>in the 7% range for the last few years for eligible</t>
  </si>
  <si>
    <t>53134 · Environmental</t>
  </si>
  <si>
    <t>Specialist for environmental issues</t>
  </si>
  <si>
    <t>Park Fund Reserve - Match Fund</t>
  </si>
  <si>
    <t>36120 · Interest Income - CCB</t>
  </si>
  <si>
    <t>36990 · Miscellaneous Revenue</t>
  </si>
  <si>
    <t>36995 · Proceeds from Financing Sources</t>
  </si>
  <si>
    <t>55275 · Collection Expense</t>
  </si>
  <si>
    <t>56470 · Guardrail Installation</t>
  </si>
  <si>
    <t>56485 · Drainage Imp - Intersections</t>
  </si>
  <si>
    <t>57000 · Storm Water Treatment</t>
  </si>
  <si>
    <t>Change from Prior Year</t>
  </si>
  <si>
    <t>Precent</t>
  </si>
  <si>
    <t>Ashley Outfall Culverts</t>
  </si>
  <si>
    <t>Road   Resurfacing</t>
  </si>
  <si>
    <t>Forebay Cleanup</t>
  </si>
  <si>
    <t>39991 · USE OF RESERVES</t>
  </si>
  <si>
    <t>Anticipated Opening Reserves</t>
  </si>
  <si>
    <t>Less Use of Reserves</t>
  </si>
  <si>
    <t>Anticipated Closing Reserves</t>
  </si>
  <si>
    <t>USE OF RESERVES</t>
  </si>
  <si>
    <t>Use of Reserves</t>
  </si>
  <si>
    <t>6 Months of Anticipated Operating Expenditures</t>
  </si>
  <si>
    <t>Grant Matching /Emergency</t>
  </si>
  <si>
    <t>CDBG Unmet Needs</t>
  </si>
  <si>
    <t>Annual Debt Service - Removed for Payoff</t>
  </si>
  <si>
    <t>Other Costs</t>
  </si>
  <si>
    <t>Linda Gee</t>
  </si>
  <si>
    <t>56467 · Road repairs</t>
  </si>
  <si>
    <t>GIS Database</t>
  </si>
  <si>
    <t>Access Easement Clearing</t>
  </si>
  <si>
    <t>Road Improvements</t>
  </si>
  <si>
    <t>Intersections</t>
  </si>
  <si>
    <t>SUTA @ 1.03%</t>
  </si>
  <si>
    <t>Includes short term rental of equipment when ours is in the shop and other small rental items.</t>
  </si>
  <si>
    <t>Monthly cleaning, rag and soap services and other maint related items of the District Building, alarm system and minor repairs</t>
  </si>
  <si>
    <t>Early payment discounts passed on to District from County</t>
  </si>
  <si>
    <t>Collection costs charged by the County</t>
  </si>
  <si>
    <t>Remarks</t>
  </si>
  <si>
    <t>55155 - Publishing and Printing</t>
  </si>
  <si>
    <t>55155 · Publishing &amp; Printing</t>
  </si>
  <si>
    <t>Annual Landholders Mailing</t>
  </si>
  <si>
    <t>Scheduled Increases</t>
  </si>
  <si>
    <t>Maximum Proposed Increase - COLA</t>
  </si>
  <si>
    <t>Workers Comp - Based on Quote</t>
  </si>
  <si>
    <t>5 Year Total</t>
  </si>
  <si>
    <t>Annual Life &amp; Health Insurance Based on Current Costs</t>
  </si>
  <si>
    <t>Annualized Through</t>
  </si>
  <si>
    <t>Budget</t>
  </si>
  <si>
    <t>Bill Fisher</t>
  </si>
  <si>
    <t>56467 · Road Improvement</t>
  </si>
  <si>
    <t>Balance in Reserve Accounts</t>
  </si>
  <si>
    <t>(includes operating and emergency)</t>
  </si>
  <si>
    <t>36110 · Interest Earned CCB</t>
  </si>
  <si>
    <t>36115 · Interest Earned CCB</t>
  </si>
  <si>
    <t>Annualized</t>
  </si>
  <si>
    <t>General liability insurance -  Adjusted for Prepaid items</t>
  </si>
  <si>
    <t>Annual Health Insurance</t>
  </si>
  <si>
    <t>51210 - Vacation</t>
  </si>
  <si>
    <t>51220 - Sick</t>
  </si>
  <si>
    <t>51230 - Holiday</t>
  </si>
  <si>
    <t>51400 - Overtime</t>
  </si>
  <si>
    <t>Sep 14</t>
  </si>
  <si>
    <t>Oct 14</t>
  </si>
  <si>
    <t>Nov 14</t>
  </si>
  <si>
    <t>Dec 14</t>
  </si>
  <si>
    <t>Jan 15</t>
  </si>
  <si>
    <t>Feb 15</t>
  </si>
  <si>
    <t>Mar 15</t>
  </si>
  <si>
    <t>Apr 15</t>
  </si>
  <si>
    <t>May 15</t>
  </si>
  <si>
    <t>Jun 15</t>
  </si>
  <si>
    <t>Jul 15</t>
  </si>
  <si>
    <t>Aug 15</t>
  </si>
  <si>
    <t>Sep 15</t>
  </si>
  <si>
    <t>TOTAL</t>
  </si>
  <si>
    <t>Ordinary Income/Expense</t>
  </si>
  <si>
    <t>Income</t>
  </si>
  <si>
    <t>Total Income</t>
  </si>
  <si>
    <t>Expense</t>
  </si>
  <si>
    <t>Total Expense</t>
  </si>
  <si>
    <t>Net Ordinary Income</t>
  </si>
  <si>
    <t>Other Income/Expense</t>
  </si>
  <si>
    <t>Other Income</t>
  </si>
  <si>
    <t>31130 · Excess Fees - SJC</t>
  </si>
  <si>
    <t>Total Other Income</t>
  </si>
  <si>
    <t>Net Other Income</t>
  </si>
  <si>
    <t>Net Income</t>
  </si>
  <si>
    <t>net</t>
  </si>
  <si>
    <t>36110 · Interest Earned Capital City</t>
  </si>
  <si>
    <t>36400 · Sales of Equipment</t>
  </si>
  <si>
    <t>Gross Profit</t>
  </si>
  <si>
    <t>75168 · FPL</t>
  </si>
  <si>
    <t>54300 · Utilities - Other</t>
  </si>
  <si>
    <t>Total 54300 · Utilities</t>
  </si>
  <si>
    <t>53000 · Operating Expenses - Other</t>
  </si>
  <si>
    <t>6560 · Payroll Expenses</t>
  </si>
  <si>
    <t>66900 · Reconciliation Discrepancies</t>
  </si>
  <si>
    <t>51200 - Salary and Wages</t>
  </si>
  <si>
    <t>Fiscal 2016-17</t>
  </si>
  <si>
    <t>Oct 15</t>
  </si>
  <si>
    <t>Nov 15</t>
  </si>
  <si>
    <t>Dec 15</t>
  </si>
  <si>
    <t>Jan 16</t>
  </si>
  <si>
    <t>Feb 16</t>
  </si>
  <si>
    <t>Mar 16</t>
  </si>
  <si>
    <t>52355 · Dependent Medical Ins</t>
  </si>
  <si>
    <t>Annual</t>
  </si>
  <si>
    <t>Monthly Charge from April 2016 Bill</t>
  </si>
  <si>
    <t>Travel costs related seminars and meetings, and mileage reimbursements for staff use of personal vehicles</t>
  </si>
  <si>
    <t>Internet access, software, other computer related costs &amp; copier/Printer maint</t>
  </si>
  <si>
    <t>Collection costs charged by the county - commissions earned for the tax collection function</t>
  </si>
  <si>
    <t>Repayment 2007 item</t>
  </si>
  <si>
    <t>Approved Carry Forward 2016</t>
  </si>
  <si>
    <t>Proposed 2017-18 Budget</t>
  </si>
  <si>
    <t>Thru August</t>
  </si>
  <si>
    <t>Salary at current pay rate</t>
  </si>
  <si>
    <t>Wade Porter</t>
  </si>
  <si>
    <t>Estimated Retirement 2019 @ historic rate</t>
  </si>
  <si>
    <t>Proposed Annual FYE 2018-19 Salary</t>
  </si>
  <si>
    <t>Estimated Retirement based on 5 Year Avg @ FYE 2017</t>
  </si>
  <si>
    <t>Opening Reserve - Adjusted to 9/30/17 actual</t>
  </si>
  <si>
    <t>Retirement - Current</t>
  </si>
  <si>
    <t>FEMA Engineering</t>
  </si>
  <si>
    <t>Original 2018-19 Budget</t>
  </si>
  <si>
    <t>2018-19 as Amended</t>
  </si>
  <si>
    <t>Opening ReservesAdjusted to 2018 Est</t>
  </si>
  <si>
    <t>Opening Reserve - 9/30/18 Est</t>
  </si>
  <si>
    <t>Breakdown of Salary Components Based on Preceding 5 year Period ended Sept 2018</t>
  </si>
  <si>
    <t xml:space="preserve">CPR, First Aid &amp; Flagger </t>
  </si>
  <si>
    <t>56460 · Road Stabilization (millings)</t>
  </si>
  <si>
    <t>56465 · Road Resurfacing (paving)</t>
  </si>
  <si>
    <t>56495 · Culverts &amp; Rip Rap</t>
  </si>
  <si>
    <t>Leo Venesky</t>
  </si>
  <si>
    <t>2020-21</t>
  </si>
  <si>
    <t>2021-2022</t>
  </si>
  <si>
    <t xml:space="preserve">Non-Advalorem Assessment </t>
  </si>
  <si>
    <t>Miscellaneous, in prior years this included testing and some survey costs, now recorded in other accounts. - includes bank charges/employee appreciation</t>
  </si>
  <si>
    <t>Brian Perkins</t>
  </si>
  <si>
    <t>Fiscal 2023-24</t>
  </si>
  <si>
    <t>Daltin Beverly</t>
  </si>
  <si>
    <t>2021-22</t>
  </si>
  <si>
    <t>New capital equipment item</t>
  </si>
  <si>
    <t>Katie Allum</t>
  </si>
  <si>
    <t>Fiscal 2025-2026</t>
  </si>
  <si>
    <t>Fiscal 2025-26</t>
  </si>
  <si>
    <t>Pay Rate Current as of  4/30/25</t>
  </si>
  <si>
    <t>open</t>
  </si>
  <si>
    <t xml:space="preserve"> Fiscal 2025-26</t>
  </si>
  <si>
    <t xml:space="preserve">56464-Machinery &amp; Equipment </t>
  </si>
  <si>
    <t>Estimated Monthly Charge From August 2024 Billing</t>
  </si>
  <si>
    <t>Proposed 2025-26 Budget</t>
  </si>
  <si>
    <t>2024-2025 as Amended</t>
  </si>
  <si>
    <t>2024-25 as Amended</t>
  </si>
  <si>
    <t>Annual audit costs for 2025 includes annual meeting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</si>
</sst>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\-#,##0.00"/>
  </numFmts>
  <fonts count="20" x14ac:knownFonts="1">
    <font>
      <sz val="11"/>
      <color theme="1"/>
      <name val="Calibri"/>
      <family val="2"/>
      <scheme val="minor"/>
    </font>
    <font>
      <u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">
    <xf numFmtId="0" fontId="0" fillId="0" borderId="0"/>
    <xf numFmtId="0" fontId="9" fillId="0" borderId="0"/>
    <xf numFmtId="0" fontId="12" fillId="0" borderId="0"/>
    <xf numFmtId="0" fontId="13" fillId="0" borderId="0"/>
    <xf numFmtId="0" fontId="14" fillId="0" borderId="0"/>
  </cellStyleXfs>
  <cellXfs count="125">
    <xf numFmtId="0" fontId="0" fillId="0" borderId="0" xfId="0"/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5" fillId="0" borderId="0" xfId="0" applyNumberFormat="1" applyFont="1"/>
    <xf numFmtId="43" fontId="4" fillId="0" borderId="0" xfId="0" applyNumberFormat="1" applyFont="1"/>
    <xf numFmtId="0" fontId="4" fillId="0" borderId="0" xfId="0" applyFont="1"/>
    <xf numFmtId="43" fontId="5" fillId="0" borderId="1" xfId="0" applyNumberFormat="1" applyFont="1" applyBorder="1"/>
    <xf numFmtId="43" fontId="5" fillId="0" borderId="2" xfId="0" applyNumberFormat="1" applyFont="1" applyBorder="1"/>
    <xf numFmtId="43" fontId="5" fillId="0" borderId="3" xfId="0" applyNumberFormat="1" applyFont="1" applyBorder="1"/>
    <xf numFmtId="49" fontId="5" fillId="0" borderId="0" xfId="0" applyNumberFormat="1" applyFont="1" applyAlignment="1">
      <alignment horizontal="center"/>
    </xf>
    <xf numFmtId="49" fontId="5" fillId="0" borderId="0" xfId="0" applyNumberFormat="1" applyFont="1"/>
    <xf numFmtId="0" fontId="5" fillId="0" borderId="0" xfId="0" applyFont="1"/>
    <xf numFmtId="43" fontId="5" fillId="0" borderId="1" xfId="0" applyNumberFormat="1" applyFont="1" applyBorder="1" applyAlignment="1">
      <alignment horizontal="center" wrapText="1"/>
    </xf>
    <xf numFmtId="43" fontId="5" fillId="0" borderId="1" xfId="0" applyNumberFormat="1" applyFont="1" applyBorder="1" applyAlignment="1">
      <alignment horizontal="centerContinuous"/>
    </xf>
    <xf numFmtId="43" fontId="4" fillId="0" borderId="1" xfId="0" applyNumberFormat="1" applyFont="1" applyBorder="1" applyAlignment="1">
      <alignment horizontal="centerContinuous"/>
    </xf>
    <xf numFmtId="10" fontId="4" fillId="0" borderId="0" xfId="0" applyNumberFormat="1" applyFont="1"/>
    <xf numFmtId="10" fontId="0" fillId="0" borderId="0" xfId="0" applyNumberFormat="1"/>
    <xf numFmtId="3" fontId="0" fillId="0" borderId="0" xfId="0" applyNumberFormat="1"/>
    <xf numFmtId="4" fontId="0" fillId="0" borderId="0" xfId="0" applyNumberFormat="1"/>
    <xf numFmtId="0" fontId="0" fillId="0" borderId="0" xfId="0" applyAlignment="1">
      <alignment horizontal="centerContinuous"/>
    </xf>
    <xf numFmtId="43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wrapText="1"/>
    </xf>
    <xf numFmtId="43" fontId="0" fillId="0" borderId="1" xfId="0" applyNumberFormat="1" applyBorder="1"/>
    <xf numFmtId="10" fontId="0" fillId="0" borderId="1" xfId="0" applyNumberFormat="1" applyBorder="1"/>
    <xf numFmtId="43" fontId="0" fillId="0" borderId="3" xfId="0" applyNumberFormat="1" applyBorder="1"/>
    <xf numFmtId="49" fontId="0" fillId="0" borderId="0" xfId="0" applyNumberFormat="1"/>
    <xf numFmtId="49" fontId="6" fillId="0" borderId="0" xfId="0" applyNumberFormat="1" applyFont="1"/>
    <xf numFmtId="0" fontId="0" fillId="0" borderId="0" xfId="0" applyAlignment="1">
      <alignment horizontal="center"/>
    </xf>
    <xf numFmtId="43" fontId="7" fillId="0" borderId="0" xfId="0" applyNumberFormat="1" applyFont="1"/>
    <xf numFmtId="10" fontId="0" fillId="0" borderId="3" xfId="0" applyNumberFormat="1" applyBorder="1"/>
    <xf numFmtId="49" fontId="6" fillId="0" borderId="0" xfId="0" applyNumberFormat="1" applyFont="1" applyAlignment="1">
      <alignment wrapText="1"/>
    </xf>
    <xf numFmtId="0" fontId="4" fillId="0" borderId="0" xfId="0" applyFont="1" applyAlignment="1">
      <alignment horizontal="centerContinuous"/>
    </xf>
    <xf numFmtId="0" fontId="4" fillId="0" borderId="1" xfId="0" applyFont="1" applyBorder="1" applyAlignment="1">
      <alignment horizontal="centerContinuous"/>
    </xf>
    <xf numFmtId="49" fontId="8" fillId="0" borderId="0" xfId="0" applyNumberFormat="1" applyFont="1"/>
    <xf numFmtId="0" fontId="4" fillId="0" borderId="4" xfId="0" applyFont="1" applyBorder="1"/>
    <xf numFmtId="49" fontId="8" fillId="0" borderId="4" xfId="0" applyNumberFormat="1" applyFont="1" applyBorder="1"/>
    <xf numFmtId="49" fontId="8" fillId="0" borderId="4" xfId="0" applyNumberFormat="1" applyFont="1" applyBorder="1" applyAlignment="1">
      <alignment wrapText="1"/>
    </xf>
    <xf numFmtId="43" fontId="5" fillId="0" borderId="4" xfId="0" applyNumberFormat="1" applyFont="1" applyBorder="1"/>
    <xf numFmtId="49" fontId="8" fillId="2" borderId="4" xfId="0" applyNumberFormat="1" applyFont="1" applyFill="1" applyBorder="1"/>
    <xf numFmtId="0" fontId="4" fillId="2" borderId="4" xfId="0" applyFont="1" applyFill="1" applyBorder="1"/>
    <xf numFmtId="44" fontId="8" fillId="0" borderId="4" xfId="0" applyNumberFormat="1" applyFont="1" applyBorder="1" applyAlignment="1">
      <alignment wrapText="1"/>
    </xf>
    <xf numFmtId="49" fontId="6" fillId="0" borderId="4" xfId="0" applyNumberFormat="1" applyFont="1" applyBorder="1"/>
    <xf numFmtId="49" fontId="6" fillId="0" borderId="4" xfId="0" applyNumberFormat="1" applyFont="1" applyBorder="1" applyAlignment="1">
      <alignment wrapText="1"/>
    </xf>
    <xf numFmtId="43" fontId="7" fillId="0" borderId="4" xfId="0" applyNumberFormat="1" applyFont="1" applyBorder="1"/>
    <xf numFmtId="49" fontId="6" fillId="2" borderId="4" xfId="0" applyNumberFormat="1" applyFont="1" applyFill="1" applyBorder="1"/>
    <xf numFmtId="0" fontId="8" fillId="0" borderId="0" xfId="0" applyFont="1"/>
    <xf numFmtId="43" fontId="4" fillId="0" borderId="1" xfId="0" applyNumberFormat="1" applyFont="1" applyBorder="1"/>
    <xf numFmtId="43" fontId="4" fillId="0" borderId="3" xfId="0" applyNumberFormat="1" applyFont="1" applyBorder="1"/>
    <xf numFmtId="10" fontId="4" fillId="0" borderId="1" xfId="0" applyNumberFormat="1" applyFont="1" applyBorder="1"/>
    <xf numFmtId="10" fontId="4" fillId="0" borderId="2" xfId="0" applyNumberFormat="1" applyFont="1" applyBorder="1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43" fontId="2" fillId="0" borderId="0" xfId="0" applyNumberFormat="1" applyFont="1"/>
    <xf numFmtId="41" fontId="2" fillId="0" borderId="0" xfId="0" applyNumberFormat="1" applyFont="1"/>
    <xf numFmtId="10" fontId="2" fillId="0" borderId="0" xfId="0" applyNumberFormat="1" applyFont="1"/>
    <xf numFmtId="43" fontId="2" fillId="0" borderId="1" xfId="0" applyNumberFormat="1" applyFont="1" applyBorder="1"/>
    <xf numFmtId="41" fontId="2" fillId="0" borderId="1" xfId="0" applyNumberFormat="1" applyFont="1" applyBorder="1"/>
    <xf numFmtId="10" fontId="2" fillId="0" borderId="1" xfId="0" applyNumberFormat="1" applyFont="1" applyBorder="1"/>
    <xf numFmtId="41" fontId="2" fillId="0" borderId="3" xfId="0" applyNumberFormat="1" applyFont="1" applyBorder="1"/>
    <xf numFmtId="0" fontId="2" fillId="0" borderId="3" xfId="0" applyFont="1" applyBorder="1"/>
    <xf numFmtId="43" fontId="2" fillId="0" borderId="3" xfId="0" applyNumberFormat="1" applyFont="1" applyBorder="1"/>
    <xf numFmtId="10" fontId="2" fillId="0" borderId="3" xfId="0" applyNumberFormat="1" applyFont="1" applyBorder="1"/>
    <xf numFmtId="0" fontId="4" fillId="0" borderId="1" xfId="0" applyFont="1" applyBorder="1" applyAlignment="1">
      <alignment horizontal="centerContinuous" wrapText="1"/>
    </xf>
    <xf numFmtId="43" fontId="5" fillId="0" borderId="1" xfId="0" applyNumberFormat="1" applyFont="1" applyBorder="1" applyAlignment="1">
      <alignment horizontal="centerContinuous" wrapText="1"/>
    </xf>
    <xf numFmtId="43" fontId="5" fillId="2" borderId="0" xfId="0" applyNumberFormat="1" applyFont="1" applyFill="1"/>
    <xf numFmtId="43" fontId="4" fillId="2" borderId="0" xfId="0" applyNumberFormat="1" applyFont="1" applyFill="1"/>
    <xf numFmtId="0" fontId="4" fillId="2" borderId="0" xfId="0" applyFont="1" applyFill="1"/>
    <xf numFmtId="43" fontId="4" fillId="3" borderId="0" xfId="0" applyNumberFormat="1" applyFont="1" applyFill="1"/>
    <xf numFmtId="0" fontId="4" fillId="3" borderId="0" xfId="0" applyFont="1" applyFill="1"/>
    <xf numFmtId="43" fontId="0" fillId="0" borderId="0" xfId="0" applyNumberFormat="1" applyAlignment="1">
      <alignment horizontal="center"/>
    </xf>
    <xf numFmtId="43" fontId="7" fillId="0" borderId="4" xfId="0" applyNumberFormat="1" applyFont="1" applyBorder="1" applyAlignment="1">
      <alignment wrapText="1"/>
    </xf>
    <xf numFmtId="49" fontId="8" fillId="0" borderId="4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horizontal="centerContinuous"/>
    </xf>
    <xf numFmtId="49" fontId="8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164" fontId="5" fillId="0" borderId="0" xfId="0" applyNumberFormat="1" applyFont="1"/>
    <xf numFmtId="49" fontId="4" fillId="0" borderId="0" xfId="0" applyNumberFormat="1" applyFont="1"/>
    <xf numFmtId="49" fontId="5" fillId="0" borderId="1" xfId="0" applyNumberFormat="1" applyFont="1" applyBorder="1" applyAlignment="1">
      <alignment horizontal="centerContinuous"/>
    </xf>
    <xf numFmtId="43" fontId="5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43" fontId="5" fillId="0" borderId="6" xfId="0" applyNumberFormat="1" applyFont="1" applyBorder="1"/>
    <xf numFmtId="10" fontId="4" fillId="0" borderId="6" xfId="0" applyNumberFormat="1" applyFont="1" applyBorder="1"/>
    <xf numFmtId="49" fontId="5" fillId="0" borderId="1" xfId="0" applyNumberFormat="1" applyFont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5" fillId="0" borderId="0" xfId="0" applyNumberFormat="1" applyFont="1" applyAlignment="1">
      <alignment horizontal="center"/>
    </xf>
    <xf numFmtId="43" fontId="4" fillId="0" borderId="4" xfId="0" applyNumberFormat="1" applyFont="1" applyBorder="1" applyAlignment="1">
      <alignment horizontal="left" wrapText="1"/>
    </xf>
    <xf numFmtId="43" fontId="4" fillId="0" borderId="4" xfId="0" applyNumberFormat="1" applyFont="1" applyBorder="1" applyAlignment="1">
      <alignment wrapText="1"/>
    </xf>
    <xf numFmtId="43" fontId="4" fillId="0" borderId="4" xfId="0" applyNumberFormat="1" applyFont="1" applyBorder="1"/>
    <xf numFmtId="43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43" fontId="4" fillId="0" borderId="1" xfId="0" applyNumberFormat="1" applyFont="1" applyBorder="1" applyAlignment="1">
      <alignment horizontal="center" wrapText="1"/>
    </xf>
    <xf numFmtId="49" fontId="10" fillId="0" borderId="0" xfId="0" applyNumberFormat="1" applyFont="1"/>
    <xf numFmtId="164" fontId="11" fillId="0" borderId="0" xfId="0" applyNumberFormat="1" applyFont="1"/>
    <xf numFmtId="49" fontId="11" fillId="0" borderId="0" xfId="0" applyNumberFormat="1" applyFont="1"/>
    <xf numFmtId="164" fontId="11" fillId="0" borderId="5" xfId="0" applyNumberFormat="1" applyFont="1" applyBorder="1"/>
    <xf numFmtId="164" fontId="11" fillId="0" borderId="7" xfId="0" applyNumberFormat="1" applyFont="1" applyBorder="1"/>
    <xf numFmtId="164" fontId="11" fillId="0" borderId="8" xfId="0" applyNumberFormat="1" applyFont="1" applyBorder="1"/>
    <xf numFmtId="164" fontId="10" fillId="0" borderId="9" xfId="0" applyNumberFormat="1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15" fillId="0" borderId="0" xfId="0" applyNumberFormat="1" applyFont="1" applyAlignment="1">
      <alignment horizontal="center"/>
    </xf>
    <xf numFmtId="49" fontId="15" fillId="0" borderId="0" xfId="0" applyNumberFormat="1" applyFont="1"/>
    <xf numFmtId="0" fontId="15" fillId="0" borderId="0" xfId="0" applyFont="1"/>
    <xf numFmtId="43" fontId="15" fillId="0" borderId="10" xfId="0" applyNumberFormat="1" applyFont="1" applyBorder="1" applyAlignment="1">
      <alignment horizontal="center"/>
    </xf>
    <xf numFmtId="4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43" fontId="17" fillId="0" borderId="0" xfId="0" applyNumberFormat="1" applyFont="1"/>
    <xf numFmtId="43" fontId="16" fillId="0" borderId="0" xfId="0" applyNumberFormat="1" applyFont="1"/>
    <xf numFmtId="0" fontId="16" fillId="0" borderId="0" xfId="0" applyFont="1"/>
    <xf numFmtId="43" fontId="17" fillId="0" borderId="7" xfId="0" applyNumberFormat="1" applyFont="1" applyBorder="1"/>
    <xf numFmtId="43" fontId="17" fillId="0" borderId="5" xfId="0" applyNumberFormat="1" applyFont="1" applyBorder="1"/>
    <xf numFmtId="43" fontId="17" fillId="0" borderId="8" xfId="0" applyNumberFormat="1" applyFont="1" applyBorder="1"/>
    <xf numFmtId="43" fontId="15" fillId="0" borderId="9" xfId="0" applyNumberFormat="1" applyFont="1" applyBorder="1"/>
    <xf numFmtId="43" fontId="15" fillId="0" borderId="0" xfId="0" applyNumberFormat="1" applyFont="1"/>
    <xf numFmtId="41" fontId="0" fillId="0" borderId="0" xfId="0" applyNumberFormat="1"/>
    <xf numFmtId="0" fontId="18" fillId="0" borderId="0" xfId="0" applyFont="1"/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23</xdr:row>
      <xdr:rowOff>38100</xdr:rowOff>
    </xdr:from>
    <xdr:to>
      <xdr:col>15</xdr:col>
      <xdr:colOff>142875</xdr:colOff>
      <xdr:row>24</xdr:row>
      <xdr:rowOff>123825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10391775" y="5000625"/>
          <a:ext cx="1457325" cy="285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19050</xdr:rowOff>
    </xdr:to>
    <xdr:pic>
      <xdr:nvPicPr>
        <xdr:cNvPr id="2049" name="FILTER" hidden="1">
          <a:extLst>
            <a:ext uri="{FF2B5EF4-FFF2-40B4-BE49-F238E27FC236}">
              <a16:creationId xmlns:a16="http://schemas.microsoft.com/office/drawing/2014/main" id="{00000000-0008-0000-0900-000001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144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19050</xdr:rowOff>
    </xdr:to>
    <xdr:pic>
      <xdr:nvPicPr>
        <xdr:cNvPr id="2050" name="HEADER" hidden="1">
          <a:extLst>
            <a:ext uri="{FF2B5EF4-FFF2-40B4-BE49-F238E27FC236}">
              <a16:creationId xmlns:a16="http://schemas.microsoft.com/office/drawing/2014/main" id="{00000000-0008-0000-0900-000002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9144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314325</xdr:colOff>
      <xdr:row>1</xdr:row>
      <xdr:rowOff>28575</xdr:rowOff>
    </xdr:to>
    <xdr:pic>
      <xdr:nvPicPr>
        <xdr:cNvPr id="3073" name="FILTER" hidden="1">
          <a:extLst>
            <a:ext uri="{FF2B5EF4-FFF2-40B4-BE49-F238E27FC236}">
              <a16:creationId xmlns:a16="http://schemas.microsoft.com/office/drawing/2014/main" id="{00000000-0008-0000-0A00-000001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144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314325</xdr:colOff>
      <xdr:row>1</xdr:row>
      <xdr:rowOff>28575</xdr:rowOff>
    </xdr:to>
    <xdr:pic>
      <xdr:nvPicPr>
        <xdr:cNvPr id="3074" name="HEADER" hidden="1">
          <a:extLst>
            <a:ext uri="{FF2B5EF4-FFF2-40B4-BE49-F238E27FC236}">
              <a16:creationId xmlns:a16="http://schemas.microsoft.com/office/drawing/2014/main" id="{00000000-0008-0000-0A00-000002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9144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28575</xdr:rowOff>
    </xdr:to>
    <xdr:pic>
      <xdr:nvPicPr>
        <xdr:cNvPr id="4097" name="FILTER" hidden="1">
          <a:extLst>
            <a:ext uri="{FF2B5EF4-FFF2-40B4-BE49-F238E27FC236}">
              <a16:creationId xmlns:a16="http://schemas.microsoft.com/office/drawing/2014/main" id="{00000000-0008-0000-0B00-0000011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144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1</xdr:row>
      <xdr:rowOff>28575</xdr:rowOff>
    </xdr:to>
    <xdr:pic>
      <xdr:nvPicPr>
        <xdr:cNvPr id="4098" name="HEADER" hidden="1">
          <a:extLst>
            <a:ext uri="{FF2B5EF4-FFF2-40B4-BE49-F238E27FC236}">
              <a16:creationId xmlns:a16="http://schemas.microsoft.com/office/drawing/2014/main" id="{00000000-0008-0000-0B00-0000021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9144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P116"/>
  <sheetViews>
    <sheetView workbookViewId="0">
      <pane xSplit="6" ySplit="1" topLeftCell="G71" activePane="bottomRight" state="frozenSplit"/>
      <selection activeCell="B114" sqref="B114"/>
      <selection pane="topRight" activeCell="B114" sqref="B114"/>
      <selection pane="bottomLeft" activeCell="B114" sqref="B114"/>
      <selection pane="bottomRight" activeCell="L52" sqref="L52"/>
    </sheetView>
  </sheetViews>
  <sheetFormatPr defaultRowHeight="15.75" x14ac:dyDescent="0.25"/>
  <cols>
    <col min="1" max="5" width="3" style="11" customWidth="1"/>
    <col min="6" max="6" width="39.7109375" style="11" customWidth="1"/>
    <col min="7" max="7" width="16.85546875" style="4" customWidth="1"/>
    <col min="8" max="8" width="2.28515625" style="4" customWidth="1"/>
    <col min="9" max="9" width="16.85546875" style="4" customWidth="1"/>
    <col min="10" max="10" width="2.28515625" style="4" customWidth="1"/>
    <col min="11" max="11" width="16.85546875" style="4" customWidth="1"/>
    <col min="12" max="12" width="26.28515625" style="4" customWidth="1"/>
    <col min="13" max="13" width="9.140625" style="4"/>
    <col min="14" max="14" width="12.7109375" style="5" bestFit="1" customWidth="1"/>
    <col min="15" max="15" width="9.140625" style="5"/>
    <col min="16" max="16" width="11.5703125" style="5" bestFit="1" customWidth="1"/>
    <col min="17" max="16384" width="9.140625" style="5"/>
  </cols>
  <sheetData>
    <row r="1" spans="1:13" s="2" customFormat="1" ht="35.25" customHeight="1" x14ac:dyDescent="0.25">
      <c r="A1" s="9"/>
      <c r="B1" s="9"/>
      <c r="C1" s="9"/>
      <c r="D1" s="9"/>
      <c r="E1" s="9"/>
      <c r="F1" s="9"/>
      <c r="G1" s="97" t="s">
        <v>320</v>
      </c>
      <c r="H1" s="1"/>
      <c r="I1" s="12" t="s">
        <v>95</v>
      </c>
      <c r="J1" s="1"/>
      <c r="K1" s="97" t="s">
        <v>321</v>
      </c>
      <c r="L1" s="1" t="s">
        <v>234</v>
      </c>
      <c r="M1" s="1"/>
    </row>
    <row r="2" spans="1:13" x14ac:dyDescent="0.25">
      <c r="A2" s="10"/>
      <c r="B2" s="10"/>
      <c r="C2" s="10"/>
      <c r="D2" s="10"/>
      <c r="E2" s="10"/>
      <c r="F2" s="10"/>
      <c r="G2" s="3"/>
      <c r="I2" s="3"/>
      <c r="K2" s="3"/>
    </row>
    <row r="3" spans="1:13" x14ac:dyDescent="0.25">
      <c r="A3" s="10"/>
      <c r="B3" s="10" t="s">
        <v>71</v>
      </c>
      <c r="D3" s="10"/>
      <c r="E3" s="10"/>
      <c r="F3" s="10"/>
      <c r="G3" s="3"/>
      <c r="I3" s="3"/>
      <c r="K3" s="3"/>
    </row>
    <row r="4" spans="1:13" x14ac:dyDescent="0.25">
      <c r="A4" s="10"/>
      <c r="B4" s="10"/>
      <c r="C4" s="11" t="s">
        <v>72</v>
      </c>
      <c r="D4" s="10"/>
      <c r="E4" s="10"/>
      <c r="F4" s="10"/>
      <c r="G4" s="3"/>
      <c r="I4" s="3"/>
      <c r="K4" s="3"/>
    </row>
    <row r="5" spans="1:13" x14ac:dyDescent="0.25">
      <c r="A5" s="10"/>
      <c r="B5" s="10"/>
      <c r="D5" s="10" t="s">
        <v>0</v>
      </c>
      <c r="E5" s="10"/>
      <c r="F5" s="10"/>
      <c r="G5" s="3">
        <v>822021</v>
      </c>
      <c r="I5" s="3"/>
      <c r="K5" s="3">
        <f>SUM(G5:I5)</f>
        <v>822021</v>
      </c>
      <c r="L5" s="95"/>
    </row>
    <row r="6" spans="1:13" x14ac:dyDescent="0.25">
      <c r="A6" s="10"/>
      <c r="B6" s="10"/>
      <c r="D6" s="10" t="s">
        <v>1</v>
      </c>
      <c r="E6" s="10"/>
      <c r="F6" s="10"/>
      <c r="G6" s="3"/>
      <c r="I6" s="3"/>
      <c r="K6" s="3">
        <f>SUM(G6:I6)</f>
        <v>0</v>
      </c>
    </row>
    <row r="7" spans="1:13" x14ac:dyDescent="0.25">
      <c r="A7" s="10"/>
      <c r="B7" s="10"/>
      <c r="D7" s="10" t="s">
        <v>2</v>
      </c>
      <c r="E7" s="10"/>
      <c r="F7" s="10"/>
      <c r="G7" s="6">
        <v>0</v>
      </c>
      <c r="I7" s="6"/>
      <c r="K7" s="6">
        <f>SUM(G7:I7)</f>
        <v>0</v>
      </c>
    </row>
    <row r="8" spans="1:13" x14ac:dyDescent="0.25">
      <c r="A8" s="10"/>
      <c r="B8" s="10"/>
      <c r="C8" s="11" t="s">
        <v>73</v>
      </c>
      <c r="D8" s="10"/>
      <c r="E8" s="10"/>
      <c r="F8" s="10"/>
      <c r="G8" s="3">
        <v>822021</v>
      </c>
      <c r="I8" s="3">
        <f>SUM(I5:I7)</f>
        <v>0</v>
      </c>
      <c r="K8" s="3">
        <f>SUM(K5:K7)</f>
        <v>822021</v>
      </c>
    </row>
    <row r="9" spans="1:13" x14ac:dyDescent="0.25">
      <c r="A9" s="10"/>
      <c r="B9" s="10"/>
      <c r="D9" s="10"/>
      <c r="E9" s="10"/>
      <c r="F9" s="10"/>
      <c r="G9" s="3"/>
      <c r="I9" s="3"/>
      <c r="K9" s="3"/>
    </row>
    <row r="10" spans="1:13" x14ac:dyDescent="0.25">
      <c r="A10" s="10"/>
      <c r="B10" s="10"/>
      <c r="C10" s="11" t="s">
        <v>74</v>
      </c>
      <c r="D10" s="10"/>
      <c r="E10" s="10"/>
      <c r="F10" s="10"/>
      <c r="G10" s="3"/>
      <c r="I10" s="3"/>
      <c r="K10" s="3"/>
    </row>
    <row r="11" spans="1:13" x14ac:dyDescent="0.25">
      <c r="A11" s="10"/>
      <c r="B11" s="10"/>
      <c r="D11" s="10" t="s">
        <v>3</v>
      </c>
      <c r="E11" s="10"/>
      <c r="F11" s="10"/>
      <c r="G11" s="3"/>
      <c r="I11" s="3"/>
      <c r="K11" s="3">
        <f>SUM(G11:I11)</f>
        <v>0</v>
      </c>
      <c r="L11" s="4" t="s">
        <v>319</v>
      </c>
    </row>
    <row r="12" spans="1:13" x14ac:dyDescent="0.25">
      <c r="A12" s="10"/>
      <c r="B12" s="10"/>
      <c r="D12" s="10" t="s">
        <v>94</v>
      </c>
      <c r="E12" s="10"/>
      <c r="F12" s="10"/>
      <c r="G12" s="6"/>
      <c r="I12" s="6"/>
      <c r="K12" s="6">
        <f>SUM(G12:I12)</f>
        <v>0</v>
      </c>
    </row>
    <row r="13" spans="1:13" x14ac:dyDescent="0.25">
      <c r="A13" s="10"/>
      <c r="B13" s="10"/>
      <c r="C13" s="11" t="s">
        <v>75</v>
      </c>
      <c r="D13" s="10"/>
      <c r="E13" s="10"/>
      <c r="F13" s="10"/>
      <c r="G13" s="3">
        <v>0</v>
      </c>
      <c r="I13" s="3">
        <f>SUM(I11:I12)</f>
        <v>0</v>
      </c>
      <c r="K13" s="3">
        <f>SUM(K11:K12)</f>
        <v>0</v>
      </c>
    </row>
    <row r="14" spans="1:13" x14ac:dyDescent="0.25">
      <c r="A14" s="10"/>
      <c r="B14" s="10"/>
      <c r="D14" s="10"/>
      <c r="E14" s="10"/>
      <c r="F14" s="10"/>
      <c r="G14" s="3"/>
      <c r="I14" s="3"/>
      <c r="K14" s="3"/>
    </row>
    <row r="15" spans="1:13" x14ac:dyDescent="0.25">
      <c r="A15" s="10"/>
      <c r="B15" s="10"/>
      <c r="C15" s="11" t="s">
        <v>76</v>
      </c>
      <c r="D15" s="10"/>
      <c r="E15" s="10"/>
      <c r="F15" s="10"/>
      <c r="G15" s="3"/>
      <c r="I15" s="3"/>
      <c r="K15" s="3"/>
    </row>
    <row r="16" spans="1:13" x14ac:dyDescent="0.25">
      <c r="A16" s="10"/>
      <c r="B16" s="10"/>
      <c r="D16" s="10" t="s">
        <v>4</v>
      </c>
      <c r="E16" s="10"/>
      <c r="F16" s="10"/>
      <c r="G16" s="3">
        <v>750</v>
      </c>
      <c r="I16" s="3"/>
      <c r="K16" s="3">
        <f>SUM(G16:I16)</f>
        <v>750</v>
      </c>
    </row>
    <row r="17" spans="1:12" x14ac:dyDescent="0.25">
      <c r="A17" s="10"/>
      <c r="B17" s="10"/>
      <c r="D17" s="10" t="s">
        <v>5</v>
      </c>
      <c r="E17" s="10"/>
      <c r="F17" s="10"/>
      <c r="G17" s="3">
        <v>44500</v>
      </c>
      <c r="I17" s="3"/>
      <c r="K17" s="3">
        <f>SUM(G17:I17)</f>
        <v>44500</v>
      </c>
    </row>
    <row r="18" spans="1:12" x14ac:dyDescent="0.25">
      <c r="A18" s="10"/>
      <c r="B18" s="10"/>
      <c r="D18" s="10" t="s">
        <v>6</v>
      </c>
      <c r="E18" s="10"/>
      <c r="F18" s="10"/>
      <c r="G18" s="3">
        <v>675</v>
      </c>
      <c r="I18" s="3"/>
      <c r="K18" s="3">
        <f>SUM(G18:I18)</f>
        <v>675</v>
      </c>
    </row>
    <row r="19" spans="1:12" x14ac:dyDescent="0.25">
      <c r="A19" s="10"/>
      <c r="B19" s="10"/>
      <c r="D19" s="10" t="s">
        <v>7</v>
      </c>
      <c r="E19" s="10"/>
      <c r="F19" s="10"/>
      <c r="G19" s="3">
        <v>100</v>
      </c>
      <c r="I19" s="3"/>
      <c r="K19" s="3">
        <f>SUM(G19:I19)</f>
        <v>100</v>
      </c>
    </row>
    <row r="20" spans="1:12" x14ac:dyDescent="0.25">
      <c r="A20" s="10"/>
      <c r="B20" s="10"/>
      <c r="D20" s="10" t="s">
        <v>8</v>
      </c>
      <c r="E20" s="10"/>
      <c r="F20" s="10"/>
      <c r="G20" s="6">
        <v>850</v>
      </c>
      <c r="I20" s="6"/>
      <c r="K20" s="6">
        <f>SUM(G20:I20)</f>
        <v>850</v>
      </c>
    </row>
    <row r="21" spans="1:12" x14ac:dyDescent="0.25">
      <c r="A21" s="10"/>
      <c r="B21" s="10"/>
      <c r="C21" s="11" t="s">
        <v>77</v>
      </c>
      <c r="D21" s="10"/>
      <c r="E21" s="10"/>
      <c r="F21" s="10"/>
      <c r="G21" s="3">
        <v>46875</v>
      </c>
      <c r="I21" s="3">
        <f>SUM(I16:I20)</f>
        <v>0</v>
      </c>
      <c r="K21" s="3">
        <f>SUM(K16:K20)</f>
        <v>46875</v>
      </c>
    </row>
    <row r="22" spans="1:12" x14ac:dyDescent="0.25">
      <c r="A22" s="10"/>
      <c r="B22" s="10"/>
      <c r="D22" s="10"/>
      <c r="E22" s="10"/>
      <c r="F22" s="10"/>
      <c r="G22" s="3"/>
      <c r="I22" s="3"/>
      <c r="K22" s="3"/>
    </row>
    <row r="23" spans="1:12" x14ac:dyDescent="0.25">
      <c r="A23" s="10"/>
      <c r="B23" s="10"/>
      <c r="C23" s="11" t="s">
        <v>78</v>
      </c>
      <c r="D23" s="10"/>
      <c r="E23" s="10"/>
      <c r="F23" s="10"/>
      <c r="G23" s="3"/>
      <c r="I23" s="3"/>
      <c r="K23" s="3"/>
    </row>
    <row r="24" spans="1:12" x14ac:dyDescent="0.25">
      <c r="A24" s="10"/>
      <c r="B24" s="10"/>
      <c r="D24" s="83" t="s">
        <v>285</v>
      </c>
      <c r="E24" s="10"/>
      <c r="F24" s="10"/>
      <c r="G24" s="3">
        <v>2000</v>
      </c>
      <c r="I24" s="3"/>
      <c r="K24" s="3">
        <f>SUM(G24:I24)</f>
        <v>2000</v>
      </c>
    </row>
    <row r="25" spans="1:12" x14ac:dyDescent="0.25">
      <c r="A25" s="10"/>
      <c r="B25" s="10"/>
      <c r="D25" s="10" t="s">
        <v>9</v>
      </c>
      <c r="E25" s="10"/>
      <c r="F25" s="10"/>
      <c r="G25" s="3"/>
      <c r="I25" s="3"/>
      <c r="K25" s="3">
        <f>SUM(G25:I25)</f>
        <v>0</v>
      </c>
    </row>
    <row r="26" spans="1:12" x14ac:dyDescent="0.25">
      <c r="A26" s="10"/>
      <c r="B26" s="10"/>
      <c r="D26" s="10" t="s">
        <v>10</v>
      </c>
      <c r="E26" s="10"/>
      <c r="F26" s="10"/>
      <c r="G26" s="3">
        <v>1300</v>
      </c>
      <c r="I26" s="3"/>
      <c r="K26" s="3">
        <f>SUM(G26:I26)</f>
        <v>1300</v>
      </c>
    </row>
    <row r="27" spans="1:12" x14ac:dyDescent="0.25">
      <c r="A27" s="10"/>
      <c r="B27" s="10"/>
      <c r="D27" s="10" t="s">
        <v>11</v>
      </c>
      <c r="E27" s="10"/>
      <c r="F27" s="10"/>
      <c r="G27" s="3">
        <v>100</v>
      </c>
      <c r="I27" s="3"/>
      <c r="K27" s="3">
        <f>SUM(G27:I27)</f>
        <v>100</v>
      </c>
    </row>
    <row r="28" spans="1:12" x14ac:dyDescent="0.25">
      <c r="A28" s="10"/>
      <c r="B28" s="10"/>
      <c r="D28" s="10" t="s">
        <v>12</v>
      </c>
      <c r="E28" s="10"/>
      <c r="F28" s="10"/>
      <c r="G28" s="6">
        <v>200</v>
      </c>
      <c r="I28" s="6"/>
      <c r="K28" s="6">
        <f>SUM(G28:I28)</f>
        <v>200</v>
      </c>
      <c r="L28" s="95"/>
    </row>
    <row r="29" spans="1:12" x14ac:dyDescent="0.25">
      <c r="A29" s="10"/>
      <c r="B29" s="10"/>
      <c r="C29" s="11" t="s">
        <v>79</v>
      </c>
      <c r="D29" s="10"/>
      <c r="E29" s="10"/>
      <c r="F29" s="10"/>
      <c r="G29" s="3">
        <v>3600</v>
      </c>
      <c r="I29" s="3">
        <f>SUM(I24:I28)</f>
        <v>0</v>
      </c>
      <c r="K29" s="3">
        <f>SUM(K24:K28)</f>
        <v>3600</v>
      </c>
    </row>
    <row r="30" spans="1:12" x14ac:dyDescent="0.25">
      <c r="A30" s="10"/>
      <c r="B30" s="10"/>
      <c r="D30" s="10"/>
      <c r="E30" s="10"/>
      <c r="F30" s="10"/>
      <c r="G30" s="3"/>
      <c r="I30" s="3"/>
      <c r="K30" s="3"/>
    </row>
    <row r="31" spans="1:12" x14ac:dyDescent="0.25">
      <c r="A31" s="10"/>
      <c r="B31" s="10" t="s">
        <v>80</v>
      </c>
      <c r="D31" s="10"/>
      <c r="E31" s="10"/>
      <c r="F31" s="10"/>
      <c r="G31" s="3">
        <v>872496</v>
      </c>
      <c r="I31" s="3">
        <f>+I8+I13+I21+I29</f>
        <v>0</v>
      </c>
      <c r="K31" s="3">
        <f>+K8+K13+K21+K29</f>
        <v>872496</v>
      </c>
    </row>
    <row r="32" spans="1:12" ht="30" customHeight="1" x14ac:dyDescent="0.25">
      <c r="A32" s="10"/>
      <c r="B32" s="10" t="s">
        <v>81</v>
      </c>
      <c r="D32" s="10"/>
      <c r="E32" s="10"/>
      <c r="F32" s="10"/>
      <c r="G32" s="3"/>
      <c r="I32" s="3"/>
      <c r="K32" s="3"/>
    </row>
    <row r="33" spans="1:16" x14ac:dyDescent="0.25">
      <c r="A33" s="10"/>
      <c r="B33" s="10"/>
      <c r="D33" s="10" t="s">
        <v>13</v>
      </c>
      <c r="E33" s="10"/>
      <c r="F33" s="10"/>
      <c r="G33" s="3"/>
      <c r="I33" s="3"/>
      <c r="K33" s="3"/>
    </row>
    <row r="34" spans="1:16" x14ac:dyDescent="0.25">
      <c r="A34" s="10"/>
      <c r="B34" s="10"/>
      <c r="D34" s="10"/>
      <c r="E34" s="10" t="s">
        <v>14</v>
      </c>
      <c r="F34" s="10"/>
      <c r="G34" s="3">
        <v>1575</v>
      </c>
      <c r="I34" s="3"/>
      <c r="K34" s="3">
        <f t="shared" ref="K34:K49" si="0">SUM(G34:I34)</f>
        <v>1575</v>
      </c>
    </row>
    <row r="35" spans="1:16" x14ac:dyDescent="0.25">
      <c r="A35" s="10"/>
      <c r="B35" s="10"/>
      <c r="D35" s="10"/>
      <c r="E35" s="10" t="s">
        <v>15</v>
      </c>
      <c r="F35" s="10"/>
      <c r="G35" s="3">
        <v>328504.92</v>
      </c>
      <c r="I35" s="3"/>
      <c r="K35" s="3">
        <f t="shared" si="0"/>
        <v>328504.92</v>
      </c>
      <c r="N35" s="15"/>
      <c r="P35" s="4"/>
    </row>
    <row r="36" spans="1:16" x14ac:dyDescent="0.25">
      <c r="A36" s="10"/>
      <c r="B36" s="10"/>
      <c r="D36" s="10"/>
      <c r="E36" s="10" t="s">
        <v>16</v>
      </c>
      <c r="F36" s="10"/>
      <c r="G36" s="3">
        <v>28101.599999999999</v>
      </c>
      <c r="I36" s="3"/>
      <c r="K36" s="3">
        <f t="shared" si="0"/>
        <v>28101.599999999999</v>
      </c>
      <c r="N36" s="15"/>
      <c r="P36" s="4"/>
    </row>
    <row r="37" spans="1:16" x14ac:dyDescent="0.25">
      <c r="A37" s="10"/>
      <c r="B37" s="10"/>
      <c r="D37" s="10"/>
      <c r="E37" s="10" t="s">
        <v>17</v>
      </c>
      <c r="F37" s="10"/>
      <c r="G37" s="3">
        <v>7405.15</v>
      </c>
      <c r="I37" s="3"/>
      <c r="K37" s="3">
        <f t="shared" si="0"/>
        <v>7405.15</v>
      </c>
      <c r="N37" s="15"/>
      <c r="P37" s="4"/>
    </row>
    <row r="38" spans="1:16" x14ac:dyDescent="0.25">
      <c r="A38" s="10"/>
      <c r="B38" s="10"/>
      <c r="D38" s="10"/>
      <c r="E38" s="10" t="s">
        <v>18</v>
      </c>
      <c r="F38" s="10"/>
      <c r="G38" s="3">
        <v>14164.73</v>
      </c>
      <c r="I38" s="3"/>
      <c r="K38" s="3">
        <f t="shared" si="0"/>
        <v>14164.73</v>
      </c>
      <c r="N38" s="15"/>
      <c r="P38" s="4"/>
    </row>
    <row r="39" spans="1:16" x14ac:dyDescent="0.25">
      <c r="A39" s="10"/>
      <c r="B39" s="10"/>
      <c r="D39" s="10"/>
      <c r="E39" s="10" t="s">
        <v>19</v>
      </c>
      <c r="F39" s="10"/>
      <c r="G39" s="3">
        <v>0</v>
      </c>
      <c r="I39" s="3"/>
      <c r="K39" s="3">
        <f t="shared" si="0"/>
        <v>0</v>
      </c>
      <c r="N39" s="4"/>
    </row>
    <row r="40" spans="1:16" x14ac:dyDescent="0.25">
      <c r="A40" s="10"/>
      <c r="B40" s="10"/>
      <c r="D40" s="10"/>
      <c r="E40" s="10" t="s">
        <v>20</v>
      </c>
      <c r="F40" s="10"/>
      <c r="G40" s="3">
        <v>23544.58</v>
      </c>
      <c r="I40" s="3"/>
      <c r="K40" s="3">
        <f t="shared" si="0"/>
        <v>23544.58</v>
      </c>
      <c r="N40" s="4"/>
    </row>
    <row r="41" spans="1:16" x14ac:dyDescent="0.25">
      <c r="A41" s="10"/>
      <c r="B41" s="10"/>
      <c r="D41" s="10"/>
      <c r="E41" s="10" t="s">
        <v>21</v>
      </c>
      <c r="F41" s="10"/>
      <c r="G41" s="3">
        <v>5506.4099999999989</v>
      </c>
      <c r="I41" s="3"/>
      <c r="K41" s="3">
        <f t="shared" si="0"/>
        <v>5506.4099999999989</v>
      </c>
    </row>
    <row r="42" spans="1:16" x14ac:dyDescent="0.25">
      <c r="A42" s="10"/>
      <c r="B42" s="10"/>
      <c r="D42" s="10"/>
      <c r="E42" s="10" t="s">
        <v>22</v>
      </c>
      <c r="F42" s="10"/>
      <c r="G42" s="3">
        <v>18000</v>
      </c>
      <c r="I42" s="3"/>
      <c r="K42" s="3">
        <f t="shared" si="0"/>
        <v>18000</v>
      </c>
    </row>
    <row r="43" spans="1:16" x14ac:dyDescent="0.25">
      <c r="A43" s="10"/>
      <c r="B43" s="10"/>
      <c r="D43" s="10"/>
      <c r="E43" s="10" t="s">
        <v>23</v>
      </c>
      <c r="F43" s="10"/>
      <c r="G43" s="3"/>
      <c r="I43" s="3"/>
      <c r="K43" s="3"/>
    </row>
    <row r="44" spans="1:16" x14ac:dyDescent="0.25">
      <c r="A44" s="10"/>
      <c r="B44" s="10"/>
      <c r="D44" s="10"/>
      <c r="E44" s="10"/>
      <c r="F44" s="10" t="s">
        <v>24</v>
      </c>
      <c r="G44" s="3"/>
      <c r="I44" s="3"/>
      <c r="K44" s="3">
        <f t="shared" si="0"/>
        <v>0</v>
      </c>
    </row>
    <row r="45" spans="1:16" x14ac:dyDescent="0.25">
      <c r="A45" s="10"/>
      <c r="B45" s="10"/>
      <c r="D45" s="10"/>
      <c r="E45" s="10"/>
      <c r="F45" s="10" t="s">
        <v>25</v>
      </c>
      <c r="G45" s="6">
        <v>95474.4</v>
      </c>
      <c r="I45" s="6"/>
      <c r="K45" s="6">
        <f t="shared" si="0"/>
        <v>95474.4</v>
      </c>
    </row>
    <row r="46" spans="1:16" x14ac:dyDescent="0.25">
      <c r="A46" s="10"/>
      <c r="B46" s="10"/>
      <c r="D46" s="10"/>
      <c r="E46" s="10" t="s">
        <v>26</v>
      </c>
      <c r="F46" s="10"/>
      <c r="G46" s="3">
        <v>95474.4</v>
      </c>
      <c r="I46" s="3">
        <f>ROUND(SUM('Budget Amendment 2019'!I43:'Budget Amendment 2019'!I45),5)</f>
        <v>0</v>
      </c>
      <c r="K46" s="3">
        <f>ROUND(SUM('Budget Amendment 2019'!K43:'Budget Amendment 2019'!K45),5)</f>
        <v>95474.4</v>
      </c>
    </row>
    <row r="47" spans="1:16" ht="30" customHeight="1" x14ac:dyDescent="0.25">
      <c r="A47" s="10"/>
      <c r="B47" s="10"/>
      <c r="D47" s="10"/>
      <c r="E47" s="10" t="s">
        <v>27</v>
      </c>
      <c r="F47" s="10"/>
      <c r="G47" s="3">
        <v>3873.48</v>
      </c>
      <c r="I47" s="3"/>
      <c r="K47" s="3">
        <f t="shared" si="0"/>
        <v>3873.48</v>
      </c>
    </row>
    <row r="48" spans="1:16" x14ac:dyDescent="0.25">
      <c r="A48" s="10"/>
      <c r="B48" s="10"/>
      <c r="D48" s="10"/>
      <c r="E48" s="10" t="s">
        <v>28</v>
      </c>
      <c r="F48" s="10"/>
      <c r="G48" s="3">
        <v>22218</v>
      </c>
      <c r="I48" s="3"/>
      <c r="K48" s="3">
        <f t="shared" si="0"/>
        <v>22218</v>
      </c>
    </row>
    <row r="49" spans="1:11" x14ac:dyDescent="0.25">
      <c r="A49" s="10"/>
      <c r="B49" s="10"/>
      <c r="D49" s="10"/>
      <c r="E49" s="10" t="s">
        <v>29</v>
      </c>
      <c r="F49" s="10"/>
      <c r="G49" s="6">
        <v>0</v>
      </c>
      <c r="I49" s="6"/>
      <c r="K49" s="6">
        <f t="shared" si="0"/>
        <v>0</v>
      </c>
    </row>
    <row r="50" spans="1:11" x14ac:dyDescent="0.25">
      <c r="A50" s="10"/>
      <c r="B50" s="10"/>
      <c r="D50" s="10" t="s">
        <v>30</v>
      </c>
      <c r="E50" s="10"/>
      <c r="F50" s="10"/>
      <c r="G50" s="3">
        <v>548368.2699999999</v>
      </c>
      <c r="I50" s="3">
        <f>+I49+I48+I47+I46+SUM(I34:I42)</f>
        <v>0</v>
      </c>
      <c r="K50" s="3">
        <f>+K49+K48+K47+K46+SUM(K34:K42)</f>
        <v>548368.2699999999</v>
      </c>
    </row>
    <row r="51" spans="1:11" ht="30" customHeight="1" x14ac:dyDescent="0.25">
      <c r="A51" s="10"/>
      <c r="B51" s="10"/>
      <c r="D51" s="10" t="s">
        <v>31</v>
      </c>
      <c r="E51" s="10"/>
      <c r="F51" s="10"/>
      <c r="G51" s="3"/>
      <c r="I51" s="3"/>
      <c r="K51" s="3"/>
    </row>
    <row r="52" spans="1:11" x14ac:dyDescent="0.25">
      <c r="A52" s="10"/>
      <c r="B52" s="10"/>
      <c r="D52" s="10"/>
      <c r="E52" s="10" t="s">
        <v>32</v>
      </c>
      <c r="F52" s="10"/>
      <c r="G52" s="3">
        <v>5000</v>
      </c>
      <c r="I52" s="3"/>
      <c r="K52" s="3">
        <f t="shared" ref="K52:K80" si="1">SUM(G52:I52)</f>
        <v>5000</v>
      </c>
    </row>
    <row r="53" spans="1:11" x14ac:dyDescent="0.25">
      <c r="A53" s="10"/>
      <c r="B53" s="10"/>
      <c r="D53" s="10"/>
      <c r="E53" s="10" t="s">
        <v>33</v>
      </c>
      <c r="F53" s="10"/>
      <c r="G53" s="3">
        <v>30000</v>
      </c>
      <c r="I53" s="3"/>
      <c r="K53" s="3">
        <f t="shared" si="1"/>
        <v>30000</v>
      </c>
    </row>
    <row r="54" spans="1:11" x14ac:dyDescent="0.25">
      <c r="A54" s="10"/>
      <c r="B54" s="10"/>
      <c r="D54" s="10"/>
      <c r="E54" s="10" t="s">
        <v>34</v>
      </c>
      <c r="F54" s="10"/>
      <c r="G54" s="3">
        <v>0</v>
      </c>
      <c r="I54" s="3"/>
      <c r="K54" s="3">
        <f t="shared" si="1"/>
        <v>0</v>
      </c>
    </row>
    <row r="55" spans="1:11" x14ac:dyDescent="0.25">
      <c r="A55" s="10"/>
      <c r="B55" s="10"/>
      <c r="D55" s="10"/>
      <c r="E55" s="10" t="s">
        <v>147</v>
      </c>
      <c r="F55" s="10"/>
      <c r="G55" s="3">
        <v>0</v>
      </c>
      <c r="I55" s="3"/>
      <c r="K55" s="3">
        <f t="shared" si="1"/>
        <v>0</v>
      </c>
    </row>
    <row r="56" spans="1:11" x14ac:dyDescent="0.25">
      <c r="A56" s="10"/>
      <c r="B56" s="10"/>
      <c r="D56" s="10"/>
      <c r="E56" s="10" t="s">
        <v>35</v>
      </c>
      <c r="F56" s="10"/>
      <c r="G56" s="3">
        <v>28000</v>
      </c>
      <c r="I56" s="3"/>
      <c r="K56" s="3">
        <f t="shared" si="1"/>
        <v>28000</v>
      </c>
    </row>
    <row r="57" spans="1:11" x14ac:dyDescent="0.25">
      <c r="A57" s="10"/>
      <c r="B57" s="10"/>
      <c r="D57" s="10"/>
      <c r="E57" s="10" t="s">
        <v>36</v>
      </c>
      <c r="F57" s="10"/>
      <c r="G57" s="3">
        <v>700</v>
      </c>
      <c r="I57" s="3"/>
      <c r="K57" s="3">
        <f t="shared" si="1"/>
        <v>700</v>
      </c>
    </row>
    <row r="58" spans="1:11" x14ac:dyDescent="0.25">
      <c r="A58" s="10"/>
      <c r="B58" s="10"/>
      <c r="D58" s="10"/>
      <c r="E58" s="10" t="s">
        <v>37</v>
      </c>
      <c r="F58" s="10"/>
      <c r="G58" s="3">
        <v>17000</v>
      </c>
      <c r="I58" s="3"/>
      <c r="K58" s="3">
        <f t="shared" si="1"/>
        <v>17000</v>
      </c>
    </row>
    <row r="59" spans="1:11" x14ac:dyDescent="0.25">
      <c r="A59" s="10"/>
      <c r="B59" s="10"/>
      <c r="D59" s="10"/>
      <c r="E59" s="10" t="s">
        <v>38</v>
      </c>
      <c r="F59" s="10"/>
      <c r="G59" s="3">
        <v>10000</v>
      </c>
      <c r="I59" s="3"/>
      <c r="K59" s="3">
        <f t="shared" si="1"/>
        <v>10000</v>
      </c>
    </row>
    <row r="60" spans="1:11" x14ac:dyDescent="0.25">
      <c r="A60" s="10"/>
      <c r="B60" s="10"/>
      <c r="D60" s="10"/>
      <c r="E60" s="10" t="s">
        <v>39</v>
      </c>
      <c r="F60" s="10"/>
      <c r="G60" s="3">
        <v>1200</v>
      </c>
      <c r="I60" s="3"/>
      <c r="K60" s="3">
        <f t="shared" si="1"/>
        <v>1200</v>
      </c>
    </row>
    <row r="61" spans="1:11" x14ac:dyDescent="0.25">
      <c r="A61" s="10"/>
      <c r="B61" s="10"/>
      <c r="D61" s="10"/>
      <c r="E61" s="10" t="s">
        <v>40</v>
      </c>
      <c r="F61" s="10"/>
      <c r="G61" s="3">
        <v>200</v>
      </c>
      <c r="I61" s="3"/>
      <c r="K61" s="3">
        <f t="shared" si="1"/>
        <v>200</v>
      </c>
    </row>
    <row r="62" spans="1:11" x14ac:dyDescent="0.25">
      <c r="A62" s="10"/>
      <c r="B62" s="10"/>
      <c r="D62" s="10"/>
      <c r="E62" s="10" t="s">
        <v>41</v>
      </c>
      <c r="F62" s="10"/>
      <c r="G62" s="3">
        <v>4000</v>
      </c>
      <c r="I62" s="3"/>
      <c r="K62" s="3">
        <f t="shared" si="1"/>
        <v>4000</v>
      </c>
    </row>
    <row r="63" spans="1:11" x14ac:dyDescent="0.25">
      <c r="A63" s="10"/>
      <c r="B63" s="10"/>
      <c r="D63" s="10"/>
      <c r="E63" s="10" t="s">
        <v>42</v>
      </c>
      <c r="F63" s="10"/>
      <c r="G63" s="3">
        <v>250</v>
      </c>
      <c r="I63" s="3"/>
      <c r="K63" s="3">
        <f t="shared" si="1"/>
        <v>250</v>
      </c>
    </row>
    <row r="64" spans="1:11" x14ac:dyDescent="0.25">
      <c r="A64" s="10"/>
      <c r="B64" s="10"/>
      <c r="D64" s="10"/>
      <c r="E64" s="10" t="s">
        <v>43</v>
      </c>
      <c r="F64" s="10"/>
      <c r="G64" s="3">
        <v>50000</v>
      </c>
      <c r="I64" s="3"/>
      <c r="K64" s="3">
        <f t="shared" si="1"/>
        <v>50000</v>
      </c>
    </row>
    <row r="65" spans="1:11" x14ac:dyDescent="0.25">
      <c r="A65" s="10"/>
      <c r="B65" s="10"/>
      <c r="D65" s="10"/>
      <c r="E65" s="10" t="s">
        <v>44</v>
      </c>
      <c r="F65" s="10"/>
      <c r="G65" s="3">
        <v>5000</v>
      </c>
      <c r="I65" s="3"/>
      <c r="K65" s="3">
        <f t="shared" si="1"/>
        <v>5000</v>
      </c>
    </row>
    <row r="66" spans="1:11" x14ac:dyDescent="0.25">
      <c r="A66" s="10"/>
      <c r="B66" s="10"/>
      <c r="D66" s="10"/>
      <c r="E66" s="10" t="s">
        <v>45</v>
      </c>
      <c r="F66" s="10"/>
      <c r="G66" s="3">
        <v>35000</v>
      </c>
      <c r="I66" s="3"/>
      <c r="K66" s="3">
        <f t="shared" si="1"/>
        <v>35000</v>
      </c>
    </row>
    <row r="67" spans="1:11" x14ac:dyDescent="0.25">
      <c r="A67" s="10"/>
      <c r="B67" s="10"/>
      <c r="D67" s="10"/>
      <c r="E67" s="10" t="s">
        <v>46</v>
      </c>
      <c r="F67" s="10"/>
      <c r="G67" s="3">
        <v>15800</v>
      </c>
      <c r="I67" s="3"/>
      <c r="K67" s="3">
        <f t="shared" si="1"/>
        <v>15800</v>
      </c>
    </row>
    <row r="68" spans="1:11" x14ac:dyDescent="0.25">
      <c r="A68" s="10"/>
      <c r="B68" s="10"/>
      <c r="D68" s="10"/>
      <c r="E68" s="10" t="s">
        <v>47</v>
      </c>
      <c r="F68" s="10"/>
      <c r="G68" s="3">
        <v>0</v>
      </c>
      <c r="I68" s="3"/>
      <c r="K68" s="3">
        <f t="shared" si="1"/>
        <v>0</v>
      </c>
    </row>
    <row r="69" spans="1:11" x14ac:dyDescent="0.25">
      <c r="A69" s="10"/>
      <c r="B69" s="10"/>
      <c r="D69" s="10"/>
      <c r="E69" s="10" t="s">
        <v>48</v>
      </c>
      <c r="F69" s="10"/>
      <c r="G69" s="3"/>
      <c r="I69" s="3"/>
      <c r="K69" s="3"/>
    </row>
    <row r="70" spans="1:11" x14ac:dyDescent="0.25">
      <c r="A70" s="10"/>
      <c r="B70" s="10"/>
      <c r="D70" s="10"/>
      <c r="E70" s="10"/>
      <c r="F70" s="10" t="s">
        <v>49</v>
      </c>
      <c r="G70" s="3">
        <v>0</v>
      </c>
      <c r="I70" s="3"/>
      <c r="K70" s="3">
        <f t="shared" si="1"/>
        <v>0</v>
      </c>
    </row>
    <row r="71" spans="1:11" x14ac:dyDescent="0.25">
      <c r="A71" s="10"/>
      <c r="B71" s="10"/>
      <c r="D71" s="10"/>
      <c r="E71" s="10"/>
      <c r="F71" s="10" t="s">
        <v>50</v>
      </c>
      <c r="G71" s="6">
        <v>62000</v>
      </c>
      <c r="I71" s="6"/>
      <c r="K71" s="6">
        <f t="shared" si="1"/>
        <v>62000</v>
      </c>
    </row>
    <row r="72" spans="1:11" x14ac:dyDescent="0.25">
      <c r="A72" s="10"/>
      <c r="B72" s="10"/>
      <c r="D72" s="10"/>
      <c r="E72" s="10" t="s">
        <v>51</v>
      </c>
      <c r="F72" s="10"/>
      <c r="G72" s="3">
        <v>62000</v>
      </c>
      <c r="I72" s="3">
        <f>ROUND(SUM('Budget Amendment 2019'!I69:'Budget Amendment 2019'!I71),5)</f>
        <v>0</v>
      </c>
      <c r="K72" s="3">
        <f>ROUND(SUM('Budget Amendment 2019'!K69:'Budget Amendment 2019'!K71),5)</f>
        <v>62000</v>
      </c>
    </row>
    <row r="73" spans="1:11" ht="30" customHeight="1" x14ac:dyDescent="0.25">
      <c r="A73" s="10"/>
      <c r="B73" s="10"/>
      <c r="D73" s="10"/>
      <c r="E73" s="10" t="s">
        <v>52</v>
      </c>
      <c r="F73" s="10"/>
      <c r="G73" s="3">
        <v>2000</v>
      </c>
      <c r="I73" s="3"/>
      <c r="K73" s="3">
        <f t="shared" si="1"/>
        <v>2000</v>
      </c>
    </row>
    <row r="74" spans="1:11" x14ac:dyDescent="0.25">
      <c r="A74" s="10"/>
      <c r="B74" s="10"/>
      <c r="D74" s="10"/>
      <c r="E74" s="10" t="s">
        <v>53</v>
      </c>
      <c r="F74" s="10"/>
      <c r="G74" s="3">
        <v>2000</v>
      </c>
      <c r="I74" s="3"/>
      <c r="K74" s="3">
        <f t="shared" si="1"/>
        <v>2000</v>
      </c>
    </row>
    <row r="75" spans="1:11" x14ac:dyDescent="0.25">
      <c r="A75" s="10"/>
      <c r="B75" s="10"/>
      <c r="D75" s="10"/>
      <c r="E75" s="10" t="s">
        <v>54</v>
      </c>
      <c r="F75" s="10"/>
      <c r="G75" s="3">
        <v>4500</v>
      </c>
      <c r="I75" s="3"/>
      <c r="K75" s="3">
        <f t="shared" si="1"/>
        <v>4500</v>
      </c>
    </row>
    <row r="76" spans="1:11" x14ac:dyDescent="0.25">
      <c r="A76" s="10"/>
      <c r="B76" s="10"/>
      <c r="D76" s="10"/>
      <c r="E76" s="83" t="s">
        <v>236</v>
      </c>
      <c r="F76" s="10"/>
      <c r="G76" s="3">
        <v>4800</v>
      </c>
      <c r="I76" s="3"/>
      <c r="K76" s="3">
        <f t="shared" si="1"/>
        <v>4800</v>
      </c>
    </row>
    <row r="77" spans="1:11" x14ac:dyDescent="0.25">
      <c r="A77" s="10"/>
      <c r="B77" s="10"/>
      <c r="D77" s="10"/>
      <c r="E77" s="10" t="s">
        <v>55</v>
      </c>
      <c r="F77" s="10"/>
      <c r="G77" s="3">
        <v>8650</v>
      </c>
      <c r="I77" s="3"/>
      <c r="K77" s="3">
        <f t="shared" si="1"/>
        <v>8650</v>
      </c>
    </row>
    <row r="78" spans="1:11" x14ac:dyDescent="0.25">
      <c r="A78" s="10"/>
      <c r="B78" s="10"/>
      <c r="D78" s="10"/>
      <c r="E78" s="10" t="s">
        <v>56</v>
      </c>
      <c r="F78" s="10"/>
      <c r="G78" s="3">
        <v>21000</v>
      </c>
      <c r="I78" s="3"/>
      <c r="K78" s="3">
        <f t="shared" si="1"/>
        <v>21000</v>
      </c>
    </row>
    <row r="79" spans="1:11" x14ac:dyDescent="0.25">
      <c r="A79" s="10"/>
      <c r="B79" s="10"/>
      <c r="D79" s="10"/>
      <c r="E79" s="10" t="s">
        <v>57</v>
      </c>
      <c r="F79" s="10"/>
      <c r="G79" s="3">
        <v>11000</v>
      </c>
      <c r="I79" s="3"/>
      <c r="K79" s="3">
        <f t="shared" si="1"/>
        <v>11000</v>
      </c>
    </row>
    <row r="80" spans="1:11" x14ac:dyDescent="0.25">
      <c r="A80" s="10"/>
      <c r="B80" s="10"/>
      <c r="D80" s="10"/>
      <c r="E80" s="10" t="s">
        <v>58</v>
      </c>
      <c r="F80" s="10"/>
      <c r="G80" s="6">
        <v>2500</v>
      </c>
      <c r="I80" s="6"/>
      <c r="K80" s="6">
        <f t="shared" si="1"/>
        <v>2500</v>
      </c>
    </row>
    <row r="81" spans="1:11" x14ac:dyDescent="0.25">
      <c r="A81" s="10"/>
      <c r="B81" s="10"/>
      <c r="D81" s="10" t="s">
        <v>59</v>
      </c>
      <c r="E81" s="10"/>
      <c r="F81" s="10"/>
      <c r="G81" s="3">
        <v>320600</v>
      </c>
      <c r="I81" s="3">
        <f>SUM(I72:I80)+SUM(I52:I68)</f>
        <v>0</v>
      </c>
      <c r="K81" s="3">
        <f>SUM(K72:K80)+SUM(K52:K68)</f>
        <v>320600</v>
      </c>
    </row>
    <row r="82" spans="1:11" ht="30" customHeight="1" x14ac:dyDescent="0.25">
      <c r="A82" s="10"/>
      <c r="B82" s="10"/>
      <c r="D82" s="10" t="s">
        <v>60</v>
      </c>
      <c r="E82" s="10"/>
      <c r="F82" s="10"/>
      <c r="G82" s="3"/>
      <c r="I82" s="3"/>
      <c r="K82" s="3"/>
    </row>
    <row r="83" spans="1:11" x14ac:dyDescent="0.25">
      <c r="A83" s="10"/>
      <c r="B83" s="10"/>
      <c r="D83" s="10"/>
      <c r="E83" s="10" t="s">
        <v>61</v>
      </c>
      <c r="F83" s="10"/>
      <c r="G83" s="3">
        <v>0</v>
      </c>
      <c r="I83" s="3"/>
      <c r="K83" s="3">
        <f t="shared" ref="K83:K88" si="2">SUM(G83:I83)</f>
        <v>0</v>
      </c>
    </row>
    <row r="84" spans="1:11" x14ac:dyDescent="0.25">
      <c r="A84" s="10"/>
      <c r="B84" s="10"/>
      <c r="D84" s="10"/>
      <c r="E84" s="10" t="s">
        <v>96</v>
      </c>
      <c r="F84" s="10"/>
      <c r="G84" s="3">
        <v>0</v>
      </c>
      <c r="I84" s="3"/>
      <c r="K84" s="3">
        <f t="shared" si="2"/>
        <v>0</v>
      </c>
    </row>
    <row r="85" spans="1:11" x14ac:dyDescent="0.25">
      <c r="A85" s="10"/>
      <c r="B85" s="10"/>
      <c r="D85" s="10"/>
      <c r="E85" s="10" t="s">
        <v>62</v>
      </c>
      <c r="F85" s="10"/>
      <c r="G85" s="3">
        <v>25000</v>
      </c>
      <c r="I85" s="3"/>
      <c r="K85" s="3">
        <f t="shared" si="2"/>
        <v>25000</v>
      </c>
    </row>
    <row r="86" spans="1:11" x14ac:dyDescent="0.25">
      <c r="A86" s="10"/>
      <c r="B86" s="10"/>
      <c r="D86" s="10"/>
      <c r="E86" s="83" t="s">
        <v>246</v>
      </c>
      <c r="F86" s="10"/>
      <c r="G86" s="3">
        <v>5000</v>
      </c>
      <c r="I86" s="3"/>
      <c r="K86" s="3">
        <f t="shared" si="2"/>
        <v>5000</v>
      </c>
    </row>
    <row r="87" spans="1:11" x14ac:dyDescent="0.25">
      <c r="A87" s="10"/>
      <c r="B87" s="10"/>
      <c r="D87" s="10"/>
      <c r="E87" s="10" t="s">
        <v>64</v>
      </c>
      <c r="F87" s="10"/>
      <c r="G87" s="3">
        <v>4500</v>
      </c>
      <c r="I87" s="3"/>
      <c r="K87" s="3">
        <f t="shared" si="2"/>
        <v>4500</v>
      </c>
    </row>
    <row r="88" spans="1:11" x14ac:dyDescent="0.25">
      <c r="A88" s="10"/>
      <c r="B88" s="10"/>
      <c r="D88" s="10"/>
      <c r="E88" s="10" t="s">
        <v>111</v>
      </c>
      <c r="F88" s="10"/>
      <c r="G88" s="6">
        <v>0</v>
      </c>
      <c r="I88" s="6"/>
      <c r="K88" s="6">
        <f t="shared" si="2"/>
        <v>0</v>
      </c>
    </row>
    <row r="89" spans="1:11" x14ac:dyDescent="0.25">
      <c r="A89" s="10"/>
      <c r="B89" s="10"/>
      <c r="D89" s="10" t="s">
        <v>65</v>
      </c>
      <c r="E89" s="10"/>
      <c r="F89" s="10"/>
      <c r="G89" s="3">
        <v>34500</v>
      </c>
      <c r="I89" s="3">
        <f>SUM(I83:I88)</f>
        <v>0</v>
      </c>
      <c r="K89" s="3">
        <f>SUM(K83:K88)</f>
        <v>34500</v>
      </c>
    </row>
    <row r="90" spans="1:11" ht="30" customHeight="1" x14ac:dyDescent="0.25">
      <c r="A90" s="10"/>
      <c r="B90" s="10"/>
      <c r="D90" s="10" t="s">
        <v>66</v>
      </c>
      <c r="E90" s="10"/>
      <c r="F90" s="10"/>
      <c r="G90" s="3"/>
      <c r="I90" s="3"/>
      <c r="K90" s="3"/>
    </row>
    <row r="91" spans="1:11" x14ac:dyDescent="0.25">
      <c r="A91" s="10"/>
      <c r="B91" s="10"/>
      <c r="D91" s="10"/>
      <c r="E91" s="10" t="s">
        <v>67</v>
      </c>
      <c r="F91" s="10"/>
      <c r="G91" s="3">
        <v>0</v>
      </c>
      <c r="I91" s="3"/>
      <c r="K91" s="3">
        <f>SUM(G91:I91)</f>
        <v>0</v>
      </c>
    </row>
    <row r="92" spans="1:11" x14ac:dyDescent="0.25">
      <c r="A92" s="10"/>
      <c r="B92" s="10"/>
      <c r="D92" s="10"/>
      <c r="E92" s="10" t="s">
        <v>68</v>
      </c>
      <c r="F92" s="10"/>
      <c r="G92" s="6">
        <v>0</v>
      </c>
      <c r="I92" s="6"/>
      <c r="K92" s="6">
        <f>SUM(G92:I92)</f>
        <v>0</v>
      </c>
    </row>
    <row r="93" spans="1:11" x14ac:dyDescent="0.25">
      <c r="A93" s="10"/>
      <c r="B93" s="10"/>
      <c r="D93" s="10" t="s">
        <v>69</v>
      </c>
      <c r="E93" s="10"/>
      <c r="F93" s="10"/>
      <c r="G93" s="3">
        <v>0</v>
      </c>
      <c r="I93" s="3">
        <f>SUM(I91:I92)</f>
        <v>0</v>
      </c>
      <c r="K93" s="3">
        <f>SUM(K91:K92)</f>
        <v>0</v>
      </c>
    </row>
    <row r="94" spans="1:11" x14ac:dyDescent="0.25">
      <c r="A94" s="10"/>
      <c r="B94" s="10"/>
      <c r="D94" s="10"/>
      <c r="E94" s="10"/>
      <c r="F94" s="10"/>
      <c r="G94" s="3"/>
      <c r="I94" s="3"/>
      <c r="K94" s="3"/>
    </row>
    <row r="95" spans="1:11" ht="30" customHeight="1" x14ac:dyDescent="0.25">
      <c r="A95" s="10"/>
      <c r="B95" s="10" t="s">
        <v>85</v>
      </c>
      <c r="D95" s="10"/>
      <c r="E95" s="10"/>
      <c r="F95" s="10"/>
      <c r="G95" s="3">
        <v>903468.2699999999</v>
      </c>
      <c r="I95" s="3">
        <f>+I89+I81+I50</f>
        <v>0</v>
      </c>
      <c r="K95" s="3">
        <f>+K89+K81+K50</f>
        <v>903468.2699999999</v>
      </c>
    </row>
    <row r="96" spans="1:11" ht="15" customHeight="1" x14ac:dyDescent="0.25">
      <c r="A96" s="10"/>
      <c r="B96" s="10"/>
      <c r="D96" s="10"/>
      <c r="E96" s="10"/>
      <c r="F96" s="10"/>
      <c r="G96" s="3"/>
      <c r="I96" s="3"/>
      <c r="K96" s="3"/>
    </row>
    <row r="97" spans="1:11" ht="15" customHeight="1" x14ac:dyDescent="0.25">
      <c r="A97" s="10"/>
      <c r="B97" s="10" t="s">
        <v>90</v>
      </c>
      <c r="D97" s="10"/>
      <c r="E97" s="10"/>
      <c r="F97" s="10"/>
      <c r="G97" s="3">
        <v>-30972.269999999902</v>
      </c>
      <c r="I97" s="3">
        <f>+I31-I95</f>
        <v>0</v>
      </c>
      <c r="K97" s="3">
        <f>+K31-K95</f>
        <v>-30972.269999999902</v>
      </c>
    </row>
    <row r="98" spans="1:11" ht="15" customHeight="1" x14ac:dyDescent="0.25">
      <c r="A98" s="10"/>
      <c r="B98" s="10"/>
      <c r="D98" s="10"/>
      <c r="E98" s="10"/>
      <c r="F98" s="10"/>
      <c r="G98" s="3"/>
      <c r="I98" s="3"/>
      <c r="K98" s="3"/>
    </row>
    <row r="99" spans="1:11" ht="15" customHeight="1" x14ac:dyDescent="0.25">
      <c r="A99" s="10"/>
      <c r="B99" s="10" t="s">
        <v>91</v>
      </c>
      <c r="D99" s="10"/>
      <c r="E99" s="10"/>
      <c r="F99" s="10"/>
      <c r="G99" s="3"/>
      <c r="I99" s="3"/>
      <c r="K99" s="3"/>
    </row>
    <row r="100" spans="1:11" ht="15" customHeight="1" x14ac:dyDescent="0.25">
      <c r="A100" s="10"/>
      <c r="B100" s="10"/>
      <c r="D100" s="10" t="s">
        <v>70</v>
      </c>
      <c r="E100" s="10"/>
      <c r="F100" s="10"/>
      <c r="G100" s="3"/>
      <c r="I100" s="3"/>
      <c r="K100" s="3"/>
    </row>
    <row r="101" spans="1:11" x14ac:dyDescent="0.25">
      <c r="A101" s="10"/>
      <c r="B101" s="10"/>
      <c r="D101" s="10"/>
      <c r="E101" s="10" t="s">
        <v>82</v>
      </c>
      <c r="F101" s="10"/>
      <c r="G101" s="3">
        <v>0</v>
      </c>
      <c r="I101" s="3"/>
      <c r="K101" s="3">
        <f>SUM(G101:I101)</f>
        <v>0</v>
      </c>
    </row>
    <row r="102" spans="1:11" x14ac:dyDescent="0.25">
      <c r="A102" s="10"/>
      <c r="B102" s="10"/>
      <c r="D102" s="10"/>
      <c r="E102" s="10" t="s">
        <v>83</v>
      </c>
      <c r="F102" s="10"/>
      <c r="G102" s="6"/>
      <c r="I102" s="6"/>
      <c r="K102" s="6">
        <f>SUM(G102:I102)</f>
        <v>0</v>
      </c>
    </row>
    <row r="103" spans="1:11" x14ac:dyDescent="0.25">
      <c r="A103" s="10"/>
      <c r="B103" s="10"/>
      <c r="D103" s="10" t="s">
        <v>84</v>
      </c>
      <c r="E103" s="10"/>
      <c r="F103" s="10"/>
      <c r="G103" s="3">
        <v>0</v>
      </c>
      <c r="I103" s="3">
        <f>SUM(I101:I102)</f>
        <v>0</v>
      </c>
      <c r="K103" s="3">
        <f>SUM(K101:K102)</f>
        <v>0</v>
      </c>
    </row>
    <row r="104" spans="1:11" x14ac:dyDescent="0.25">
      <c r="A104" s="10"/>
      <c r="B104" s="10"/>
      <c r="D104" s="10"/>
      <c r="E104" s="10"/>
      <c r="F104" s="10"/>
      <c r="G104" s="3"/>
      <c r="I104" s="3"/>
      <c r="K104" s="3"/>
    </row>
    <row r="105" spans="1:11" x14ac:dyDescent="0.25">
      <c r="A105" s="10"/>
      <c r="D105" s="10" t="s">
        <v>86</v>
      </c>
      <c r="E105" s="10"/>
      <c r="F105" s="10"/>
      <c r="G105" s="3"/>
      <c r="I105" s="3"/>
      <c r="K105" s="3"/>
    </row>
    <row r="106" spans="1:11" x14ac:dyDescent="0.25">
      <c r="A106" s="10"/>
      <c r="D106" s="10"/>
      <c r="E106" s="10" t="s">
        <v>87</v>
      </c>
      <c r="F106" s="10"/>
      <c r="G106" s="3"/>
      <c r="I106" s="3"/>
      <c r="K106" s="3">
        <f>SUM(G106:I106)</f>
        <v>0</v>
      </c>
    </row>
    <row r="107" spans="1:11" x14ac:dyDescent="0.25">
      <c r="A107" s="10"/>
      <c r="D107" s="10"/>
      <c r="E107" s="10" t="s">
        <v>88</v>
      </c>
      <c r="F107" s="10"/>
      <c r="G107" s="6"/>
      <c r="I107" s="6"/>
      <c r="K107" s="6">
        <f>SUM(G107:I107)</f>
        <v>0</v>
      </c>
    </row>
    <row r="108" spans="1:11" x14ac:dyDescent="0.25">
      <c r="A108" s="10"/>
      <c r="D108" s="10" t="s">
        <v>89</v>
      </c>
      <c r="E108" s="10"/>
      <c r="F108" s="10"/>
      <c r="G108" s="7">
        <v>0</v>
      </c>
      <c r="I108" s="7">
        <f>SUM(I106:I107)</f>
        <v>0</v>
      </c>
      <c r="K108" s="7">
        <f>SUM(K106:K107)</f>
        <v>0</v>
      </c>
    </row>
    <row r="109" spans="1:11" ht="23.25" customHeight="1" x14ac:dyDescent="0.25">
      <c r="A109" s="10"/>
      <c r="B109" s="10" t="s">
        <v>92</v>
      </c>
      <c r="D109" s="10"/>
      <c r="E109" s="10"/>
      <c r="F109" s="10"/>
      <c r="G109" s="7">
        <v>0</v>
      </c>
      <c r="I109" s="7">
        <f>+I108+I103</f>
        <v>0</v>
      </c>
      <c r="K109" s="7">
        <f>+K108+K103</f>
        <v>0</v>
      </c>
    </row>
    <row r="110" spans="1:11" x14ac:dyDescent="0.25">
      <c r="A110" s="10"/>
      <c r="D110" s="10"/>
      <c r="E110" s="10"/>
      <c r="F110" s="10"/>
      <c r="G110" s="3"/>
      <c r="I110" s="3"/>
      <c r="K110" s="3"/>
    </row>
    <row r="111" spans="1:11" x14ac:dyDescent="0.25">
      <c r="A111" s="10"/>
      <c r="B111" s="11" t="s">
        <v>93</v>
      </c>
      <c r="D111" s="10"/>
      <c r="E111" s="10"/>
      <c r="F111" s="10"/>
      <c r="G111" s="3">
        <f>+G97+G109</f>
        <v>-30972.269999999902</v>
      </c>
      <c r="I111" s="3">
        <f>+I97+I109</f>
        <v>0</v>
      </c>
      <c r="K111" s="3">
        <f>+K97+K109</f>
        <v>-30972.269999999902</v>
      </c>
    </row>
    <row r="113" spans="2:11" x14ac:dyDescent="0.25">
      <c r="B113" s="5" t="s">
        <v>323</v>
      </c>
      <c r="G113" s="7">
        <v>1640984.61</v>
      </c>
      <c r="I113" s="7"/>
      <c r="K113" s="7">
        <f>+G113+I113</f>
        <v>1640984.61</v>
      </c>
    </row>
    <row r="115" spans="2:11" ht="16.5" thickBot="1" x14ac:dyDescent="0.3">
      <c r="B115" s="11" t="s">
        <v>139</v>
      </c>
      <c r="G115" s="48">
        <f>+G113+G111</f>
        <v>1610012.3400000003</v>
      </c>
      <c r="I115" s="48">
        <f>+I113+I111</f>
        <v>0</v>
      </c>
      <c r="K115" s="48">
        <f>+K113+K111</f>
        <v>1610012.3400000003</v>
      </c>
    </row>
    <row r="116" spans="2:11" ht="16.5" thickTop="1" x14ac:dyDescent="0.25"/>
  </sheetData>
  <phoneticPr fontId="0" type="noConversion"/>
  <printOptions horizontalCentered="1"/>
  <pageMargins left="0.7" right="0.7" top="0.75" bottom="0.75" header="0.25" footer="0.3"/>
  <pageSetup scale="61" fitToHeight="0" orientation="landscape" r:id="rId1"/>
  <headerFooter>
    <oddHeader xml:space="preserve">&amp;C&amp;"Times New Roman,Bold"&amp;12 Flagler Estates Road and Water Control District
&amp;14 Proposed Budget Amendment - General Fund 
Fiscal 2018-19
</oddHeader>
    <oddFooter>&amp;L&amp;F
&amp;D&amp;RPage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E38"/>
  <sheetViews>
    <sheetView tabSelected="1" workbookViewId="0">
      <selection activeCell="AB18" sqref="AB18"/>
    </sheetView>
  </sheetViews>
  <sheetFormatPr defaultRowHeight="15" x14ac:dyDescent="0.25"/>
  <cols>
    <col min="1" max="1" width="5.5703125" customWidth="1"/>
    <col min="2" max="2" width="33.42578125" bestFit="1" customWidth="1"/>
    <col min="3" max="3" width="33.85546875" customWidth="1"/>
    <col min="4" max="4" width="9.85546875" hidden="1" customWidth="1"/>
    <col min="5" max="5" width="3.85546875" hidden="1" customWidth="1"/>
    <col min="6" max="6" width="11.140625" hidden="1" customWidth="1"/>
    <col min="7" max="7" width="3.85546875" hidden="1" customWidth="1"/>
    <col min="8" max="8" width="11.140625" hidden="1" customWidth="1"/>
    <col min="9" max="9" width="3.85546875" hidden="1" customWidth="1"/>
    <col min="10" max="10" width="11.140625" hidden="1" customWidth="1"/>
    <col min="11" max="11" width="3.85546875" hidden="1" customWidth="1"/>
    <col min="12" max="12" width="11.140625" hidden="1" customWidth="1"/>
    <col min="13" max="13" width="3.85546875" hidden="1" customWidth="1"/>
    <col min="14" max="14" width="11.140625" hidden="1" customWidth="1"/>
    <col min="15" max="15" width="3.85546875" customWidth="1"/>
    <col min="16" max="16" width="11.140625" hidden="1" customWidth="1"/>
    <col min="17" max="17" width="3.85546875" hidden="1" customWidth="1"/>
    <col min="18" max="18" width="11.140625" hidden="1" customWidth="1"/>
    <col min="19" max="19" width="3.85546875" customWidth="1"/>
    <col min="20" max="20" width="11.140625" hidden="1" customWidth="1"/>
    <col min="21" max="21" width="3.85546875" hidden="1" customWidth="1"/>
    <col min="22" max="22" width="11.140625" hidden="1" customWidth="1"/>
    <col min="23" max="23" width="3.85546875" hidden="1" customWidth="1"/>
    <col min="24" max="24" width="11.140625" hidden="1" customWidth="1"/>
    <col min="25" max="25" width="3.85546875" hidden="1" customWidth="1"/>
    <col min="26" max="26" width="11.140625" hidden="1" customWidth="1"/>
    <col min="27" max="27" width="3.85546875" customWidth="1"/>
    <col min="28" max="28" width="33" customWidth="1"/>
    <col min="29" max="29" width="15.42578125" customWidth="1"/>
    <col min="30" max="30" width="3.85546875" customWidth="1"/>
  </cols>
  <sheetData>
    <row r="1" spans="1:31" s="5" customFormat="1" ht="15.75" x14ac:dyDescent="0.25">
      <c r="A1" s="32" t="s">
        <v>100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1" s="5" customFormat="1" ht="15.75" x14ac:dyDescent="0.25">
      <c r="A2" s="32" t="s">
        <v>137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s="5" customFormat="1" ht="15.75" x14ac:dyDescent="0.25">
      <c r="A3" s="32" t="s">
        <v>340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5" spans="1:31" x14ac:dyDescent="0.25">
      <c r="D5" s="28">
        <v>2005</v>
      </c>
      <c r="E5" s="28"/>
      <c r="F5" s="28">
        <v>2006</v>
      </c>
      <c r="G5" s="28"/>
      <c r="H5" s="28">
        <v>2008</v>
      </c>
      <c r="I5" s="28"/>
      <c r="J5" s="28">
        <v>2009</v>
      </c>
      <c r="K5" s="28"/>
      <c r="L5" s="28">
        <v>2010</v>
      </c>
      <c r="M5" s="28"/>
      <c r="N5" s="28">
        <v>2011</v>
      </c>
      <c r="O5" s="28"/>
      <c r="P5" s="28">
        <v>2012</v>
      </c>
      <c r="Q5" s="28"/>
      <c r="R5" s="28">
        <v>2013</v>
      </c>
      <c r="S5" s="28"/>
      <c r="T5" s="28">
        <v>2014</v>
      </c>
      <c r="U5" s="28"/>
      <c r="V5" s="28">
        <v>2015</v>
      </c>
      <c r="W5" s="28"/>
      <c r="X5" s="28">
        <v>2016</v>
      </c>
      <c r="Y5" s="28"/>
      <c r="Z5" s="28">
        <v>2017</v>
      </c>
      <c r="AA5" s="28"/>
      <c r="AB5" s="28"/>
      <c r="AC5" s="28"/>
    </row>
    <row r="6" spans="1:31" x14ac:dyDescent="0.25">
      <c r="Z6" t="s">
        <v>311</v>
      </c>
    </row>
    <row r="7" spans="1:31" x14ac:dyDescent="0.25">
      <c r="A7" s="27" t="s">
        <v>60</v>
      </c>
      <c r="B7" s="27"/>
      <c r="C7" s="27"/>
      <c r="D7" s="29"/>
      <c r="E7" s="27"/>
      <c r="F7" s="29"/>
      <c r="G7" s="27"/>
      <c r="H7" s="29"/>
      <c r="I7" s="27"/>
      <c r="J7" s="29"/>
      <c r="K7" s="27"/>
      <c r="L7" s="29"/>
      <c r="M7" s="27"/>
      <c r="N7" s="29"/>
      <c r="O7" s="27"/>
      <c r="P7" s="29"/>
      <c r="Q7" s="27"/>
      <c r="R7" s="29"/>
      <c r="S7" s="27"/>
      <c r="T7" s="29"/>
      <c r="U7" s="27"/>
      <c r="V7" s="29"/>
      <c r="W7" s="27"/>
      <c r="X7" s="29"/>
      <c r="Y7" s="27"/>
      <c r="Z7" s="29"/>
      <c r="AA7" s="27"/>
      <c r="AB7" s="29"/>
      <c r="AC7" s="29"/>
      <c r="AD7" s="27"/>
    </row>
    <row r="8" spans="1:31" ht="41.25" customHeight="1" x14ac:dyDescent="0.25">
      <c r="A8" s="42"/>
      <c r="B8" s="42" t="s">
        <v>61</v>
      </c>
      <c r="C8" s="43" t="s">
        <v>136</v>
      </c>
      <c r="D8" s="44">
        <v>0</v>
      </c>
      <c r="E8" s="45"/>
      <c r="F8" s="44">
        <v>0</v>
      </c>
      <c r="G8" s="45"/>
      <c r="H8" s="44">
        <v>7358.76</v>
      </c>
      <c r="I8" s="45"/>
      <c r="J8" s="44">
        <v>473.04</v>
      </c>
      <c r="K8" s="45"/>
      <c r="L8" s="44"/>
      <c r="M8" s="45"/>
      <c r="N8" s="44"/>
      <c r="O8" s="45"/>
      <c r="P8" s="44"/>
      <c r="Q8" s="45"/>
      <c r="R8" s="44"/>
      <c r="S8" s="45"/>
      <c r="T8" s="44">
        <v>0</v>
      </c>
      <c r="U8" s="45"/>
      <c r="V8" s="44"/>
      <c r="W8" s="45"/>
      <c r="X8" s="44"/>
      <c r="Y8" s="45"/>
      <c r="Z8" s="44"/>
      <c r="AA8" s="45"/>
      <c r="AB8" s="44"/>
      <c r="AC8" s="44">
        <v>0</v>
      </c>
      <c r="AD8" s="27"/>
    </row>
    <row r="9" spans="1:31" ht="41.25" customHeight="1" x14ac:dyDescent="0.25">
      <c r="A9" s="42"/>
      <c r="B9" s="42" t="s">
        <v>96</v>
      </c>
      <c r="C9" s="43" t="s">
        <v>134</v>
      </c>
      <c r="D9" s="44">
        <v>166586.38</v>
      </c>
      <c r="E9" s="45"/>
      <c r="F9" s="44">
        <v>113896.6</v>
      </c>
      <c r="G9" s="45"/>
      <c r="H9" s="44">
        <v>456428.49</v>
      </c>
      <c r="I9" s="45"/>
      <c r="J9" s="44">
        <v>0</v>
      </c>
      <c r="K9" s="45"/>
      <c r="L9" s="44"/>
      <c r="M9" s="45"/>
      <c r="N9" s="44">
        <f>41125.1+655.21</f>
        <v>41780.31</v>
      </c>
      <c r="O9" s="45"/>
      <c r="P9" s="44">
        <v>88091</v>
      </c>
      <c r="Q9" s="45"/>
      <c r="R9" s="44"/>
      <c r="S9" s="45"/>
      <c r="T9" s="44">
        <v>29313.15</v>
      </c>
      <c r="U9" s="45"/>
      <c r="V9" s="44"/>
      <c r="W9" s="45"/>
      <c r="X9" s="44"/>
      <c r="Y9" s="45"/>
      <c r="Z9" s="44">
        <v>181955</v>
      </c>
      <c r="AA9" s="45"/>
      <c r="AB9" s="77" t="s">
        <v>125</v>
      </c>
      <c r="AC9" s="44" t="s">
        <v>125</v>
      </c>
      <c r="AD9" s="27"/>
    </row>
    <row r="10" spans="1:31" ht="41.25" customHeight="1" x14ac:dyDescent="0.25">
      <c r="A10" s="42"/>
      <c r="B10" s="42" t="s">
        <v>62</v>
      </c>
      <c r="C10" s="43" t="s">
        <v>135</v>
      </c>
      <c r="D10" s="44">
        <v>90804.26</v>
      </c>
      <c r="E10" s="45"/>
      <c r="F10" s="44">
        <v>77983.990000000005</v>
      </c>
      <c r="G10" s="45"/>
      <c r="H10" s="44">
        <v>43909.39</v>
      </c>
      <c r="I10" s="45"/>
      <c r="J10" s="44">
        <v>151111.67000000001</v>
      </c>
      <c r="K10" s="45"/>
      <c r="L10" s="44">
        <v>80968.59</v>
      </c>
      <c r="M10" s="45"/>
      <c r="N10" s="44">
        <v>22605.84</v>
      </c>
      <c r="O10" s="45"/>
      <c r="P10" s="44">
        <v>22624.71</v>
      </c>
      <c r="Q10" s="45"/>
      <c r="R10" s="44">
        <v>13539.66</v>
      </c>
      <c r="S10" s="45"/>
      <c r="T10" s="44">
        <v>14431.79</v>
      </c>
      <c r="U10" s="45"/>
      <c r="V10" s="44">
        <v>30910.99</v>
      </c>
      <c r="W10" s="45"/>
      <c r="X10" s="44">
        <v>35956.89</v>
      </c>
      <c r="Y10" s="45"/>
      <c r="Z10" s="44">
        <v>29741</v>
      </c>
      <c r="AA10" s="45"/>
      <c r="AB10" s="77"/>
      <c r="AC10" s="44">
        <v>0</v>
      </c>
      <c r="AD10" s="27"/>
    </row>
    <row r="11" spans="1:31" ht="41.25" customHeight="1" x14ac:dyDescent="0.25">
      <c r="A11" s="42"/>
      <c r="B11" s="42" t="s">
        <v>224</v>
      </c>
      <c r="C11" s="43" t="s">
        <v>135</v>
      </c>
      <c r="D11" s="44">
        <v>774862.13</v>
      </c>
      <c r="E11" s="45"/>
      <c r="F11" s="44">
        <v>491661.85</v>
      </c>
      <c r="G11" s="45"/>
      <c r="H11" s="44">
        <v>2603234.11</v>
      </c>
      <c r="I11" s="45"/>
      <c r="J11" s="44">
        <v>170583.51</v>
      </c>
      <c r="K11" s="45"/>
      <c r="L11" s="44">
        <v>213750</v>
      </c>
      <c r="M11" s="45"/>
      <c r="N11" s="44">
        <v>31980</v>
      </c>
      <c r="O11" s="45"/>
      <c r="P11" s="44">
        <v>0</v>
      </c>
      <c r="Q11" s="45"/>
      <c r="R11" s="44">
        <v>0</v>
      </c>
      <c r="S11" s="45"/>
      <c r="T11" s="44">
        <v>0</v>
      </c>
      <c r="U11" s="45"/>
      <c r="V11" s="44">
        <v>12877</v>
      </c>
      <c r="W11" s="45"/>
      <c r="X11" s="44"/>
      <c r="Y11" s="45"/>
      <c r="Z11" s="44">
        <v>4200</v>
      </c>
      <c r="AA11" s="45"/>
      <c r="AB11" s="77"/>
      <c r="AC11" s="44">
        <v>5000</v>
      </c>
      <c r="AD11" s="27"/>
    </row>
    <row r="12" spans="1:31" ht="41.25" customHeight="1" x14ac:dyDescent="0.25">
      <c r="A12" s="42"/>
      <c r="B12" s="42" t="s">
        <v>64</v>
      </c>
      <c r="C12" s="43" t="s">
        <v>136</v>
      </c>
      <c r="D12" s="44">
        <v>115.1</v>
      </c>
      <c r="E12" s="45"/>
      <c r="F12" s="44">
        <v>0</v>
      </c>
      <c r="G12" s="45"/>
      <c r="H12" s="44">
        <v>106.01</v>
      </c>
      <c r="I12" s="45"/>
      <c r="J12" s="44">
        <v>2995.13</v>
      </c>
      <c r="K12" s="45"/>
      <c r="L12" s="44"/>
      <c r="M12" s="45"/>
      <c r="N12" s="44"/>
      <c r="O12" s="45"/>
      <c r="P12" s="44">
        <v>0</v>
      </c>
      <c r="Q12" s="45"/>
      <c r="R12" s="44">
        <v>0</v>
      </c>
      <c r="S12" s="45"/>
      <c r="T12" s="44">
        <v>0</v>
      </c>
      <c r="U12" s="45"/>
      <c r="V12" s="44">
        <v>290.2</v>
      </c>
      <c r="W12" s="45"/>
      <c r="X12" s="44"/>
      <c r="Y12" s="45"/>
      <c r="Z12" s="44">
        <v>8274</v>
      </c>
      <c r="AA12" s="45"/>
      <c r="AB12" s="77"/>
      <c r="AC12" s="44">
        <v>4500</v>
      </c>
      <c r="AD12" s="27"/>
    </row>
    <row r="13" spans="1:31" ht="41.25" customHeight="1" x14ac:dyDescent="0.25">
      <c r="A13" s="42"/>
      <c r="B13" s="42" t="s">
        <v>345</v>
      </c>
      <c r="C13" s="43" t="s">
        <v>338</v>
      </c>
      <c r="D13" s="44">
        <v>0</v>
      </c>
      <c r="E13" s="45"/>
      <c r="F13" s="44">
        <v>0</v>
      </c>
      <c r="G13" s="45"/>
      <c r="H13" s="44">
        <v>0</v>
      </c>
      <c r="I13" s="45"/>
      <c r="J13" s="44">
        <v>0</v>
      </c>
      <c r="K13" s="45"/>
      <c r="L13" s="44">
        <v>21312.62</v>
      </c>
      <c r="M13" s="45"/>
      <c r="N13" s="44"/>
      <c r="O13" s="45"/>
      <c r="P13" s="44">
        <v>0</v>
      </c>
      <c r="Q13" s="45"/>
      <c r="R13" s="44">
        <v>0</v>
      </c>
      <c r="S13" s="45"/>
      <c r="T13" s="44">
        <v>0</v>
      </c>
      <c r="U13" s="45"/>
      <c r="V13" s="44"/>
      <c r="W13" s="45"/>
      <c r="X13" s="44"/>
      <c r="Y13" s="45"/>
      <c r="Z13" s="44"/>
      <c r="AA13" s="45"/>
      <c r="AB13" s="44"/>
      <c r="AC13" s="44"/>
      <c r="AD13" s="27"/>
    </row>
    <row r="14" spans="1:31" ht="13.5" customHeight="1" x14ac:dyDescent="0.25">
      <c r="A14" s="42"/>
      <c r="B14" s="42"/>
      <c r="C14" s="43"/>
      <c r="D14" s="44"/>
      <c r="E14" s="45"/>
      <c r="F14" s="44"/>
      <c r="G14" s="45"/>
      <c r="H14" s="44"/>
      <c r="I14" s="45"/>
      <c r="J14" s="44"/>
      <c r="K14" s="45"/>
      <c r="L14" s="44">
        <f>SUM(L8:L13)</f>
        <v>316031.20999999996</v>
      </c>
      <c r="M14" s="45"/>
      <c r="N14" s="44">
        <f>SUM(N8:N13)</f>
        <v>96366.15</v>
      </c>
      <c r="O14" s="45"/>
      <c r="P14" s="44">
        <f>SUM(P8:P13)</f>
        <v>110715.70999999999</v>
      </c>
      <c r="Q14" s="45"/>
      <c r="R14" s="44">
        <f>SUM(R8:R13)</f>
        <v>13539.66</v>
      </c>
      <c r="S14" s="45"/>
      <c r="T14" s="44">
        <f>SUM(T8:T13)</f>
        <v>43744.94</v>
      </c>
      <c r="U14" s="45"/>
      <c r="V14" s="44">
        <f>SUM(V8:V13)</f>
        <v>44078.19</v>
      </c>
      <c r="W14" s="45"/>
      <c r="X14" s="44">
        <f>SUM(X8:X13)</f>
        <v>35956.89</v>
      </c>
      <c r="Y14" s="45"/>
      <c r="Z14" s="44">
        <f>SUM(Z8:Z13)</f>
        <v>224170</v>
      </c>
      <c r="AA14" s="45"/>
      <c r="AB14" s="44"/>
      <c r="AC14" s="44">
        <f>SUM(AC8:AC13)</f>
        <v>9500</v>
      </c>
      <c r="AD14" s="27"/>
    </row>
    <row r="15" spans="1:31" ht="25.5" customHeight="1" x14ac:dyDescent="0.25">
      <c r="A15" s="27"/>
      <c r="B15" s="27"/>
      <c r="C15" s="27"/>
      <c r="D15" s="29"/>
      <c r="E15" s="27"/>
      <c r="F15" s="29"/>
      <c r="G15" s="27"/>
      <c r="H15" s="29"/>
      <c r="I15" s="27"/>
      <c r="J15" s="29"/>
      <c r="K15" s="27"/>
      <c r="L15" s="29"/>
      <c r="M15" s="27"/>
      <c r="N15" s="29"/>
      <c r="O15" s="27"/>
      <c r="P15" s="29"/>
      <c r="Q15" s="27"/>
      <c r="R15" s="29"/>
      <c r="S15" s="27"/>
      <c r="T15" s="29"/>
      <c r="U15" s="27"/>
      <c r="V15" s="29"/>
      <c r="W15" s="27"/>
      <c r="X15" s="29"/>
      <c r="Y15" s="27"/>
      <c r="Z15" s="29"/>
      <c r="AA15" s="27"/>
      <c r="AB15" s="29"/>
      <c r="AC15" s="29"/>
      <c r="AD15" s="27"/>
    </row>
    <row r="16" spans="1:31" ht="13.5" customHeight="1" x14ac:dyDescent="0.25">
      <c r="A16" s="27"/>
      <c r="B16" s="27"/>
      <c r="C16" s="31"/>
      <c r="D16" s="29"/>
      <c r="E16" s="27"/>
      <c r="F16" s="29"/>
      <c r="G16" s="27"/>
      <c r="H16" s="29"/>
      <c r="I16" s="27"/>
      <c r="J16" s="29"/>
      <c r="K16" s="27"/>
      <c r="L16" s="29"/>
      <c r="M16" s="27"/>
      <c r="N16" s="29"/>
      <c r="O16" s="27"/>
      <c r="P16" s="29"/>
      <c r="Q16" s="27"/>
      <c r="R16" s="29"/>
      <c r="S16" s="27"/>
      <c r="T16" s="29"/>
      <c r="U16" s="27"/>
      <c r="V16" s="29"/>
      <c r="W16" s="27"/>
      <c r="X16" s="29"/>
      <c r="Y16" s="27"/>
      <c r="Z16" s="29"/>
      <c r="AA16" s="27"/>
      <c r="AB16" s="29"/>
      <c r="AC16" s="29"/>
      <c r="AD16" s="27"/>
    </row>
    <row r="38" spans="5:5" x14ac:dyDescent="0.25">
      <c r="E38">
        <v>24072</v>
      </c>
    </row>
  </sheetData>
  <phoneticPr fontId="0" type="noConversion"/>
  <printOptions horizontalCentered="1"/>
  <pageMargins left="0.7" right="0.7" top="0.75" bottom="0.75" header="0.25" footer="0.3"/>
  <pageSetup scale="89" fitToHeight="0" orientation="landscape" r:id="rId1"/>
  <headerFooter>
    <oddHeader xml:space="preserve">&amp;C&amp;"Times New Roman,Bold"&amp;12 &amp;14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pageSetUpPr fitToPage="1"/>
  </sheetPr>
  <dimension ref="A1:V66"/>
  <sheetViews>
    <sheetView workbookViewId="0">
      <pane xSplit="7" ySplit="1" topLeftCell="H2" activePane="bottomRight" state="frozenSplit"/>
      <selection pane="topRight" activeCell="H1" sqref="H1"/>
      <selection pane="bottomLeft" activeCell="A2" sqref="A2"/>
      <selection pane="bottomRight" activeCell="V49" sqref="V49"/>
    </sheetView>
  </sheetViews>
  <sheetFormatPr defaultRowHeight="15.75" x14ac:dyDescent="0.25"/>
  <cols>
    <col min="1" max="6" width="3" style="111" customWidth="1"/>
    <col min="7" max="7" width="33.140625" style="111" customWidth="1"/>
    <col min="8" max="8" width="13.7109375" style="116" hidden="1" customWidth="1"/>
    <col min="9" max="9" width="2.28515625" style="116" hidden="1" customWidth="1"/>
    <col min="10" max="10" width="14.28515625" style="116" hidden="1" customWidth="1"/>
    <col min="11" max="11" width="2.28515625" style="116" hidden="1" customWidth="1"/>
    <col min="12" max="12" width="14.28515625" style="116" hidden="1" customWidth="1"/>
    <col min="13" max="13" width="2.28515625" style="116" hidden="1" customWidth="1"/>
    <col min="14" max="14" width="12.85546875" style="116" hidden="1" customWidth="1"/>
    <col min="15" max="15" width="2.28515625" style="116" hidden="1" customWidth="1"/>
    <col min="16" max="16" width="14.28515625" style="116" hidden="1" customWidth="1"/>
    <col min="17" max="17" width="2.28515625" style="116" hidden="1" customWidth="1"/>
    <col min="18" max="18" width="14.28515625" style="116" hidden="1" customWidth="1"/>
    <col min="19" max="19" width="2.28515625" style="116" customWidth="1"/>
    <col min="20" max="20" width="14.28515625" style="116" bestFit="1" customWidth="1"/>
    <col min="21" max="21" width="3.85546875" style="116" customWidth="1"/>
    <col min="22" max="22" width="14" style="116" customWidth="1"/>
    <col min="23" max="16384" width="9.140625" style="117"/>
  </cols>
  <sheetData>
    <row r="1" spans="1:22" s="114" customFormat="1" ht="16.5" thickBot="1" x14ac:dyDescent="0.3">
      <c r="A1" s="109"/>
      <c r="B1" s="109"/>
      <c r="C1" s="109"/>
      <c r="D1" s="109"/>
      <c r="E1" s="109"/>
      <c r="F1" s="109"/>
      <c r="G1" s="109"/>
      <c r="H1" s="112" t="s">
        <v>296</v>
      </c>
      <c r="I1" s="113"/>
      <c r="J1" s="112" t="s">
        <v>297</v>
      </c>
      <c r="K1" s="113"/>
      <c r="L1" s="112" t="s">
        <v>298</v>
      </c>
      <c r="M1" s="113"/>
      <c r="N1" s="112" t="s">
        <v>299</v>
      </c>
      <c r="O1" s="113"/>
      <c r="P1" s="112" t="s">
        <v>300</v>
      </c>
      <c r="Q1" s="113"/>
      <c r="R1" s="112" t="s">
        <v>301</v>
      </c>
      <c r="S1" s="113"/>
      <c r="T1" s="112" t="s">
        <v>271</v>
      </c>
      <c r="U1" s="113"/>
      <c r="V1" s="113" t="s">
        <v>303</v>
      </c>
    </row>
    <row r="2" spans="1:22" ht="16.5" thickTop="1" x14ac:dyDescent="0.25">
      <c r="A2" s="110"/>
      <c r="B2" s="110" t="s">
        <v>272</v>
      </c>
      <c r="C2" s="110"/>
      <c r="D2" s="110"/>
      <c r="E2" s="110"/>
      <c r="F2" s="110"/>
      <c r="G2" s="110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1:22" x14ac:dyDescent="0.25">
      <c r="A3" s="110"/>
      <c r="B3" s="110"/>
      <c r="C3" s="110"/>
      <c r="D3" s="110" t="s">
        <v>273</v>
      </c>
      <c r="E3" s="110"/>
      <c r="F3" s="110"/>
      <c r="G3" s="110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</row>
    <row r="4" spans="1:22" x14ac:dyDescent="0.25">
      <c r="A4" s="110"/>
      <c r="B4" s="110"/>
      <c r="C4" s="110"/>
      <c r="D4" s="110"/>
      <c r="E4" s="110" t="s">
        <v>0</v>
      </c>
      <c r="F4" s="110"/>
      <c r="G4" s="110"/>
      <c r="H4" s="115">
        <v>8599.42</v>
      </c>
      <c r="I4" s="115"/>
      <c r="J4" s="115">
        <v>190338.29</v>
      </c>
      <c r="K4" s="115"/>
      <c r="L4" s="115">
        <v>200274.86</v>
      </c>
      <c r="M4" s="115"/>
      <c r="N4" s="115">
        <v>65100.84</v>
      </c>
      <c r="O4" s="115"/>
      <c r="P4" s="115">
        <v>98877.84</v>
      </c>
      <c r="Q4" s="115"/>
      <c r="R4" s="115">
        <v>102830.81</v>
      </c>
      <c r="S4" s="115"/>
      <c r="T4" s="115">
        <f t="shared" ref="T4:T16" si="0">ROUND(SUM(H4:R4),5)</f>
        <v>666022.06000000006</v>
      </c>
    </row>
    <row r="5" spans="1:22" x14ac:dyDescent="0.25">
      <c r="A5" s="110"/>
      <c r="B5" s="110"/>
      <c r="C5" s="110"/>
      <c r="D5" s="110"/>
      <c r="E5" s="110" t="s">
        <v>2</v>
      </c>
      <c r="F5" s="110"/>
      <c r="G5" s="110"/>
      <c r="H5" s="115">
        <v>4769.75</v>
      </c>
      <c r="I5" s="115"/>
      <c r="J5" s="115">
        <v>63.44</v>
      </c>
      <c r="K5" s="115"/>
      <c r="L5" s="115">
        <v>-2.09</v>
      </c>
      <c r="M5" s="115"/>
      <c r="N5" s="115">
        <v>2154.2600000000002</v>
      </c>
      <c r="O5" s="115"/>
      <c r="P5" s="115">
        <v>0</v>
      </c>
      <c r="Q5" s="115"/>
      <c r="R5" s="115">
        <v>0</v>
      </c>
      <c r="S5" s="115"/>
      <c r="T5" s="115">
        <f t="shared" si="0"/>
        <v>6985.36</v>
      </c>
    </row>
    <row r="6" spans="1:22" x14ac:dyDescent="0.25">
      <c r="A6" s="110"/>
      <c r="B6" s="110"/>
      <c r="C6" s="110"/>
      <c r="D6" s="110"/>
      <c r="E6" s="110" t="s">
        <v>4</v>
      </c>
      <c r="F6" s="110"/>
      <c r="G6" s="110"/>
      <c r="H6" s="115">
        <v>0</v>
      </c>
      <c r="I6" s="115"/>
      <c r="J6" s="115">
        <v>0</v>
      </c>
      <c r="K6" s="115"/>
      <c r="L6" s="115">
        <v>125</v>
      </c>
      <c r="M6" s="115"/>
      <c r="N6" s="115">
        <v>0</v>
      </c>
      <c r="O6" s="115"/>
      <c r="P6" s="115">
        <v>0</v>
      </c>
      <c r="Q6" s="115"/>
      <c r="R6" s="115">
        <v>250</v>
      </c>
      <c r="S6" s="115"/>
      <c r="T6" s="115">
        <f t="shared" si="0"/>
        <v>375</v>
      </c>
    </row>
    <row r="7" spans="1:22" x14ac:dyDescent="0.25">
      <c r="A7" s="110"/>
      <c r="B7" s="110"/>
      <c r="C7" s="110"/>
      <c r="D7" s="110"/>
      <c r="E7" s="110" t="s">
        <v>5</v>
      </c>
      <c r="F7" s="110"/>
      <c r="G7" s="110"/>
      <c r="H7" s="115">
        <v>2288.6</v>
      </c>
      <c r="I7" s="115"/>
      <c r="J7" s="115">
        <v>989.9</v>
      </c>
      <c r="K7" s="115"/>
      <c r="L7" s="115">
        <v>4556.99</v>
      </c>
      <c r="M7" s="115"/>
      <c r="N7" s="115">
        <v>788.75</v>
      </c>
      <c r="O7" s="115"/>
      <c r="P7" s="115">
        <v>2173.6</v>
      </c>
      <c r="Q7" s="115"/>
      <c r="R7" s="115">
        <v>0</v>
      </c>
      <c r="S7" s="115"/>
      <c r="T7" s="115">
        <f t="shared" si="0"/>
        <v>10797.84</v>
      </c>
    </row>
    <row r="8" spans="1:22" x14ac:dyDescent="0.25">
      <c r="A8" s="110"/>
      <c r="B8" s="110"/>
      <c r="C8" s="110"/>
      <c r="D8" s="110"/>
      <c r="E8" s="110" t="s">
        <v>6</v>
      </c>
      <c r="F8" s="110"/>
      <c r="G8" s="110"/>
      <c r="H8" s="115">
        <v>0</v>
      </c>
      <c r="I8" s="115"/>
      <c r="J8" s="115">
        <v>0</v>
      </c>
      <c r="K8" s="115"/>
      <c r="L8" s="115">
        <v>6.96</v>
      </c>
      <c r="M8" s="115"/>
      <c r="N8" s="115">
        <v>67.3</v>
      </c>
      <c r="O8" s="115"/>
      <c r="P8" s="115">
        <v>83.52</v>
      </c>
      <c r="Q8" s="115"/>
      <c r="R8" s="115">
        <v>0</v>
      </c>
      <c r="S8" s="115"/>
      <c r="T8" s="115">
        <f t="shared" si="0"/>
        <v>157.78</v>
      </c>
    </row>
    <row r="9" spans="1:22" x14ac:dyDescent="0.25">
      <c r="A9" s="110"/>
      <c r="B9" s="110"/>
      <c r="C9" s="110"/>
      <c r="D9" s="110"/>
      <c r="E9" s="110" t="s">
        <v>7</v>
      </c>
      <c r="F9" s="110"/>
      <c r="G9" s="110"/>
      <c r="H9" s="115">
        <v>2.25</v>
      </c>
      <c r="I9" s="115"/>
      <c r="J9" s="115">
        <v>22.5</v>
      </c>
      <c r="K9" s="115"/>
      <c r="L9" s="115">
        <v>4.5</v>
      </c>
      <c r="M9" s="115"/>
      <c r="N9" s="115">
        <v>2.25</v>
      </c>
      <c r="O9" s="115"/>
      <c r="P9" s="115">
        <v>0</v>
      </c>
      <c r="Q9" s="115"/>
      <c r="R9" s="115">
        <v>2.25</v>
      </c>
      <c r="S9" s="115"/>
      <c r="T9" s="115">
        <f t="shared" si="0"/>
        <v>33.75</v>
      </c>
    </row>
    <row r="10" spans="1:22" x14ac:dyDescent="0.25">
      <c r="A10" s="110"/>
      <c r="B10" s="110"/>
      <c r="C10" s="110"/>
      <c r="D10" s="110"/>
      <c r="E10" s="110" t="s">
        <v>8</v>
      </c>
      <c r="F10" s="110"/>
      <c r="G10" s="110"/>
      <c r="H10" s="115">
        <v>0</v>
      </c>
      <c r="I10" s="115"/>
      <c r="J10" s="115">
        <v>0</v>
      </c>
      <c r="K10" s="115"/>
      <c r="L10" s="115">
        <v>0</v>
      </c>
      <c r="M10" s="115"/>
      <c r="N10" s="115">
        <v>85</v>
      </c>
      <c r="O10" s="115"/>
      <c r="P10" s="115">
        <v>85</v>
      </c>
      <c r="Q10" s="115"/>
      <c r="R10" s="115">
        <v>0</v>
      </c>
      <c r="S10" s="115"/>
      <c r="T10" s="115">
        <f t="shared" si="0"/>
        <v>170</v>
      </c>
    </row>
    <row r="11" spans="1:22" x14ac:dyDescent="0.25">
      <c r="A11" s="110"/>
      <c r="B11" s="110"/>
      <c r="C11" s="110"/>
      <c r="D11" s="110"/>
      <c r="E11" s="110" t="s">
        <v>285</v>
      </c>
      <c r="F11" s="110"/>
      <c r="G11" s="110"/>
      <c r="H11" s="115">
        <v>64.59</v>
      </c>
      <c r="I11" s="115"/>
      <c r="J11" s="115">
        <v>63.96</v>
      </c>
      <c r="K11" s="115"/>
      <c r="L11" s="115">
        <v>76.61</v>
      </c>
      <c r="M11" s="115"/>
      <c r="N11" s="115">
        <v>78.209999999999994</v>
      </c>
      <c r="O11" s="115"/>
      <c r="P11" s="115">
        <v>71.680000000000007</v>
      </c>
      <c r="Q11" s="115"/>
      <c r="R11" s="115">
        <v>78.28</v>
      </c>
      <c r="S11" s="115"/>
      <c r="T11" s="115">
        <f t="shared" si="0"/>
        <v>433.33</v>
      </c>
    </row>
    <row r="12" spans="1:22" x14ac:dyDescent="0.25">
      <c r="A12" s="110"/>
      <c r="B12" s="110"/>
      <c r="C12" s="110"/>
      <c r="D12" s="110"/>
      <c r="E12" s="110" t="s">
        <v>10</v>
      </c>
      <c r="F12" s="110"/>
      <c r="G12" s="110"/>
      <c r="H12" s="115">
        <v>24.77</v>
      </c>
      <c r="I12" s="115"/>
      <c r="J12" s="115">
        <v>23.91</v>
      </c>
      <c r="K12" s="115"/>
      <c r="L12" s="115">
        <v>32.94</v>
      </c>
      <c r="M12" s="115"/>
      <c r="N12" s="115">
        <v>0</v>
      </c>
      <c r="O12" s="115"/>
      <c r="P12" s="115">
        <v>91.21</v>
      </c>
      <c r="Q12" s="115"/>
      <c r="R12" s="115">
        <v>53.24</v>
      </c>
      <c r="S12" s="115"/>
      <c r="T12" s="115">
        <f t="shared" si="0"/>
        <v>226.07</v>
      </c>
    </row>
    <row r="13" spans="1:22" x14ac:dyDescent="0.25">
      <c r="A13" s="110"/>
      <c r="B13" s="110"/>
      <c r="C13" s="110"/>
      <c r="D13" s="110"/>
      <c r="E13" s="110" t="s">
        <v>11</v>
      </c>
      <c r="F13" s="110"/>
      <c r="G13" s="110"/>
      <c r="H13" s="115">
        <v>0</v>
      </c>
      <c r="I13" s="115"/>
      <c r="J13" s="115">
        <v>0</v>
      </c>
      <c r="K13" s="115"/>
      <c r="L13" s="115">
        <v>0</v>
      </c>
      <c r="M13" s="115"/>
      <c r="N13" s="115">
        <v>40.06</v>
      </c>
      <c r="O13" s="115"/>
      <c r="P13" s="115">
        <v>0</v>
      </c>
      <c r="Q13" s="115"/>
      <c r="R13" s="115">
        <v>0</v>
      </c>
      <c r="S13" s="115"/>
      <c r="T13" s="115">
        <f t="shared" si="0"/>
        <v>40.06</v>
      </c>
    </row>
    <row r="14" spans="1:22" ht="16.5" thickBot="1" x14ac:dyDescent="0.3">
      <c r="A14" s="110"/>
      <c r="B14" s="110"/>
      <c r="C14" s="110"/>
      <c r="D14" s="110"/>
      <c r="E14" s="110" t="s">
        <v>12</v>
      </c>
      <c r="F14" s="110"/>
      <c r="G14" s="110"/>
      <c r="H14" s="115">
        <v>42.56</v>
      </c>
      <c r="I14" s="115"/>
      <c r="J14" s="115">
        <v>0</v>
      </c>
      <c r="K14" s="115"/>
      <c r="L14" s="115">
        <v>0</v>
      </c>
      <c r="M14" s="115"/>
      <c r="N14" s="115">
        <v>42.56</v>
      </c>
      <c r="O14" s="115"/>
      <c r="P14" s="115">
        <v>0</v>
      </c>
      <c r="Q14" s="115"/>
      <c r="R14" s="115">
        <v>42.56</v>
      </c>
      <c r="S14" s="115"/>
      <c r="T14" s="115">
        <f t="shared" si="0"/>
        <v>127.68</v>
      </c>
    </row>
    <row r="15" spans="1:22" ht="16.5" thickBot="1" x14ac:dyDescent="0.3">
      <c r="A15" s="110"/>
      <c r="B15" s="110"/>
      <c r="C15" s="110"/>
      <c r="D15" s="110" t="s">
        <v>274</v>
      </c>
      <c r="E15" s="110"/>
      <c r="F15" s="110"/>
      <c r="G15" s="110"/>
      <c r="H15" s="118">
        <f>ROUND(SUM(H3:H14),5)</f>
        <v>15791.94</v>
      </c>
      <c r="I15" s="115"/>
      <c r="J15" s="118">
        <f>ROUND(SUM(J3:J14),5)</f>
        <v>191502</v>
      </c>
      <c r="K15" s="115"/>
      <c r="L15" s="118">
        <f>ROUND(SUM(L3:L14),5)</f>
        <v>205075.77</v>
      </c>
      <c r="M15" s="115"/>
      <c r="N15" s="118">
        <f>ROUND(SUM(N3:N14),5)</f>
        <v>68359.23</v>
      </c>
      <c r="O15" s="115"/>
      <c r="P15" s="118">
        <f>ROUND(SUM(P3:P14),5)</f>
        <v>101382.85</v>
      </c>
      <c r="Q15" s="115"/>
      <c r="R15" s="118">
        <f>ROUND(SUM(R3:R14),5)</f>
        <v>103257.14</v>
      </c>
      <c r="S15" s="115"/>
      <c r="T15" s="118">
        <f t="shared" si="0"/>
        <v>685368.93</v>
      </c>
    </row>
    <row r="16" spans="1:22" x14ac:dyDescent="0.25">
      <c r="A16" s="110"/>
      <c r="B16" s="110"/>
      <c r="C16" s="110" t="s">
        <v>287</v>
      </c>
      <c r="D16" s="110"/>
      <c r="E16" s="110"/>
      <c r="F16" s="110"/>
      <c r="G16" s="110"/>
      <c r="H16" s="115">
        <f>H15</f>
        <v>15791.94</v>
      </c>
      <c r="I16" s="115"/>
      <c r="J16" s="115">
        <f>J15</f>
        <v>191502</v>
      </c>
      <c r="K16" s="115"/>
      <c r="L16" s="115">
        <f>L15</f>
        <v>205075.77</v>
      </c>
      <c r="M16" s="115"/>
      <c r="N16" s="115">
        <f>N15</f>
        <v>68359.23</v>
      </c>
      <c r="O16" s="115"/>
      <c r="P16" s="115">
        <f>P15</f>
        <v>101382.85</v>
      </c>
      <c r="Q16" s="115"/>
      <c r="R16" s="115">
        <f>R15</f>
        <v>103257.14</v>
      </c>
      <c r="S16" s="115"/>
      <c r="T16" s="115">
        <f t="shared" si="0"/>
        <v>685368.93</v>
      </c>
    </row>
    <row r="17" spans="1:22" x14ac:dyDescent="0.25">
      <c r="A17" s="110"/>
      <c r="B17" s="110"/>
      <c r="C17" s="110"/>
      <c r="D17" s="110" t="s">
        <v>275</v>
      </c>
      <c r="E17" s="110"/>
      <c r="F17" s="110"/>
      <c r="G17" s="110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</row>
    <row r="18" spans="1:22" x14ac:dyDescent="0.25">
      <c r="A18" s="110"/>
      <c r="B18" s="110"/>
      <c r="C18" s="110"/>
      <c r="D18" s="110"/>
      <c r="E18" s="110" t="s">
        <v>13</v>
      </c>
      <c r="F18" s="110"/>
      <c r="G18" s="110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</row>
    <row r="19" spans="1:22" x14ac:dyDescent="0.25">
      <c r="A19" s="110"/>
      <c r="B19" s="110"/>
      <c r="C19" s="110"/>
      <c r="D19" s="110"/>
      <c r="E19" s="110"/>
      <c r="F19" s="110" t="s">
        <v>14</v>
      </c>
      <c r="G19" s="110"/>
      <c r="H19" s="115">
        <v>93.75</v>
      </c>
      <c r="I19" s="115"/>
      <c r="J19" s="115">
        <v>95</v>
      </c>
      <c r="K19" s="115"/>
      <c r="L19" s="115">
        <v>87.51</v>
      </c>
      <c r="M19" s="115"/>
      <c r="N19" s="115">
        <v>146.88999999999999</v>
      </c>
      <c r="O19" s="115"/>
      <c r="P19" s="115">
        <v>178.14</v>
      </c>
      <c r="Q19" s="115"/>
      <c r="R19" s="115">
        <v>200</v>
      </c>
      <c r="S19" s="115"/>
      <c r="T19" s="115">
        <f t="shared" ref="T19:T26" si="1">ROUND(SUM(H19:R19),5)</f>
        <v>801.29</v>
      </c>
      <c r="V19" s="116">
        <f>ROUND((T19*2),2)</f>
        <v>1602.58</v>
      </c>
    </row>
    <row r="20" spans="1:22" x14ac:dyDescent="0.25">
      <c r="A20" s="110"/>
      <c r="B20" s="110"/>
      <c r="C20" s="110"/>
      <c r="D20" s="110"/>
      <c r="E20" s="110"/>
      <c r="F20" s="110" t="s">
        <v>15</v>
      </c>
      <c r="G20" s="110"/>
      <c r="H20" s="115">
        <v>26457.62</v>
      </c>
      <c r="I20" s="115"/>
      <c r="J20" s="115">
        <v>19127.34</v>
      </c>
      <c r="K20" s="115"/>
      <c r="L20" s="115">
        <v>23123.62</v>
      </c>
      <c r="M20" s="115"/>
      <c r="N20" s="115">
        <v>17161.59</v>
      </c>
      <c r="O20" s="115"/>
      <c r="P20" s="115">
        <v>21348.75</v>
      </c>
      <c r="Q20" s="115"/>
      <c r="R20" s="115">
        <v>25492.74</v>
      </c>
      <c r="S20" s="115"/>
      <c r="T20" s="115">
        <f t="shared" si="1"/>
        <v>132711.66</v>
      </c>
      <c r="V20" s="116">
        <f t="shared" ref="V20:V33" si="2">ROUND((T20*2),2)</f>
        <v>265423.32</v>
      </c>
    </row>
    <row r="21" spans="1:22" x14ac:dyDescent="0.25">
      <c r="A21" s="110"/>
      <c r="B21" s="110"/>
      <c r="C21" s="110"/>
      <c r="D21" s="110"/>
      <c r="E21" s="110"/>
      <c r="F21" s="110" t="s">
        <v>16</v>
      </c>
      <c r="G21" s="110"/>
      <c r="H21" s="115">
        <v>21916.06</v>
      </c>
      <c r="I21" s="115"/>
      <c r="J21" s="115">
        <v>526.6</v>
      </c>
      <c r="K21" s="115"/>
      <c r="L21" s="115">
        <v>1491.85</v>
      </c>
      <c r="M21" s="115"/>
      <c r="N21" s="115">
        <v>7617.92</v>
      </c>
      <c r="O21" s="115"/>
      <c r="P21" s="115">
        <v>511.29</v>
      </c>
      <c r="Q21" s="115"/>
      <c r="R21" s="115">
        <v>868.1</v>
      </c>
      <c r="S21" s="115"/>
      <c r="T21" s="115">
        <f t="shared" si="1"/>
        <v>32931.82</v>
      </c>
      <c r="V21" s="116">
        <f t="shared" si="2"/>
        <v>65863.64</v>
      </c>
    </row>
    <row r="22" spans="1:22" x14ac:dyDescent="0.25">
      <c r="A22" s="110"/>
      <c r="B22" s="110"/>
      <c r="C22" s="110"/>
      <c r="D22" s="110"/>
      <c r="E22" s="110"/>
      <c r="F22" s="110" t="s">
        <v>17</v>
      </c>
      <c r="G22" s="110"/>
      <c r="H22" s="115">
        <v>747.34</v>
      </c>
      <c r="I22" s="115"/>
      <c r="J22" s="115">
        <v>142.68</v>
      </c>
      <c r="K22" s="115"/>
      <c r="L22" s="115">
        <v>91.18</v>
      </c>
      <c r="M22" s="115"/>
      <c r="N22" s="115">
        <v>155.6</v>
      </c>
      <c r="O22" s="115"/>
      <c r="P22" s="115">
        <v>681.33</v>
      </c>
      <c r="Q22" s="115"/>
      <c r="R22" s="115">
        <v>976.85</v>
      </c>
      <c r="S22" s="115"/>
      <c r="T22" s="115">
        <f t="shared" si="1"/>
        <v>2794.98</v>
      </c>
      <c r="V22" s="116">
        <f t="shared" si="2"/>
        <v>5589.96</v>
      </c>
    </row>
    <row r="23" spans="1:22" x14ac:dyDescent="0.25">
      <c r="A23" s="110"/>
      <c r="B23" s="110"/>
      <c r="C23" s="110"/>
      <c r="D23" s="110"/>
      <c r="E23" s="110"/>
      <c r="F23" s="110" t="s">
        <v>18</v>
      </c>
      <c r="G23" s="110"/>
      <c r="H23" s="115">
        <v>0</v>
      </c>
      <c r="I23" s="115"/>
      <c r="J23" s="115">
        <v>1377.9</v>
      </c>
      <c r="K23" s="115"/>
      <c r="L23" s="115">
        <v>2755.8</v>
      </c>
      <c r="M23" s="115"/>
      <c r="N23" s="115">
        <v>2630.2</v>
      </c>
      <c r="O23" s="115"/>
      <c r="P23" s="115">
        <v>0</v>
      </c>
      <c r="Q23" s="115"/>
      <c r="R23" s="115">
        <v>0</v>
      </c>
      <c r="S23" s="115"/>
      <c r="T23" s="115">
        <f t="shared" si="1"/>
        <v>6763.9</v>
      </c>
      <c r="V23" s="116">
        <f t="shared" si="2"/>
        <v>13527.8</v>
      </c>
    </row>
    <row r="24" spans="1:22" x14ac:dyDescent="0.25">
      <c r="A24" s="110"/>
      <c r="B24" s="110"/>
      <c r="C24" s="110"/>
      <c r="D24" s="110"/>
      <c r="E24" s="110"/>
      <c r="F24" s="110" t="s">
        <v>20</v>
      </c>
      <c r="G24" s="110"/>
      <c r="H24" s="115">
        <v>3032.33</v>
      </c>
      <c r="I24" s="115"/>
      <c r="J24" s="115">
        <v>1303.53</v>
      </c>
      <c r="K24" s="115"/>
      <c r="L24" s="115">
        <v>1692.86</v>
      </c>
      <c r="M24" s="115"/>
      <c r="N24" s="115">
        <v>1700.49</v>
      </c>
      <c r="O24" s="115"/>
      <c r="P24" s="115">
        <v>1393.44</v>
      </c>
      <c r="Q24" s="115"/>
      <c r="R24" s="115">
        <v>1688.37</v>
      </c>
      <c r="S24" s="115"/>
      <c r="T24" s="115">
        <f t="shared" si="1"/>
        <v>10811.02</v>
      </c>
      <c r="V24" s="116">
        <f t="shared" si="2"/>
        <v>21622.04</v>
      </c>
    </row>
    <row r="25" spans="1:22" x14ac:dyDescent="0.25">
      <c r="A25" s="110"/>
      <c r="B25" s="110"/>
      <c r="C25" s="110"/>
      <c r="D25" s="110"/>
      <c r="E25" s="110"/>
      <c r="F25" s="110" t="s">
        <v>21</v>
      </c>
      <c r="G25" s="110"/>
      <c r="H25" s="115">
        <v>709.17</v>
      </c>
      <c r="I25" s="115"/>
      <c r="J25" s="115">
        <v>304.87</v>
      </c>
      <c r="K25" s="115"/>
      <c r="L25" s="115">
        <v>395.9</v>
      </c>
      <c r="M25" s="115"/>
      <c r="N25" s="115">
        <v>397.69</v>
      </c>
      <c r="O25" s="115"/>
      <c r="P25" s="115">
        <v>325.88</v>
      </c>
      <c r="Q25" s="115"/>
      <c r="R25" s="115">
        <v>394.88</v>
      </c>
      <c r="S25" s="115"/>
      <c r="T25" s="115">
        <f t="shared" si="1"/>
        <v>2528.39</v>
      </c>
      <c r="V25" s="116">
        <f t="shared" si="2"/>
        <v>5056.78</v>
      </c>
    </row>
    <row r="26" spans="1:22" x14ac:dyDescent="0.25">
      <c r="A26" s="110"/>
      <c r="B26" s="110"/>
      <c r="C26" s="110"/>
      <c r="D26" s="110"/>
      <c r="E26" s="110"/>
      <c r="F26" s="110" t="s">
        <v>22</v>
      </c>
      <c r="G26" s="110"/>
      <c r="H26" s="115">
        <v>0</v>
      </c>
      <c r="I26" s="115"/>
      <c r="J26" s="115">
        <v>0</v>
      </c>
      <c r="K26" s="115"/>
      <c r="L26" s="115">
        <v>0</v>
      </c>
      <c r="M26" s="115"/>
      <c r="N26" s="115">
        <v>0</v>
      </c>
      <c r="O26" s="115"/>
      <c r="P26" s="115">
        <v>0</v>
      </c>
      <c r="Q26" s="115"/>
      <c r="R26" s="115">
        <v>500</v>
      </c>
      <c r="S26" s="115"/>
      <c r="T26" s="115">
        <f t="shared" si="1"/>
        <v>500</v>
      </c>
      <c r="V26" s="116">
        <f t="shared" si="2"/>
        <v>1000</v>
      </c>
    </row>
    <row r="27" spans="1:22" x14ac:dyDescent="0.25">
      <c r="A27" s="110"/>
      <c r="B27" s="110"/>
      <c r="C27" s="110"/>
      <c r="D27" s="110"/>
      <c r="E27" s="110"/>
      <c r="F27" s="110" t="s">
        <v>23</v>
      </c>
      <c r="G27" s="110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V27" s="116">
        <f t="shared" si="2"/>
        <v>0</v>
      </c>
    </row>
    <row r="28" spans="1:22" x14ac:dyDescent="0.25">
      <c r="A28" s="110"/>
      <c r="B28" s="110"/>
      <c r="C28" s="110"/>
      <c r="D28" s="110"/>
      <c r="E28" s="110"/>
      <c r="F28" s="110"/>
      <c r="G28" s="110" t="s">
        <v>302</v>
      </c>
      <c r="H28" s="115">
        <v>0</v>
      </c>
      <c r="I28" s="115"/>
      <c r="J28" s="115">
        <v>0</v>
      </c>
      <c r="K28" s="115"/>
      <c r="L28" s="115">
        <v>0</v>
      </c>
      <c r="M28" s="115"/>
      <c r="N28" s="115">
        <v>-2793.62</v>
      </c>
      <c r="O28" s="115"/>
      <c r="P28" s="115">
        <v>0</v>
      </c>
      <c r="Q28" s="115"/>
      <c r="R28" s="115">
        <v>0</v>
      </c>
      <c r="S28" s="115"/>
      <c r="T28" s="115">
        <f t="shared" ref="T28:T34" si="3">ROUND(SUM(H28:R28),5)</f>
        <v>-2793.62</v>
      </c>
      <c r="V28" s="116">
        <f t="shared" si="2"/>
        <v>-5587.24</v>
      </c>
    </row>
    <row r="29" spans="1:22" ht="16.5" thickBot="1" x14ac:dyDescent="0.3">
      <c r="A29" s="110"/>
      <c r="B29" s="110"/>
      <c r="C29" s="110"/>
      <c r="D29" s="110"/>
      <c r="E29" s="110"/>
      <c r="F29" s="110"/>
      <c r="G29" s="110" t="s">
        <v>25</v>
      </c>
      <c r="H29" s="119">
        <v>5922.09</v>
      </c>
      <c r="I29" s="115"/>
      <c r="J29" s="119">
        <v>5586.59</v>
      </c>
      <c r="K29" s="115"/>
      <c r="L29" s="119">
        <v>5859.59</v>
      </c>
      <c r="M29" s="115"/>
      <c r="N29" s="119">
        <v>8823.36</v>
      </c>
      <c r="O29" s="115"/>
      <c r="P29" s="119">
        <v>6240.24</v>
      </c>
      <c r="Q29" s="115"/>
      <c r="R29" s="119">
        <v>7256.4</v>
      </c>
      <c r="S29" s="115"/>
      <c r="T29" s="119">
        <f t="shared" si="3"/>
        <v>39688.269999999997</v>
      </c>
      <c r="V29" s="116">
        <f t="shared" si="2"/>
        <v>79376.539999999994</v>
      </c>
    </row>
    <row r="30" spans="1:22" x14ac:dyDescent="0.25">
      <c r="A30" s="110"/>
      <c r="B30" s="110"/>
      <c r="C30" s="110"/>
      <c r="D30" s="110"/>
      <c r="E30" s="110"/>
      <c r="F30" s="110" t="s">
        <v>26</v>
      </c>
      <c r="G30" s="110"/>
      <c r="H30" s="115">
        <f>ROUND(SUM(H27:H29),5)</f>
        <v>5922.09</v>
      </c>
      <c r="I30" s="115"/>
      <c r="J30" s="115">
        <f>ROUND(SUM(J27:J29),5)</f>
        <v>5586.59</v>
      </c>
      <c r="K30" s="115"/>
      <c r="L30" s="115">
        <f>ROUND(SUM(L27:L29),5)</f>
        <v>5859.59</v>
      </c>
      <c r="M30" s="115"/>
      <c r="N30" s="115">
        <f>ROUND(SUM(N27:N29),5)</f>
        <v>6029.74</v>
      </c>
      <c r="O30" s="115"/>
      <c r="P30" s="115">
        <f>ROUND(SUM(P27:P29),5)</f>
        <v>6240.24</v>
      </c>
      <c r="Q30" s="115"/>
      <c r="R30" s="115">
        <f>ROUND(SUM(R27:R29),5)</f>
        <v>7256.4</v>
      </c>
      <c r="S30" s="115"/>
      <c r="T30" s="115">
        <f t="shared" si="3"/>
        <v>36894.65</v>
      </c>
      <c r="V30" s="115">
        <f>ROUND(SUM(V27:V29),5)</f>
        <v>73789.3</v>
      </c>
    </row>
    <row r="31" spans="1:22" x14ac:dyDescent="0.25">
      <c r="A31" s="110"/>
      <c r="B31" s="110"/>
      <c r="C31" s="110"/>
      <c r="D31" s="110"/>
      <c r="E31" s="110"/>
      <c r="F31" s="110" t="s">
        <v>27</v>
      </c>
      <c r="G31" s="110"/>
      <c r="H31" s="115">
        <v>26.72</v>
      </c>
      <c r="I31" s="115"/>
      <c r="J31" s="115">
        <v>1.98</v>
      </c>
      <c r="K31" s="115"/>
      <c r="L31" s="115">
        <v>7.03</v>
      </c>
      <c r="M31" s="115"/>
      <c r="N31" s="115">
        <v>493.53</v>
      </c>
      <c r="O31" s="115"/>
      <c r="P31" s="115">
        <v>307.76</v>
      </c>
      <c r="Q31" s="115"/>
      <c r="R31" s="115">
        <v>148.30000000000001</v>
      </c>
      <c r="S31" s="115"/>
      <c r="T31" s="115">
        <f t="shared" si="3"/>
        <v>985.32</v>
      </c>
      <c r="V31" s="116">
        <f t="shared" si="2"/>
        <v>1970.64</v>
      </c>
    </row>
    <row r="32" spans="1:22" x14ac:dyDescent="0.25">
      <c r="A32" s="110"/>
      <c r="B32" s="110"/>
      <c r="C32" s="110"/>
      <c r="D32" s="110"/>
      <c r="E32" s="110"/>
      <c r="F32" s="110" t="s">
        <v>28</v>
      </c>
      <c r="G32" s="110"/>
      <c r="H32" s="115">
        <v>0</v>
      </c>
      <c r="I32" s="115"/>
      <c r="J32" s="115">
        <v>0</v>
      </c>
      <c r="K32" s="115"/>
      <c r="L32" s="115">
        <v>694</v>
      </c>
      <c r="M32" s="115"/>
      <c r="N32" s="115">
        <v>0</v>
      </c>
      <c r="O32" s="115"/>
      <c r="P32" s="115">
        <v>0</v>
      </c>
      <c r="Q32" s="115"/>
      <c r="R32" s="115">
        <v>0</v>
      </c>
      <c r="S32" s="115"/>
      <c r="T32" s="115">
        <f t="shared" si="3"/>
        <v>694</v>
      </c>
      <c r="V32" s="116">
        <f t="shared" si="2"/>
        <v>1388</v>
      </c>
    </row>
    <row r="33" spans="1:22" ht="16.5" thickBot="1" x14ac:dyDescent="0.3">
      <c r="A33" s="110"/>
      <c r="B33" s="110"/>
      <c r="C33" s="110"/>
      <c r="D33" s="110"/>
      <c r="E33" s="110"/>
      <c r="F33" s="110" t="s">
        <v>29</v>
      </c>
      <c r="G33" s="110"/>
      <c r="H33" s="119">
        <v>0</v>
      </c>
      <c r="I33" s="115"/>
      <c r="J33" s="119">
        <v>0</v>
      </c>
      <c r="K33" s="115"/>
      <c r="L33" s="119">
        <v>35</v>
      </c>
      <c r="M33" s="115"/>
      <c r="N33" s="119">
        <v>0</v>
      </c>
      <c r="O33" s="115"/>
      <c r="P33" s="119">
        <v>0</v>
      </c>
      <c r="Q33" s="115"/>
      <c r="R33" s="119">
        <v>0</v>
      </c>
      <c r="S33" s="115"/>
      <c r="T33" s="119">
        <f t="shared" si="3"/>
        <v>35</v>
      </c>
      <c r="V33" s="116">
        <f t="shared" si="2"/>
        <v>70</v>
      </c>
    </row>
    <row r="34" spans="1:22" x14ac:dyDescent="0.25">
      <c r="A34" s="110"/>
      <c r="B34" s="110"/>
      <c r="C34" s="110"/>
      <c r="D34" s="110"/>
      <c r="E34" s="110" t="s">
        <v>30</v>
      </c>
      <c r="F34" s="110"/>
      <c r="G34" s="110"/>
      <c r="H34" s="115">
        <f>ROUND(SUM(H18:H26)+SUM(H30:H33),5)</f>
        <v>58905.08</v>
      </c>
      <c r="I34" s="115"/>
      <c r="J34" s="115">
        <f>ROUND(SUM(J18:J26)+SUM(J30:J33),5)</f>
        <v>28466.49</v>
      </c>
      <c r="K34" s="115"/>
      <c r="L34" s="115">
        <f>ROUND(SUM(L18:L26)+SUM(L30:L33),5)</f>
        <v>36234.339999999997</v>
      </c>
      <c r="M34" s="115"/>
      <c r="N34" s="115">
        <f>ROUND(SUM(N18:N26)+SUM(N30:N33),5)</f>
        <v>36333.65</v>
      </c>
      <c r="O34" s="115"/>
      <c r="P34" s="115">
        <f>ROUND(SUM(P18:P26)+SUM(P30:P33),5)</f>
        <v>30986.83</v>
      </c>
      <c r="Q34" s="115"/>
      <c r="R34" s="115">
        <f>ROUND(SUM(R18:R26)+SUM(R30:R33),5)</f>
        <v>37525.64</v>
      </c>
      <c r="S34" s="115"/>
      <c r="T34" s="115">
        <f t="shared" si="3"/>
        <v>228452.03</v>
      </c>
      <c r="V34" s="115">
        <f>ROUND(SUM(V18:V26)+SUM(V30:V33),5)</f>
        <v>456904.06</v>
      </c>
    </row>
    <row r="35" spans="1:22" x14ac:dyDescent="0.25">
      <c r="A35" s="110"/>
      <c r="B35" s="110"/>
      <c r="C35" s="110"/>
      <c r="D35" s="110"/>
      <c r="E35" s="110" t="s">
        <v>31</v>
      </c>
      <c r="F35" s="110"/>
      <c r="G35" s="110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</row>
    <row r="36" spans="1:22" x14ac:dyDescent="0.25">
      <c r="A36" s="110"/>
      <c r="B36" s="110"/>
      <c r="C36" s="110"/>
      <c r="D36" s="110"/>
      <c r="E36" s="110"/>
      <c r="F36" s="110" t="s">
        <v>32</v>
      </c>
      <c r="G36" s="110"/>
      <c r="H36" s="115">
        <v>0</v>
      </c>
      <c r="I36" s="115"/>
      <c r="J36" s="115">
        <v>346.74</v>
      </c>
      <c r="K36" s="115"/>
      <c r="L36" s="115">
        <v>0</v>
      </c>
      <c r="M36" s="115"/>
      <c r="N36" s="115">
        <v>0</v>
      </c>
      <c r="O36" s="115"/>
      <c r="P36" s="115">
        <v>0</v>
      </c>
      <c r="Q36" s="115"/>
      <c r="R36" s="115">
        <v>0</v>
      </c>
      <c r="S36" s="115"/>
      <c r="T36" s="115">
        <f t="shared" ref="T36:T58" si="4">ROUND(SUM(H36:R36),5)</f>
        <v>346.74</v>
      </c>
      <c r="V36" s="116">
        <f t="shared" ref="V36:V57" si="5">ROUND((T36*2),2)</f>
        <v>693.48</v>
      </c>
    </row>
    <row r="37" spans="1:22" x14ac:dyDescent="0.25">
      <c r="A37" s="110"/>
      <c r="B37" s="110"/>
      <c r="C37" s="110"/>
      <c r="D37" s="110"/>
      <c r="E37" s="110"/>
      <c r="F37" s="110" t="s">
        <v>35</v>
      </c>
      <c r="G37" s="110"/>
      <c r="H37" s="115">
        <v>0</v>
      </c>
      <c r="I37" s="115"/>
      <c r="J37" s="115">
        <v>2083.33</v>
      </c>
      <c r="K37" s="115"/>
      <c r="L37" s="115">
        <v>2083.33</v>
      </c>
      <c r="M37" s="115"/>
      <c r="N37" s="115">
        <v>2083.33</v>
      </c>
      <c r="O37" s="115"/>
      <c r="P37" s="115">
        <v>2083.33</v>
      </c>
      <c r="Q37" s="115"/>
      <c r="R37" s="115">
        <v>2083.33</v>
      </c>
      <c r="S37" s="115"/>
      <c r="T37" s="115">
        <f t="shared" si="4"/>
        <v>10416.65</v>
      </c>
      <c r="V37" s="116">
        <f t="shared" si="5"/>
        <v>20833.3</v>
      </c>
    </row>
    <row r="38" spans="1:22" x14ac:dyDescent="0.25">
      <c r="A38" s="110"/>
      <c r="B38" s="110"/>
      <c r="C38" s="110"/>
      <c r="D38" s="110"/>
      <c r="E38" s="110"/>
      <c r="F38" s="110" t="s">
        <v>36</v>
      </c>
      <c r="G38" s="110"/>
      <c r="H38" s="115">
        <v>0</v>
      </c>
      <c r="I38" s="115"/>
      <c r="J38" s="115">
        <v>99</v>
      </c>
      <c r="K38" s="115"/>
      <c r="L38" s="115">
        <v>225.78</v>
      </c>
      <c r="M38" s="115"/>
      <c r="N38" s="115">
        <v>0</v>
      </c>
      <c r="O38" s="115"/>
      <c r="P38" s="115">
        <v>78.260000000000005</v>
      </c>
      <c r="Q38" s="115"/>
      <c r="R38" s="115">
        <v>45.23</v>
      </c>
      <c r="S38" s="115"/>
      <c r="T38" s="115">
        <f t="shared" si="4"/>
        <v>448.27</v>
      </c>
      <c r="V38" s="116">
        <f t="shared" si="5"/>
        <v>896.54</v>
      </c>
    </row>
    <row r="39" spans="1:22" x14ac:dyDescent="0.25">
      <c r="A39" s="110"/>
      <c r="B39" s="110"/>
      <c r="C39" s="110"/>
      <c r="D39" s="110"/>
      <c r="E39" s="110"/>
      <c r="F39" s="110" t="s">
        <v>37</v>
      </c>
      <c r="G39" s="110"/>
      <c r="H39" s="115">
        <v>1586.25</v>
      </c>
      <c r="I39" s="115"/>
      <c r="J39" s="115">
        <v>937.5</v>
      </c>
      <c r="K39" s="115"/>
      <c r="L39" s="115">
        <v>337.5</v>
      </c>
      <c r="M39" s="115"/>
      <c r="N39" s="115">
        <v>750</v>
      </c>
      <c r="O39" s="115"/>
      <c r="P39" s="115">
        <v>862.5</v>
      </c>
      <c r="Q39" s="115"/>
      <c r="R39" s="115">
        <v>862.5</v>
      </c>
      <c r="S39" s="115"/>
      <c r="T39" s="115">
        <f t="shared" si="4"/>
        <v>5336.25</v>
      </c>
      <c r="V39" s="116">
        <f t="shared" si="5"/>
        <v>10672.5</v>
      </c>
    </row>
    <row r="40" spans="1:22" x14ac:dyDescent="0.25">
      <c r="A40" s="110"/>
      <c r="B40" s="110"/>
      <c r="C40" s="110"/>
      <c r="D40" s="110"/>
      <c r="E40" s="110"/>
      <c r="F40" s="110" t="s">
        <v>39</v>
      </c>
      <c r="G40" s="110"/>
      <c r="H40" s="115">
        <v>125.94</v>
      </c>
      <c r="I40" s="115"/>
      <c r="J40" s="115">
        <v>54.63</v>
      </c>
      <c r="K40" s="115"/>
      <c r="L40" s="115">
        <v>115.01</v>
      </c>
      <c r="M40" s="115"/>
      <c r="N40" s="115">
        <v>66.959999999999994</v>
      </c>
      <c r="O40" s="115"/>
      <c r="P40" s="115">
        <v>77.22</v>
      </c>
      <c r="Q40" s="115"/>
      <c r="R40" s="115">
        <v>195.48</v>
      </c>
      <c r="S40" s="115"/>
      <c r="T40" s="115">
        <f t="shared" si="4"/>
        <v>635.24</v>
      </c>
      <c r="V40" s="116">
        <f t="shared" si="5"/>
        <v>1270.48</v>
      </c>
    </row>
    <row r="41" spans="1:22" x14ac:dyDescent="0.25">
      <c r="A41" s="110"/>
      <c r="B41" s="110"/>
      <c r="C41" s="110"/>
      <c r="D41" s="110"/>
      <c r="E41" s="110"/>
      <c r="F41" s="110" t="s">
        <v>40</v>
      </c>
      <c r="G41" s="110"/>
      <c r="H41" s="115">
        <v>0</v>
      </c>
      <c r="I41" s="115"/>
      <c r="J41" s="115">
        <v>0</v>
      </c>
      <c r="K41" s="115"/>
      <c r="L41" s="115">
        <v>0</v>
      </c>
      <c r="M41" s="115"/>
      <c r="N41" s="115">
        <v>0</v>
      </c>
      <c r="O41" s="115"/>
      <c r="P41" s="115">
        <v>577</v>
      </c>
      <c r="Q41" s="115"/>
      <c r="R41" s="115">
        <v>0</v>
      </c>
      <c r="S41" s="115"/>
      <c r="T41" s="115">
        <f t="shared" si="4"/>
        <v>577</v>
      </c>
      <c r="V41" s="116">
        <f t="shared" si="5"/>
        <v>1154</v>
      </c>
    </row>
    <row r="42" spans="1:22" x14ac:dyDescent="0.25">
      <c r="A42" s="110"/>
      <c r="B42" s="110"/>
      <c r="C42" s="110"/>
      <c r="D42" s="110"/>
      <c r="E42" s="110"/>
      <c r="F42" s="110" t="s">
        <v>41</v>
      </c>
      <c r="G42" s="110"/>
      <c r="H42" s="115">
        <v>1771.35</v>
      </c>
      <c r="I42" s="115"/>
      <c r="J42" s="115">
        <v>170.32</v>
      </c>
      <c r="K42" s="115"/>
      <c r="L42" s="115">
        <v>269.89</v>
      </c>
      <c r="M42" s="115"/>
      <c r="N42" s="115">
        <v>271.02999999999997</v>
      </c>
      <c r="O42" s="115"/>
      <c r="P42" s="115">
        <v>372.06</v>
      </c>
      <c r="Q42" s="115"/>
      <c r="R42" s="115">
        <v>287.86</v>
      </c>
      <c r="S42" s="115"/>
      <c r="T42" s="115">
        <f t="shared" si="4"/>
        <v>3142.51</v>
      </c>
      <c r="V42" s="116">
        <f t="shared" si="5"/>
        <v>6285.02</v>
      </c>
    </row>
    <row r="43" spans="1:22" x14ac:dyDescent="0.25">
      <c r="A43" s="110"/>
      <c r="B43" s="110"/>
      <c r="C43" s="110"/>
      <c r="D43" s="110"/>
      <c r="E43" s="110"/>
      <c r="F43" s="110" t="s">
        <v>42</v>
      </c>
      <c r="G43" s="110"/>
      <c r="H43" s="115">
        <v>0</v>
      </c>
      <c r="I43" s="115"/>
      <c r="J43" s="115">
        <v>0</v>
      </c>
      <c r="K43" s="115"/>
      <c r="L43" s="115">
        <v>128.69</v>
      </c>
      <c r="M43" s="115"/>
      <c r="N43" s="115">
        <v>0</v>
      </c>
      <c r="O43" s="115"/>
      <c r="P43" s="115">
        <v>0</v>
      </c>
      <c r="Q43" s="115"/>
      <c r="R43" s="115">
        <v>0</v>
      </c>
      <c r="S43" s="115"/>
      <c r="T43" s="115">
        <f t="shared" si="4"/>
        <v>128.69</v>
      </c>
      <c r="V43" s="116">
        <f t="shared" si="5"/>
        <v>257.38</v>
      </c>
    </row>
    <row r="44" spans="1:22" x14ac:dyDescent="0.25">
      <c r="A44" s="110"/>
      <c r="B44" s="110"/>
      <c r="C44" s="110"/>
      <c r="D44" s="110"/>
      <c r="E44" s="110"/>
      <c r="F44" s="110" t="s">
        <v>43</v>
      </c>
      <c r="G44" s="110"/>
      <c r="H44" s="115">
        <v>6723.14</v>
      </c>
      <c r="I44" s="115"/>
      <c r="J44" s="115">
        <v>0</v>
      </c>
      <c r="K44" s="115"/>
      <c r="L44" s="115">
        <v>4715.4399999999996</v>
      </c>
      <c r="M44" s="115"/>
      <c r="N44" s="115">
        <v>2558.0500000000002</v>
      </c>
      <c r="O44" s="115"/>
      <c r="P44" s="115">
        <v>2701.52</v>
      </c>
      <c r="Q44" s="115"/>
      <c r="R44" s="115">
        <v>0</v>
      </c>
      <c r="S44" s="115"/>
      <c r="T44" s="115">
        <f t="shared" si="4"/>
        <v>16698.150000000001</v>
      </c>
      <c r="V44" s="116">
        <f t="shared" si="5"/>
        <v>33396.300000000003</v>
      </c>
    </row>
    <row r="45" spans="1:22" x14ac:dyDescent="0.25">
      <c r="A45" s="110"/>
      <c r="B45" s="110"/>
      <c r="C45" s="110"/>
      <c r="D45" s="110"/>
      <c r="E45" s="110"/>
      <c r="F45" s="110" t="s">
        <v>44</v>
      </c>
      <c r="G45" s="110"/>
      <c r="H45" s="115">
        <v>321.2</v>
      </c>
      <c r="I45" s="115"/>
      <c r="J45" s="115">
        <v>0</v>
      </c>
      <c r="K45" s="115"/>
      <c r="L45" s="115">
        <v>314.89</v>
      </c>
      <c r="M45" s="115"/>
      <c r="N45" s="115">
        <v>309.8</v>
      </c>
      <c r="O45" s="115"/>
      <c r="P45" s="115">
        <v>631.52</v>
      </c>
      <c r="Q45" s="115"/>
      <c r="R45" s="115">
        <v>295.66000000000003</v>
      </c>
      <c r="S45" s="115"/>
      <c r="T45" s="115">
        <f t="shared" si="4"/>
        <v>1873.07</v>
      </c>
      <c r="V45" s="116">
        <f t="shared" si="5"/>
        <v>3746.14</v>
      </c>
    </row>
    <row r="46" spans="1:22" x14ac:dyDescent="0.25">
      <c r="A46" s="110"/>
      <c r="B46" s="110"/>
      <c r="C46" s="110"/>
      <c r="D46" s="110"/>
      <c r="E46" s="110"/>
      <c r="F46" s="110" t="s">
        <v>45</v>
      </c>
      <c r="G46" s="110"/>
      <c r="H46" s="115">
        <v>0</v>
      </c>
      <c r="I46" s="115"/>
      <c r="J46" s="115">
        <v>0</v>
      </c>
      <c r="K46" s="115"/>
      <c r="L46" s="115">
        <v>0</v>
      </c>
      <c r="M46" s="115"/>
      <c r="N46" s="115">
        <v>0</v>
      </c>
      <c r="O46" s="115"/>
      <c r="P46" s="115">
        <v>671</v>
      </c>
      <c r="Q46" s="115"/>
      <c r="R46" s="115">
        <v>131</v>
      </c>
      <c r="S46" s="115"/>
      <c r="T46" s="115">
        <f t="shared" si="4"/>
        <v>802</v>
      </c>
      <c r="V46" s="116">
        <f t="shared" si="5"/>
        <v>1604</v>
      </c>
    </row>
    <row r="47" spans="1:22" x14ac:dyDescent="0.25">
      <c r="A47" s="110"/>
      <c r="B47" s="110"/>
      <c r="C47" s="110"/>
      <c r="D47" s="110"/>
      <c r="E47" s="110"/>
      <c r="F47" s="110" t="s">
        <v>46</v>
      </c>
      <c r="G47" s="110"/>
      <c r="H47" s="115">
        <v>220.47</v>
      </c>
      <c r="I47" s="115"/>
      <c r="J47" s="115">
        <v>748.85</v>
      </c>
      <c r="K47" s="115"/>
      <c r="L47" s="115">
        <v>1004.05</v>
      </c>
      <c r="M47" s="115"/>
      <c r="N47" s="115">
        <v>100.35</v>
      </c>
      <c r="O47" s="115"/>
      <c r="P47" s="115">
        <v>1698.77</v>
      </c>
      <c r="Q47" s="115"/>
      <c r="R47" s="115">
        <v>1336.86</v>
      </c>
      <c r="S47" s="115"/>
      <c r="T47" s="115">
        <f t="shared" si="4"/>
        <v>5109.3500000000004</v>
      </c>
      <c r="V47" s="116">
        <f t="shared" si="5"/>
        <v>10218.700000000001</v>
      </c>
    </row>
    <row r="48" spans="1:22" x14ac:dyDescent="0.25">
      <c r="A48" s="110"/>
      <c r="B48" s="110"/>
      <c r="C48" s="110"/>
      <c r="D48" s="110"/>
      <c r="E48" s="110"/>
      <c r="F48" s="110" t="s">
        <v>47</v>
      </c>
      <c r="G48" s="110"/>
      <c r="H48" s="115">
        <v>433.92</v>
      </c>
      <c r="I48" s="115"/>
      <c r="J48" s="115">
        <v>0</v>
      </c>
      <c r="K48" s="115"/>
      <c r="L48" s="115">
        <v>0</v>
      </c>
      <c r="M48" s="115"/>
      <c r="N48" s="115">
        <v>0</v>
      </c>
      <c r="O48" s="115"/>
      <c r="P48" s="115">
        <v>0</v>
      </c>
      <c r="Q48" s="115"/>
      <c r="R48" s="115">
        <v>0</v>
      </c>
      <c r="S48" s="115"/>
      <c r="T48" s="115">
        <f t="shared" si="4"/>
        <v>433.92</v>
      </c>
      <c r="V48" s="116">
        <f t="shared" si="5"/>
        <v>867.84</v>
      </c>
    </row>
    <row r="49" spans="1:22" x14ac:dyDescent="0.25">
      <c r="A49" s="110"/>
      <c r="B49" s="110"/>
      <c r="C49" s="110"/>
      <c r="D49" s="110"/>
      <c r="E49" s="110"/>
      <c r="F49" s="110" t="s">
        <v>48</v>
      </c>
      <c r="G49" s="110"/>
      <c r="H49" s="115">
        <v>1609.7</v>
      </c>
      <c r="I49" s="115"/>
      <c r="J49" s="115">
        <v>708.92</v>
      </c>
      <c r="K49" s="115"/>
      <c r="L49" s="115">
        <v>3798.69</v>
      </c>
      <c r="M49" s="115"/>
      <c r="N49" s="115">
        <v>4358.1899999999996</v>
      </c>
      <c r="O49" s="115"/>
      <c r="P49" s="115">
        <v>1399.29</v>
      </c>
      <c r="Q49" s="115"/>
      <c r="R49" s="115">
        <v>17888.75</v>
      </c>
      <c r="S49" s="115"/>
      <c r="T49" s="115">
        <f t="shared" si="4"/>
        <v>29763.54</v>
      </c>
      <c r="V49" s="116">
        <f t="shared" si="5"/>
        <v>59527.08</v>
      </c>
    </row>
    <row r="50" spans="1:22" x14ac:dyDescent="0.25">
      <c r="A50" s="110"/>
      <c r="B50" s="110"/>
      <c r="C50" s="110"/>
      <c r="D50" s="110"/>
      <c r="E50" s="110"/>
      <c r="F50" s="110" t="s">
        <v>52</v>
      </c>
      <c r="G50" s="110"/>
      <c r="H50" s="115">
        <v>451.29</v>
      </c>
      <c r="I50" s="115"/>
      <c r="J50" s="115">
        <v>233.28</v>
      </c>
      <c r="K50" s="115"/>
      <c r="L50" s="115">
        <v>544.5</v>
      </c>
      <c r="M50" s="115"/>
      <c r="N50" s="115">
        <v>81.97</v>
      </c>
      <c r="O50" s="115"/>
      <c r="P50" s="115">
        <v>310.18</v>
      </c>
      <c r="Q50" s="115"/>
      <c r="R50" s="115">
        <v>282.97000000000003</v>
      </c>
      <c r="S50" s="115"/>
      <c r="T50" s="115">
        <f t="shared" si="4"/>
        <v>1904.19</v>
      </c>
      <c r="V50" s="116">
        <f t="shared" si="5"/>
        <v>3808.38</v>
      </c>
    </row>
    <row r="51" spans="1:22" x14ac:dyDescent="0.25">
      <c r="A51" s="110"/>
      <c r="B51" s="110"/>
      <c r="C51" s="110"/>
      <c r="D51" s="110"/>
      <c r="E51" s="110"/>
      <c r="F51" s="110" t="s">
        <v>53</v>
      </c>
      <c r="G51" s="110"/>
      <c r="H51" s="115">
        <v>175</v>
      </c>
      <c r="I51" s="115"/>
      <c r="J51" s="115">
        <v>0</v>
      </c>
      <c r="K51" s="115"/>
      <c r="L51" s="115">
        <v>0</v>
      </c>
      <c r="M51" s="115"/>
      <c r="N51" s="115">
        <v>669.94</v>
      </c>
      <c r="O51" s="115"/>
      <c r="P51" s="115">
        <v>325</v>
      </c>
      <c r="Q51" s="115"/>
      <c r="R51" s="115">
        <v>0</v>
      </c>
      <c r="S51" s="115"/>
      <c r="T51" s="115">
        <f t="shared" si="4"/>
        <v>1169.94</v>
      </c>
      <c r="V51" s="116">
        <f t="shared" si="5"/>
        <v>2339.88</v>
      </c>
    </row>
    <row r="52" spans="1:22" x14ac:dyDescent="0.25">
      <c r="A52" s="110"/>
      <c r="B52" s="110"/>
      <c r="C52" s="110"/>
      <c r="D52" s="110"/>
      <c r="E52" s="110"/>
      <c r="F52" s="110" t="s">
        <v>54</v>
      </c>
      <c r="G52" s="110"/>
      <c r="H52" s="115">
        <v>267.91000000000003</v>
      </c>
      <c r="I52" s="115"/>
      <c r="J52" s="115">
        <v>66</v>
      </c>
      <c r="K52" s="115"/>
      <c r="L52" s="115">
        <v>468.41</v>
      </c>
      <c r="M52" s="115"/>
      <c r="N52" s="115">
        <v>267.41000000000003</v>
      </c>
      <c r="O52" s="115"/>
      <c r="P52" s="115">
        <v>592.29999999999995</v>
      </c>
      <c r="Q52" s="115"/>
      <c r="R52" s="115">
        <v>332.38</v>
      </c>
      <c r="S52" s="115"/>
      <c r="T52" s="115">
        <f t="shared" si="4"/>
        <v>1994.41</v>
      </c>
      <c r="V52" s="116">
        <f t="shared" si="5"/>
        <v>3988.82</v>
      </c>
    </row>
    <row r="53" spans="1:22" x14ac:dyDescent="0.25">
      <c r="A53" s="110"/>
      <c r="B53" s="110"/>
      <c r="C53" s="110"/>
      <c r="D53" s="110"/>
      <c r="E53" s="110"/>
      <c r="F53" s="110" t="s">
        <v>236</v>
      </c>
      <c r="G53" s="110"/>
      <c r="H53" s="115">
        <v>0</v>
      </c>
      <c r="I53" s="115"/>
      <c r="J53" s="115">
        <v>0</v>
      </c>
      <c r="K53" s="115"/>
      <c r="L53" s="115">
        <v>0</v>
      </c>
      <c r="M53" s="115"/>
      <c r="N53" s="115">
        <v>0</v>
      </c>
      <c r="O53" s="115"/>
      <c r="P53" s="115">
        <v>0</v>
      </c>
      <c r="Q53" s="115"/>
      <c r="R53" s="115">
        <v>4476.0200000000004</v>
      </c>
      <c r="S53" s="115"/>
      <c r="T53" s="115">
        <f t="shared" si="4"/>
        <v>4476.0200000000004</v>
      </c>
      <c r="V53" s="116">
        <f t="shared" si="5"/>
        <v>8952.0400000000009</v>
      </c>
    </row>
    <row r="54" spans="1:22" x14ac:dyDescent="0.25">
      <c r="A54" s="110"/>
      <c r="B54" s="110"/>
      <c r="C54" s="110"/>
      <c r="D54" s="110"/>
      <c r="E54" s="110"/>
      <c r="F54" s="110" t="s">
        <v>55</v>
      </c>
      <c r="G54" s="110"/>
      <c r="H54" s="115">
        <v>102.05</v>
      </c>
      <c r="I54" s="115"/>
      <c r="J54" s="115">
        <v>1826.78</v>
      </c>
      <c r="K54" s="115"/>
      <c r="L54" s="115">
        <v>1925.57</v>
      </c>
      <c r="M54" s="115"/>
      <c r="N54" s="115">
        <v>649.64</v>
      </c>
      <c r="O54" s="115"/>
      <c r="P54" s="115">
        <v>963.28</v>
      </c>
      <c r="Q54" s="115"/>
      <c r="R54" s="115">
        <v>1022.16</v>
      </c>
      <c r="S54" s="115"/>
      <c r="T54" s="115">
        <f t="shared" si="4"/>
        <v>6489.48</v>
      </c>
      <c r="V54" s="116">
        <f t="shared" si="5"/>
        <v>12978.96</v>
      </c>
    </row>
    <row r="55" spans="1:22" x14ac:dyDescent="0.25">
      <c r="A55" s="110"/>
      <c r="B55" s="110"/>
      <c r="C55" s="110"/>
      <c r="D55" s="110"/>
      <c r="E55" s="110"/>
      <c r="F55" s="110" t="s">
        <v>56</v>
      </c>
      <c r="G55" s="110"/>
      <c r="H55" s="115">
        <v>0</v>
      </c>
      <c r="I55" s="115"/>
      <c r="J55" s="115">
        <v>7723.33</v>
      </c>
      <c r="K55" s="115"/>
      <c r="L55" s="115">
        <v>7715.68</v>
      </c>
      <c r="M55" s="115"/>
      <c r="N55" s="115">
        <v>2292.06</v>
      </c>
      <c r="O55" s="115"/>
      <c r="P55" s="115">
        <v>2549.59</v>
      </c>
      <c r="Q55" s="115"/>
      <c r="R55" s="115">
        <v>615.28</v>
      </c>
      <c r="S55" s="115"/>
      <c r="T55" s="115">
        <f t="shared" si="4"/>
        <v>20895.939999999999</v>
      </c>
      <c r="V55" s="116">
        <f t="shared" si="5"/>
        <v>41791.879999999997</v>
      </c>
    </row>
    <row r="56" spans="1:22" x14ac:dyDescent="0.25">
      <c r="A56" s="110"/>
      <c r="B56" s="110"/>
      <c r="C56" s="110"/>
      <c r="D56" s="110"/>
      <c r="E56" s="110"/>
      <c r="F56" s="110" t="s">
        <v>57</v>
      </c>
      <c r="G56" s="110"/>
      <c r="H56" s="115">
        <v>0</v>
      </c>
      <c r="I56" s="115"/>
      <c r="J56" s="115">
        <v>0</v>
      </c>
      <c r="K56" s="115"/>
      <c r="L56" s="115">
        <v>0</v>
      </c>
      <c r="M56" s="115"/>
      <c r="N56" s="115">
        <v>0</v>
      </c>
      <c r="O56" s="115"/>
      <c r="P56" s="115">
        <v>0</v>
      </c>
      <c r="Q56" s="115"/>
      <c r="R56" s="115">
        <v>11099.95</v>
      </c>
      <c r="S56" s="115"/>
      <c r="T56" s="115">
        <f t="shared" si="4"/>
        <v>11099.95</v>
      </c>
      <c r="V56" s="116">
        <f t="shared" si="5"/>
        <v>22199.9</v>
      </c>
    </row>
    <row r="57" spans="1:22" ht="16.5" thickBot="1" x14ac:dyDescent="0.3">
      <c r="A57" s="110"/>
      <c r="B57" s="110"/>
      <c r="C57" s="110"/>
      <c r="D57" s="110"/>
      <c r="E57" s="110"/>
      <c r="F57" s="110" t="s">
        <v>58</v>
      </c>
      <c r="G57" s="110"/>
      <c r="H57" s="119">
        <v>148.44</v>
      </c>
      <c r="I57" s="115"/>
      <c r="J57" s="119">
        <v>64.680000000000007</v>
      </c>
      <c r="K57" s="115"/>
      <c r="L57" s="119">
        <v>62.46</v>
      </c>
      <c r="M57" s="115"/>
      <c r="N57" s="119">
        <v>32.61</v>
      </c>
      <c r="O57" s="115"/>
      <c r="P57" s="119">
        <v>0</v>
      </c>
      <c r="Q57" s="115"/>
      <c r="R57" s="119">
        <v>0</v>
      </c>
      <c r="S57" s="115"/>
      <c r="T57" s="119">
        <f t="shared" si="4"/>
        <v>308.19</v>
      </c>
      <c r="V57" s="116">
        <f t="shared" si="5"/>
        <v>616.38</v>
      </c>
    </row>
    <row r="58" spans="1:22" x14ac:dyDescent="0.25">
      <c r="A58" s="110"/>
      <c r="B58" s="110"/>
      <c r="C58" s="110"/>
      <c r="D58" s="110"/>
      <c r="E58" s="110" t="s">
        <v>59</v>
      </c>
      <c r="F58" s="110"/>
      <c r="G58" s="110"/>
      <c r="H58" s="115">
        <f>ROUND(SUM(H35:H57),5)</f>
        <v>13936.66</v>
      </c>
      <c r="I58" s="115"/>
      <c r="J58" s="115">
        <f>ROUND(SUM(J35:J57),5)</f>
        <v>15063.36</v>
      </c>
      <c r="K58" s="115"/>
      <c r="L58" s="115">
        <f>ROUND(SUM(L35:L57),5)</f>
        <v>23709.89</v>
      </c>
      <c r="M58" s="115"/>
      <c r="N58" s="115">
        <f>ROUND(SUM(N35:N57),5)</f>
        <v>14491.34</v>
      </c>
      <c r="O58" s="115"/>
      <c r="P58" s="115">
        <f>ROUND(SUM(P35:P57),5)</f>
        <v>15892.82</v>
      </c>
      <c r="Q58" s="115"/>
      <c r="R58" s="115">
        <f>ROUND(SUM(R35:R57),5)</f>
        <v>40955.43</v>
      </c>
      <c r="S58" s="115"/>
      <c r="T58" s="115">
        <f t="shared" si="4"/>
        <v>124049.5</v>
      </c>
      <c r="V58" s="115">
        <f>ROUND(SUM(V35:V57),5)</f>
        <v>248099</v>
      </c>
    </row>
    <row r="59" spans="1:22" x14ac:dyDescent="0.25">
      <c r="A59" s="110"/>
      <c r="B59" s="110"/>
      <c r="C59" s="110"/>
      <c r="D59" s="110"/>
      <c r="E59" s="110" t="s">
        <v>60</v>
      </c>
      <c r="F59" s="110"/>
      <c r="G59" s="110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</row>
    <row r="60" spans="1:22" ht="16.5" thickBot="1" x14ac:dyDescent="0.3">
      <c r="A60" s="110"/>
      <c r="B60" s="110"/>
      <c r="C60" s="110"/>
      <c r="D60" s="110"/>
      <c r="E60" s="110"/>
      <c r="F60" s="110" t="s">
        <v>62</v>
      </c>
      <c r="G60" s="110"/>
      <c r="H60" s="119">
        <v>1911.84</v>
      </c>
      <c r="I60" s="115"/>
      <c r="J60" s="119">
        <v>2518</v>
      </c>
      <c r="K60" s="115"/>
      <c r="L60" s="119">
        <v>3489.7</v>
      </c>
      <c r="M60" s="115"/>
      <c r="N60" s="119">
        <v>2750.75</v>
      </c>
      <c r="O60" s="115"/>
      <c r="P60" s="119">
        <v>0</v>
      </c>
      <c r="Q60" s="115"/>
      <c r="R60" s="119">
        <v>863.4</v>
      </c>
      <c r="S60" s="115"/>
      <c r="T60" s="119">
        <f t="shared" ref="T60:T65" si="6">ROUND(SUM(H60:R60),5)</f>
        <v>11533.69</v>
      </c>
      <c r="V60" s="116">
        <f>ROUND((T60*2),2)</f>
        <v>23067.38</v>
      </c>
    </row>
    <row r="61" spans="1:22" x14ac:dyDescent="0.25">
      <c r="A61" s="110"/>
      <c r="B61" s="110"/>
      <c r="C61" s="110"/>
      <c r="D61" s="110"/>
      <c r="E61" s="110" t="s">
        <v>65</v>
      </c>
      <c r="F61" s="110"/>
      <c r="G61" s="110"/>
      <c r="H61" s="115">
        <f>ROUND(SUM(H59:H60),5)</f>
        <v>1911.84</v>
      </c>
      <c r="I61" s="115"/>
      <c r="J61" s="115">
        <f>ROUND(SUM(J59:J60),5)</f>
        <v>2518</v>
      </c>
      <c r="K61" s="115"/>
      <c r="L61" s="115">
        <f>ROUND(SUM(L59:L60),5)</f>
        <v>3489.7</v>
      </c>
      <c r="M61" s="115"/>
      <c r="N61" s="115">
        <f>ROUND(SUM(N59:N60),5)</f>
        <v>2750.75</v>
      </c>
      <c r="O61" s="115"/>
      <c r="P61" s="115">
        <f>ROUND(SUM(P59:P60),5)</f>
        <v>0</v>
      </c>
      <c r="Q61" s="115"/>
      <c r="R61" s="115">
        <f>ROUND(SUM(R59:R60),5)</f>
        <v>863.4</v>
      </c>
      <c r="S61" s="115"/>
      <c r="T61" s="115">
        <f t="shared" si="6"/>
        <v>11533.69</v>
      </c>
      <c r="V61" s="115">
        <f>ROUND(SUM(V59:V60),5)</f>
        <v>23067.38</v>
      </c>
    </row>
    <row r="62" spans="1:22" ht="16.5" thickBot="1" x14ac:dyDescent="0.3">
      <c r="A62" s="110"/>
      <c r="B62" s="110"/>
      <c r="C62" s="110"/>
      <c r="D62" s="110"/>
      <c r="E62" s="110" t="s">
        <v>292</v>
      </c>
      <c r="F62" s="110"/>
      <c r="G62" s="110"/>
      <c r="H62" s="115">
        <v>0</v>
      </c>
      <c r="I62" s="115"/>
      <c r="J62" s="115">
        <v>70</v>
      </c>
      <c r="K62" s="115"/>
      <c r="L62" s="115">
        <v>0</v>
      </c>
      <c r="M62" s="115"/>
      <c r="N62" s="115">
        <v>0</v>
      </c>
      <c r="O62" s="115"/>
      <c r="P62" s="115">
        <v>0</v>
      </c>
      <c r="Q62" s="115"/>
      <c r="R62" s="115">
        <v>0</v>
      </c>
      <c r="S62" s="115"/>
      <c r="T62" s="115">
        <f t="shared" si="6"/>
        <v>70</v>
      </c>
    </row>
    <row r="63" spans="1:22" ht="16.5" thickBot="1" x14ac:dyDescent="0.3">
      <c r="A63" s="110"/>
      <c r="B63" s="110"/>
      <c r="C63" s="110"/>
      <c r="D63" s="110" t="s">
        <v>276</v>
      </c>
      <c r="E63" s="110"/>
      <c r="F63" s="110"/>
      <c r="G63" s="110"/>
      <c r="H63" s="120">
        <f>ROUND(H17+H34+H58+SUM(H61:H62),5)</f>
        <v>74753.58</v>
      </c>
      <c r="I63" s="115"/>
      <c r="J63" s="120">
        <f>ROUND(J17+J34+J58+SUM(J61:J62),5)</f>
        <v>46117.85</v>
      </c>
      <c r="K63" s="115"/>
      <c r="L63" s="120">
        <f>ROUND(L17+L34+L58+SUM(L61:L62),5)</f>
        <v>63433.93</v>
      </c>
      <c r="M63" s="115"/>
      <c r="N63" s="120">
        <f>ROUND(N17+N34+N58+SUM(N61:N62),5)</f>
        <v>53575.74</v>
      </c>
      <c r="O63" s="115"/>
      <c r="P63" s="120">
        <f>ROUND(P17+P34+P58+SUM(P61:P62),5)</f>
        <v>46879.65</v>
      </c>
      <c r="Q63" s="115"/>
      <c r="R63" s="120">
        <f>ROUND(R17+R34+R58+SUM(R61:R62),5)</f>
        <v>79344.47</v>
      </c>
      <c r="S63" s="115"/>
      <c r="T63" s="120">
        <f t="shared" si="6"/>
        <v>364105.22</v>
      </c>
    </row>
    <row r="64" spans="1:22" ht="16.5" thickBot="1" x14ac:dyDescent="0.3">
      <c r="A64" s="110"/>
      <c r="B64" s="110" t="s">
        <v>277</v>
      </c>
      <c r="C64" s="110"/>
      <c r="D64" s="110"/>
      <c r="E64" s="110"/>
      <c r="F64" s="110"/>
      <c r="G64" s="110"/>
      <c r="H64" s="120">
        <f>ROUND(H2+H16-H63,5)</f>
        <v>-58961.64</v>
      </c>
      <c r="I64" s="115"/>
      <c r="J64" s="120">
        <f>ROUND(J2+J16-J63,5)</f>
        <v>145384.15</v>
      </c>
      <c r="K64" s="115"/>
      <c r="L64" s="120">
        <f>ROUND(L2+L16-L63,5)</f>
        <v>141641.84</v>
      </c>
      <c r="M64" s="115"/>
      <c r="N64" s="120">
        <f>ROUND(N2+N16-N63,5)</f>
        <v>14783.49</v>
      </c>
      <c r="O64" s="115"/>
      <c r="P64" s="120">
        <f>ROUND(P2+P16-P63,5)</f>
        <v>54503.199999999997</v>
      </c>
      <c r="Q64" s="115"/>
      <c r="R64" s="120">
        <f>ROUND(R2+R16-R63,5)</f>
        <v>23912.67</v>
      </c>
      <c r="S64" s="115"/>
      <c r="T64" s="120">
        <f t="shared" si="6"/>
        <v>321263.71000000002</v>
      </c>
    </row>
    <row r="65" spans="1:22" s="111" customFormat="1" ht="16.5" thickBot="1" x14ac:dyDescent="0.3">
      <c r="A65" s="110" t="s">
        <v>283</v>
      </c>
      <c r="B65" s="110"/>
      <c r="C65" s="110"/>
      <c r="D65" s="110"/>
      <c r="E65" s="110"/>
      <c r="F65" s="110"/>
      <c r="G65" s="110"/>
      <c r="H65" s="121">
        <f>H64</f>
        <v>-58961.64</v>
      </c>
      <c r="I65" s="122"/>
      <c r="J65" s="121">
        <f>J64</f>
        <v>145384.15</v>
      </c>
      <c r="K65" s="122"/>
      <c r="L65" s="121">
        <f>L64</f>
        <v>141641.84</v>
      </c>
      <c r="M65" s="122"/>
      <c r="N65" s="121">
        <f>N64</f>
        <v>14783.49</v>
      </c>
      <c r="O65" s="122"/>
      <c r="P65" s="121">
        <f>P64</f>
        <v>54503.199999999997</v>
      </c>
      <c r="Q65" s="122"/>
      <c r="R65" s="121">
        <f>R64</f>
        <v>23912.67</v>
      </c>
      <c r="S65" s="122"/>
      <c r="T65" s="121">
        <f t="shared" si="6"/>
        <v>321263.71000000002</v>
      </c>
      <c r="U65" s="122"/>
      <c r="V65" s="122"/>
    </row>
    <row r="66" spans="1:22" ht="16.5" thickTop="1" x14ac:dyDescent="0.25"/>
  </sheetData>
  <phoneticPr fontId="19" type="noConversion"/>
  <pageMargins left="0.7" right="0.7" top="0.75" bottom="0.75" header="0.1" footer="0.3"/>
  <pageSetup scale="66" fitToHeight="0" orientation="portrait" r:id="rId1"/>
  <headerFooter>
    <oddHeader>&amp;L&amp;"Arial,Bold"&amp;8 10:37 AM
&amp;"Arial,Bold"&amp;8 04/14/16
&amp;"Arial,Bold"&amp;8 Accrual Basis&amp;C&amp;"Arial,Bold"&amp;12 Flagler Estates Road and Water Control District
&amp;"Arial,Bold"&amp;14 Profit &amp;&amp; Loss
&amp;"Arial,Bold"&amp;10 October 2015 through March 2016</oddHeader>
    <oddFooter>&amp;R&amp;"Arial,Bold"&amp;8 Page &amp;P of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>
    <pageSetUpPr fitToPage="1"/>
  </sheetPr>
  <dimension ref="A1:AF21"/>
  <sheetViews>
    <sheetView workbookViewId="0">
      <pane xSplit="4" ySplit="1" topLeftCell="E2" activePane="bottomRight" state="frozenSplit"/>
      <selection activeCell="N26" sqref="N26"/>
      <selection pane="topRight" activeCell="N26" sqref="N26"/>
      <selection pane="bottomLeft" activeCell="N26" sqref="N26"/>
      <selection pane="bottomRight" activeCell="AF10" sqref="AF10"/>
    </sheetView>
  </sheetViews>
  <sheetFormatPr defaultRowHeight="15" x14ac:dyDescent="0.25"/>
  <cols>
    <col min="1" max="3" width="3" style="105" customWidth="1"/>
    <col min="4" max="4" width="30" style="105" customWidth="1"/>
    <col min="5" max="5" width="6.140625" bestFit="1" customWidth="1"/>
    <col min="6" max="6" width="2.28515625" customWidth="1"/>
    <col min="7" max="7" width="7" bestFit="1" customWidth="1"/>
    <col min="8" max="8" width="2.28515625" customWidth="1"/>
    <col min="9" max="9" width="9.28515625" bestFit="1" customWidth="1"/>
    <col min="10" max="10" width="2.28515625" customWidth="1"/>
    <col min="11" max="11" width="7.85546875" bestFit="1" customWidth="1"/>
    <col min="12" max="12" width="2.28515625" customWidth="1"/>
    <col min="13" max="13" width="7.85546875" bestFit="1" customWidth="1"/>
    <col min="14" max="14" width="2.28515625" customWidth="1"/>
    <col min="15" max="15" width="7.85546875" bestFit="1" customWidth="1"/>
    <col min="16" max="16" width="2.28515625" customWidth="1"/>
    <col min="17" max="17" width="7.85546875" bestFit="1" customWidth="1"/>
    <col min="18" max="18" width="2.28515625" customWidth="1"/>
    <col min="19" max="19" width="7.85546875" bestFit="1" customWidth="1"/>
    <col min="20" max="20" width="2.28515625" customWidth="1"/>
    <col min="21" max="21" width="6.28515625" bestFit="1" customWidth="1"/>
    <col min="22" max="22" width="2.28515625" customWidth="1"/>
    <col min="23" max="23" width="7.85546875" bestFit="1" customWidth="1"/>
    <col min="24" max="24" width="2.28515625" customWidth="1"/>
    <col min="25" max="25" width="7.5703125" bestFit="1" customWidth="1"/>
    <col min="26" max="26" width="2.28515625" customWidth="1"/>
    <col min="27" max="27" width="6.28515625" bestFit="1" customWidth="1"/>
    <col min="28" max="28" width="2.28515625" customWidth="1"/>
    <col min="29" max="29" width="9.28515625" bestFit="1" customWidth="1"/>
    <col min="30" max="30" width="2.28515625" customWidth="1"/>
    <col min="31" max="31" width="9.28515625" bestFit="1" customWidth="1"/>
  </cols>
  <sheetData>
    <row r="1" spans="1:32" s="28" customFormat="1" ht="15.75" thickBot="1" x14ac:dyDescent="0.3">
      <c r="A1" s="106"/>
      <c r="B1" s="106"/>
      <c r="C1" s="106"/>
      <c r="D1" s="106"/>
      <c r="E1" s="107" t="s">
        <v>258</v>
      </c>
      <c r="F1" s="108"/>
      <c r="G1" s="107" t="s">
        <v>259</v>
      </c>
      <c r="H1" s="108"/>
      <c r="I1" s="107" t="s">
        <v>260</v>
      </c>
      <c r="J1" s="108"/>
      <c r="K1" s="107" t="s">
        <v>261</v>
      </c>
      <c r="L1" s="108"/>
      <c r="M1" s="107" t="s">
        <v>262</v>
      </c>
      <c r="N1" s="108"/>
      <c r="O1" s="107" t="s">
        <v>263</v>
      </c>
      <c r="P1" s="108"/>
      <c r="Q1" s="107" t="s">
        <v>264</v>
      </c>
      <c r="R1" s="108"/>
      <c r="S1" s="107" t="s">
        <v>265</v>
      </c>
      <c r="T1" s="108"/>
      <c r="U1" s="107" t="s">
        <v>266</v>
      </c>
      <c r="V1" s="108"/>
      <c r="W1" s="107" t="s">
        <v>267</v>
      </c>
      <c r="X1" s="108"/>
      <c r="Y1" s="107" t="s">
        <v>268</v>
      </c>
      <c r="Z1" s="108"/>
      <c r="AA1" s="107" t="s">
        <v>269</v>
      </c>
      <c r="AB1" s="108"/>
      <c r="AC1" s="107" t="s">
        <v>270</v>
      </c>
      <c r="AD1" s="108"/>
      <c r="AE1" s="107" t="s">
        <v>271</v>
      </c>
    </row>
    <row r="2" spans="1:32" ht="15.75" thickTop="1" x14ac:dyDescent="0.25">
      <c r="A2" s="98"/>
      <c r="B2" s="98" t="s">
        <v>272</v>
      </c>
      <c r="C2" s="98"/>
      <c r="D2" s="98"/>
      <c r="E2" s="99"/>
      <c r="F2" s="100"/>
      <c r="G2" s="99"/>
      <c r="H2" s="100"/>
      <c r="I2" s="99"/>
      <c r="J2" s="100"/>
      <c r="K2" s="99"/>
      <c r="L2" s="100"/>
      <c r="M2" s="99"/>
      <c r="N2" s="100"/>
      <c r="O2" s="99"/>
      <c r="P2" s="100"/>
      <c r="Q2" s="99"/>
      <c r="R2" s="100"/>
      <c r="S2" s="99"/>
      <c r="T2" s="100"/>
      <c r="U2" s="99"/>
      <c r="V2" s="100"/>
      <c r="W2" s="99"/>
      <c r="X2" s="100"/>
      <c r="Y2" s="99"/>
      <c r="Z2" s="100"/>
      <c r="AA2" s="99"/>
      <c r="AB2" s="100"/>
      <c r="AC2" s="99"/>
      <c r="AD2" s="100"/>
      <c r="AE2" s="99"/>
    </row>
    <row r="3" spans="1:32" x14ac:dyDescent="0.25">
      <c r="A3" s="98"/>
      <c r="B3" s="98"/>
      <c r="C3" s="98" t="s">
        <v>273</v>
      </c>
      <c r="D3" s="98"/>
      <c r="E3" s="99"/>
      <c r="F3" s="100"/>
      <c r="G3" s="99"/>
      <c r="H3" s="100"/>
      <c r="I3" s="99"/>
      <c r="J3" s="100"/>
      <c r="K3" s="99"/>
      <c r="L3" s="100"/>
      <c r="M3" s="99"/>
      <c r="N3" s="100"/>
      <c r="O3" s="99"/>
      <c r="P3" s="100"/>
      <c r="Q3" s="99"/>
      <c r="R3" s="100"/>
      <c r="S3" s="99"/>
      <c r="T3" s="100"/>
      <c r="U3" s="99"/>
      <c r="V3" s="100"/>
      <c r="W3" s="99"/>
      <c r="X3" s="100"/>
      <c r="Y3" s="99"/>
      <c r="Z3" s="100"/>
      <c r="AA3" s="99"/>
      <c r="AB3" s="100"/>
      <c r="AC3" s="99"/>
      <c r="AD3" s="100"/>
      <c r="AE3" s="99"/>
    </row>
    <row r="4" spans="1:32" x14ac:dyDescent="0.25">
      <c r="A4" s="98"/>
      <c r="B4" s="98"/>
      <c r="C4" s="98"/>
      <c r="D4" s="98" t="s">
        <v>141</v>
      </c>
      <c r="E4" s="99">
        <v>0</v>
      </c>
      <c r="F4" s="100"/>
      <c r="G4" s="99">
        <v>2805.7</v>
      </c>
      <c r="H4" s="100"/>
      <c r="I4" s="99">
        <v>54882.84</v>
      </c>
      <c r="J4" s="100"/>
      <c r="K4" s="99">
        <v>73845.919999999998</v>
      </c>
      <c r="L4" s="100"/>
      <c r="M4" s="99">
        <v>30573.360000000001</v>
      </c>
      <c r="N4" s="100"/>
      <c r="O4" s="99">
        <v>14701.92</v>
      </c>
      <c r="P4" s="100"/>
      <c r="Q4" s="99">
        <v>15984.75</v>
      </c>
      <c r="R4" s="100"/>
      <c r="S4" s="99">
        <v>25893.23</v>
      </c>
      <c r="T4" s="100"/>
      <c r="U4" s="99">
        <v>0</v>
      </c>
      <c r="V4" s="100"/>
      <c r="W4" s="99">
        <v>28483.66</v>
      </c>
      <c r="X4" s="100"/>
      <c r="Y4" s="99">
        <v>3596.22</v>
      </c>
      <c r="Z4" s="100"/>
      <c r="AA4" s="99">
        <v>0</v>
      </c>
      <c r="AB4" s="100"/>
      <c r="AC4" s="99">
        <v>0</v>
      </c>
      <c r="AD4" s="100"/>
      <c r="AE4" s="99">
        <f>ROUND(SUM(E4:AC4),5)</f>
        <v>250767.6</v>
      </c>
    </row>
    <row r="5" spans="1:32" ht="15.75" thickBot="1" x14ac:dyDescent="0.3">
      <c r="A5" s="98"/>
      <c r="B5" s="98"/>
      <c r="C5" s="98"/>
      <c r="D5" s="98" t="s">
        <v>200</v>
      </c>
      <c r="E5" s="101">
        <v>22.78</v>
      </c>
      <c r="F5" s="100"/>
      <c r="G5" s="101">
        <v>23.55</v>
      </c>
      <c r="H5" s="100"/>
      <c r="I5" s="101">
        <v>19.13</v>
      </c>
      <c r="J5" s="100"/>
      <c r="K5" s="101">
        <v>17.649999999999999</v>
      </c>
      <c r="L5" s="100"/>
      <c r="M5" s="101">
        <v>20.29</v>
      </c>
      <c r="N5" s="100"/>
      <c r="O5" s="101">
        <v>20.21</v>
      </c>
      <c r="P5" s="100"/>
      <c r="Q5" s="101">
        <v>23.54</v>
      </c>
      <c r="R5" s="100"/>
      <c r="S5" s="101">
        <v>23.43</v>
      </c>
      <c r="T5" s="100"/>
      <c r="U5" s="101">
        <v>25.39</v>
      </c>
      <c r="V5" s="100"/>
      <c r="W5" s="101">
        <v>24.93</v>
      </c>
      <c r="X5" s="100"/>
      <c r="Y5" s="101">
        <v>26.23</v>
      </c>
      <c r="Z5" s="100"/>
      <c r="AA5" s="101">
        <v>27.04</v>
      </c>
      <c r="AB5" s="100"/>
      <c r="AC5" s="101">
        <v>0</v>
      </c>
      <c r="AD5" s="100"/>
      <c r="AE5" s="101">
        <f>ROUND(SUM(E5:AC5),5)</f>
        <v>274.17</v>
      </c>
    </row>
    <row r="6" spans="1:32" x14ac:dyDescent="0.25">
      <c r="A6" s="98"/>
      <c r="B6" s="98"/>
      <c r="C6" s="98" t="s">
        <v>274</v>
      </c>
      <c r="D6" s="98"/>
      <c r="E6" s="99">
        <f>ROUND(SUM(E3:E5),5)</f>
        <v>22.78</v>
      </c>
      <c r="F6" s="100"/>
      <c r="G6" s="99">
        <f>ROUND(SUM(G3:G5),5)</f>
        <v>2829.25</v>
      </c>
      <c r="H6" s="100"/>
      <c r="I6" s="99">
        <f>ROUND(SUM(I3:I5),5)</f>
        <v>54901.97</v>
      </c>
      <c r="J6" s="100"/>
      <c r="K6" s="99">
        <f>ROUND(SUM(K3:K5),5)</f>
        <v>73863.570000000007</v>
      </c>
      <c r="L6" s="100"/>
      <c r="M6" s="99">
        <f>ROUND(SUM(M3:M5),5)</f>
        <v>30593.65</v>
      </c>
      <c r="N6" s="100"/>
      <c r="O6" s="99">
        <f>ROUND(SUM(O3:O5),5)</f>
        <v>14722.13</v>
      </c>
      <c r="P6" s="100"/>
      <c r="Q6" s="99">
        <f>ROUND(SUM(Q3:Q5),5)</f>
        <v>16008.29</v>
      </c>
      <c r="R6" s="100"/>
      <c r="S6" s="99">
        <f>ROUND(SUM(S3:S5),5)</f>
        <v>25916.66</v>
      </c>
      <c r="T6" s="100"/>
      <c r="U6" s="99">
        <f>ROUND(SUM(U3:U5),5)</f>
        <v>25.39</v>
      </c>
      <c r="V6" s="100"/>
      <c r="W6" s="99">
        <f>ROUND(SUM(W3:W5),5)</f>
        <v>28508.59</v>
      </c>
      <c r="X6" s="100"/>
      <c r="Y6" s="99">
        <f>ROUND(SUM(Y3:Y5),5)</f>
        <v>3622.45</v>
      </c>
      <c r="Z6" s="100"/>
      <c r="AA6" s="99">
        <f>ROUND(SUM(AA3:AA5),5)</f>
        <v>27.04</v>
      </c>
      <c r="AB6" s="100"/>
      <c r="AC6" s="99">
        <f>ROUND(SUM(AC3:AC5),5)</f>
        <v>0</v>
      </c>
      <c r="AD6" s="100"/>
      <c r="AE6" s="99">
        <f>ROUND(SUM(E6:AC6),5)</f>
        <v>251041.77</v>
      </c>
    </row>
    <row r="7" spans="1:32" ht="30" customHeight="1" x14ac:dyDescent="0.25">
      <c r="A7" s="98"/>
      <c r="B7" s="98"/>
      <c r="C7" s="98" t="s">
        <v>275</v>
      </c>
      <c r="D7" s="98"/>
      <c r="E7" s="99"/>
      <c r="F7" s="100"/>
      <c r="G7" s="99"/>
      <c r="H7" s="100"/>
      <c r="I7" s="99"/>
      <c r="J7" s="100"/>
      <c r="K7" s="99"/>
      <c r="L7" s="100"/>
      <c r="M7" s="99"/>
      <c r="N7" s="100"/>
      <c r="O7" s="99"/>
      <c r="P7" s="100"/>
      <c r="Q7" s="99"/>
      <c r="R7" s="100"/>
      <c r="S7" s="99"/>
      <c r="T7" s="100"/>
      <c r="U7" s="99"/>
      <c r="V7" s="100"/>
      <c r="W7" s="99"/>
      <c r="X7" s="100"/>
      <c r="Y7" s="99"/>
      <c r="Z7" s="100"/>
      <c r="AA7" s="99"/>
      <c r="AB7" s="100"/>
      <c r="AC7" s="99"/>
      <c r="AD7" s="100"/>
      <c r="AE7" s="99"/>
    </row>
    <row r="8" spans="1:32" x14ac:dyDescent="0.25">
      <c r="A8" s="98"/>
      <c r="B8" s="98"/>
      <c r="C8" s="98"/>
      <c r="D8" s="98" t="s">
        <v>144</v>
      </c>
      <c r="E8" s="99">
        <v>0</v>
      </c>
      <c r="F8" s="100"/>
      <c r="G8" s="99">
        <v>0</v>
      </c>
      <c r="H8" s="100"/>
      <c r="I8" s="99">
        <v>0</v>
      </c>
      <c r="J8" s="100"/>
      <c r="K8" s="99">
        <v>500</v>
      </c>
      <c r="L8" s="100"/>
      <c r="M8" s="99">
        <v>0</v>
      </c>
      <c r="N8" s="100"/>
      <c r="O8" s="99">
        <v>0</v>
      </c>
      <c r="P8" s="100"/>
      <c r="Q8" s="99">
        <v>0</v>
      </c>
      <c r="R8" s="100"/>
      <c r="S8" s="99">
        <v>0</v>
      </c>
      <c r="T8" s="100"/>
      <c r="U8" s="99">
        <v>0</v>
      </c>
      <c r="V8" s="100"/>
      <c r="W8" s="99">
        <v>0</v>
      </c>
      <c r="X8" s="100"/>
      <c r="Y8" s="99">
        <v>0</v>
      </c>
      <c r="Z8" s="100"/>
      <c r="AA8" s="99">
        <v>0</v>
      </c>
      <c r="AB8" s="100"/>
      <c r="AC8" s="99">
        <v>0</v>
      </c>
      <c r="AD8" s="100"/>
      <c r="AE8" s="99">
        <f t="shared" ref="AE8:AE14" si="0">ROUND(SUM(E8:AC8),5)</f>
        <v>500</v>
      </c>
    </row>
    <row r="9" spans="1:32" x14ac:dyDescent="0.25">
      <c r="A9" s="98"/>
      <c r="B9" s="98"/>
      <c r="C9" s="98"/>
      <c r="D9" s="98" t="s">
        <v>148</v>
      </c>
      <c r="E9" s="99">
        <v>0</v>
      </c>
      <c r="F9" s="100"/>
      <c r="G9" s="99">
        <v>0</v>
      </c>
      <c r="H9" s="100"/>
      <c r="I9" s="99">
        <v>503.66</v>
      </c>
      <c r="J9" s="100"/>
      <c r="K9" s="99">
        <v>563.95000000000005</v>
      </c>
      <c r="L9" s="100"/>
      <c r="M9" s="99">
        <v>-323.48</v>
      </c>
      <c r="N9" s="100"/>
      <c r="O9" s="99">
        <v>0</v>
      </c>
      <c r="P9" s="100"/>
      <c r="Q9" s="99">
        <v>157.99</v>
      </c>
      <c r="R9" s="100"/>
      <c r="S9" s="99">
        <v>-810.92</v>
      </c>
      <c r="T9" s="100"/>
      <c r="U9" s="99">
        <v>0</v>
      </c>
      <c r="V9" s="100"/>
      <c r="W9" s="99">
        <v>-778.28</v>
      </c>
      <c r="X9" s="100"/>
      <c r="Y9" s="99">
        <v>-1145.9000000000001</v>
      </c>
      <c r="Z9" s="100"/>
      <c r="AA9" s="99">
        <v>0</v>
      </c>
      <c r="AB9" s="100"/>
      <c r="AC9" s="99">
        <v>0</v>
      </c>
      <c r="AD9" s="100"/>
      <c r="AE9" s="99">
        <f t="shared" si="0"/>
        <v>-1832.98</v>
      </c>
      <c r="AF9" t="s">
        <v>284</v>
      </c>
    </row>
    <row r="10" spans="1:32" x14ac:dyDescent="0.25">
      <c r="A10" s="98"/>
      <c r="B10" s="98"/>
      <c r="C10" s="98"/>
      <c r="D10" s="98" t="s">
        <v>149</v>
      </c>
      <c r="E10" s="99">
        <v>0</v>
      </c>
      <c r="F10" s="100"/>
      <c r="G10" s="99">
        <v>0</v>
      </c>
      <c r="H10" s="100"/>
      <c r="I10" s="99">
        <v>2224.16</v>
      </c>
      <c r="J10" s="100"/>
      <c r="K10" s="99">
        <v>2952.89</v>
      </c>
      <c r="L10" s="100"/>
      <c r="M10" s="99">
        <v>901.99</v>
      </c>
      <c r="N10" s="100"/>
      <c r="O10" s="99">
        <v>324.06</v>
      </c>
      <c r="P10" s="100"/>
      <c r="Q10" s="99">
        <v>186.02</v>
      </c>
      <c r="R10" s="100"/>
      <c r="S10" s="99">
        <v>17.809999999999999</v>
      </c>
      <c r="T10" s="100"/>
      <c r="U10" s="99">
        <v>0</v>
      </c>
      <c r="V10" s="100"/>
      <c r="W10" s="99">
        <v>-0.89</v>
      </c>
      <c r="X10" s="100"/>
      <c r="Y10" s="99">
        <v>0</v>
      </c>
      <c r="Z10" s="100"/>
      <c r="AA10" s="99">
        <v>0</v>
      </c>
      <c r="AB10" s="100"/>
      <c r="AC10" s="99">
        <v>0</v>
      </c>
      <c r="AD10" s="100"/>
      <c r="AE10" s="99">
        <f t="shared" si="0"/>
        <v>6606.04</v>
      </c>
    </row>
    <row r="11" spans="1:32" x14ac:dyDescent="0.25">
      <c r="A11" s="98"/>
      <c r="B11" s="98"/>
      <c r="C11" s="98"/>
      <c r="D11" s="98" t="s">
        <v>203</v>
      </c>
      <c r="E11" s="99">
        <v>0</v>
      </c>
      <c r="F11" s="100"/>
      <c r="G11" s="99">
        <v>-507.76</v>
      </c>
      <c r="H11" s="100"/>
      <c r="I11" s="99">
        <v>0</v>
      </c>
      <c r="J11" s="100"/>
      <c r="K11" s="99">
        <v>144.97999999999999</v>
      </c>
      <c r="L11" s="100"/>
      <c r="M11" s="99">
        <v>272.11</v>
      </c>
      <c r="N11" s="100"/>
      <c r="O11" s="99">
        <v>143.78</v>
      </c>
      <c r="P11" s="100"/>
      <c r="Q11" s="99">
        <v>0</v>
      </c>
      <c r="R11" s="100"/>
      <c r="S11" s="99">
        <v>266.86</v>
      </c>
      <c r="T11" s="100"/>
      <c r="U11" s="99">
        <v>0</v>
      </c>
      <c r="V11" s="100"/>
      <c r="W11" s="99">
        <v>292.63</v>
      </c>
      <c r="X11" s="100"/>
      <c r="Y11" s="99">
        <v>47.43</v>
      </c>
      <c r="Z11" s="100"/>
      <c r="AA11" s="99">
        <v>0</v>
      </c>
      <c r="AB11" s="100"/>
      <c r="AC11" s="99">
        <v>0</v>
      </c>
      <c r="AD11" s="100"/>
      <c r="AE11" s="99">
        <f t="shared" si="0"/>
        <v>660.03</v>
      </c>
    </row>
    <row r="12" spans="1:32" ht="15.75" thickBot="1" x14ac:dyDescent="0.3">
      <c r="A12" s="98"/>
      <c r="B12" s="98"/>
      <c r="C12" s="98"/>
      <c r="D12" s="98" t="s">
        <v>150</v>
      </c>
      <c r="E12" s="99">
        <v>0</v>
      </c>
      <c r="F12" s="100"/>
      <c r="G12" s="99">
        <v>0</v>
      </c>
      <c r="H12" s="100"/>
      <c r="I12" s="99">
        <v>158925</v>
      </c>
      <c r="J12" s="100"/>
      <c r="K12" s="99">
        <v>0</v>
      </c>
      <c r="L12" s="100"/>
      <c r="M12" s="99">
        <v>0</v>
      </c>
      <c r="N12" s="100"/>
      <c r="O12" s="99">
        <v>0</v>
      </c>
      <c r="P12" s="100"/>
      <c r="Q12" s="99">
        <v>0</v>
      </c>
      <c r="R12" s="100"/>
      <c r="S12" s="99">
        <v>0</v>
      </c>
      <c r="T12" s="100"/>
      <c r="U12" s="99">
        <v>0</v>
      </c>
      <c r="V12" s="100"/>
      <c r="W12" s="99">
        <v>0</v>
      </c>
      <c r="X12" s="100"/>
      <c r="Y12" s="99">
        <v>0</v>
      </c>
      <c r="Z12" s="100"/>
      <c r="AA12" s="99">
        <v>0</v>
      </c>
      <c r="AB12" s="100"/>
      <c r="AC12" s="99">
        <v>252193.99</v>
      </c>
      <c r="AD12" s="100"/>
      <c r="AE12" s="99">
        <f t="shared" si="0"/>
        <v>411118.99</v>
      </c>
    </row>
    <row r="13" spans="1:32" ht="15.75" thickBot="1" x14ac:dyDescent="0.3">
      <c r="A13" s="98"/>
      <c r="B13" s="98"/>
      <c r="C13" s="98" t="s">
        <v>276</v>
      </c>
      <c r="D13" s="98"/>
      <c r="E13" s="102">
        <f>ROUND(SUM(E7:E12),5)</f>
        <v>0</v>
      </c>
      <c r="F13" s="100"/>
      <c r="G13" s="102">
        <f>ROUND(SUM(G7:G12),5)</f>
        <v>-507.76</v>
      </c>
      <c r="H13" s="100"/>
      <c r="I13" s="102">
        <f>ROUND(SUM(I7:I12),5)</f>
        <v>161652.82</v>
      </c>
      <c r="J13" s="100"/>
      <c r="K13" s="102">
        <f>ROUND(SUM(K7:K12),5)</f>
        <v>4161.82</v>
      </c>
      <c r="L13" s="100"/>
      <c r="M13" s="102">
        <f>ROUND(SUM(M7:M12),5)</f>
        <v>850.62</v>
      </c>
      <c r="N13" s="100"/>
      <c r="O13" s="102">
        <f>ROUND(SUM(O7:O12),5)</f>
        <v>467.84</v>
      </c>
      <c r="P13" s="100"/>
      <c r="Q13" s="102">
        <f>ROUND(SUM(Q7:Q12),5)</f>
        <v>344.01</v>
      </c>
      <c r="R13" s="100"/>
      <c r="S13" s="102">
        <f>ROUND(SUM(S7:S12),5)</f>
        <v>-526.25</v>
      </c>
      <c r="T13" s="100"/>
      <c r="U13" s="102">
        <f>ROUND(SUM(U7:U12),5)</f>
        <v>0</v>
      </c>
      <c r="V13" s="100"/>
      <c r="W13" s="102">
        <f>ROUND(SUM(W7:W12),5)</f>
        <v>-486.54</v>
      </c>
      <c r="X13" s="100"/>
      <c r="Y13" s="102">
        <f>ROUND(SUM(Y7:Y12),5)</f>
        <v>-1098.47</v>
      </c>
      <c r="Z13" s="100"/>
      <c r="AA13" s="102">
        <f>ROUND(SUM(AA7:AA12),5)</f>
        <v>0</v>
      </c>
      <c r="AB13" s="100"/>
      <c r="AC13" s="102">
        <f>ROUND(SUM(AC7:AC12),5)</f>
        <v>252193.99</v>
      </c>
      <c r="AD13" s="100"/>
      <c r="AE13" s="102">
        <f t="shared" si="0"/>
        <v>417052.08</v>
      </c>
    </row>
    <row r="14" spans="1:32" ht="30" customHeight="1" x14ac:dyDescent="0.25">
      <c r="A14" s="98"/>
      <c r="B14" s="98" t="s">
        <v>277</v>
      </c>
      <c r="C14" s="98"/>
      <c r="D14" s="98"/>
      <c r="E14" s="99">
        <f>ROUND(E2+E6-E13,5)</f>
        <v>22.78</v>
      </c>
      <c r="F14" s="100"/>
      <c r="G14" s="99">
        <f>ROUND(G2+G6-G13,5)</f>
        <v>3337.01</v>
      </c>
      <c r="H14" s="100"/>
      <c r="I14" s="99">
        <f>ROUND(I2+I6-I13,5)</f>
        <v>-106750.85</v>
      </c>
      <c r="J14" s="100"/>
      <c r="K14" s="99">
        <f>ROUND(K2+K6-K13,5)</f>
        <v>69701.75</v>
      </c>
      <c r="L14" s="100"/>
      <c r="M14" s="99">
        <f>ROUND(M2+M6-M13,5)</f>
        <v>29743.03</v>
      </c>
      <c r="N14" s="100"/>
      <c r="O14" s="99">
        <f>ROUND(O2+O6-O13,5)</f>
        <v>14254.29</v>
      </c>
      <c r="P14" s="100"/>
      <c r="Q14" s="99">
        <f>ROUND(Q2+Q6-Q13,5)</f>
        <v>15664.28</v>
      </c>
      <c r="R14" s="100"/>
      <c r="S14" s="99">
        <f>ROUND(S2+S6-S13,5)</f>
        <v>26442.91</v>
      </c>
      <c r="T14" s="100"/>
      <c r="U14" s="99">
        <f>ROUND(U2+U6-U13,5)</f>
        <v>25.39</v>
      </c>
      <c r="V14" s="100"/>
      <c r="W14" s="99">
        <f>ROUND(W2+W6-W13,5)</f>
        <v>28995.13</v>
      </c>
      <c r="X14" s="100"/>
      <c r="Y14" s="99">
        <f>ROUND(Y2+Y6-Y13,5)</f>
        <v>4720.92</v>
      </c>
      <c r="Z14" s="100"/>
      <c r="AA14" s="99">
        <f>ROUND(AA2+AA6-AA13,5)</f>
        <v>27.04</v>
      </c>
      <c r="AB14" s="100"/>
      <c r="AC14" s="99">
        <f>ROUND(AC2+AC6-AC13,5)</f>
        <v>-252193.99</v>
      </c>
      <c r="AD14" s="100"/>
      <c r="AE14" s="99">
        <f t="shared" si="0"/>
        <v>-166010.31</v>
      </c>
    </row>
    <row r="15" spans="1:32" ht="30" customHeight="1" x14ac:dyDescent="0.25">
      <c r="A15" s="98"/>
      <c r="B15" s="98" t="s">
        <v>278</v>
      </c>
      <c r="C15" s="98"/>
      <c r="D15" s="98"/>
      <c r="E15" s="99"/>
      <c r="F15" s="100"/>
      <c r="G15" s="99"/>
      <c r="H15" s="100"/>
      <c r="I15" s="99"/>
      <c r="J15" s="100"/>
      <c r="K15" s="99"/>
      <c r="L15" s="100"/>
      <c r="M15" s="99"/>
      <c r="N15" s="100"/>
      <c r="O15" s="99"/>
      <c r="P15" s="100"/>
      <c r="Q15" s="99"/>
      <c r="R15" s="100"/>
      <c r="S15" s="99"/>
      <c r="T15" s="100"/>
      <c r="U15" s="99"/>
      <c r="V15" s="100"/>
      <c r="W15" s="99"/>
      <c r="X15" s="100"/>
      <c r="Y15" s="99"/>
      <c r="Z15" s="100"/>
      <c r="AA15" s="99"/>
      <c r="AB15" s="100"/>
      <c r="AC15" s="99"/>
      <c r="AD15" s="100"/>
      <c r="AE15" s="99"/>
    </row>
    <row r="16" spans="1:32" x14ac:dyDescent="0.25">
      <c r="A16" s="98"/>
      <c r="B16" s="98"/>
      <c r="C16" s="98" t="s">
        <v>279</v>
      </c>
      <c r="D16" s="98"/>
      <c r="E16" s="99"/>
      <c r="F16" s="100"/>
      <c r="G16" s="99"/>
      <c r="H16" s="100"/>
      <c r="I16" s="99"/>
      <c r="J16" s="100"/>
      <c r="K16" s="99"/>
      <c r="L16" s="100"/>
      <c r="M16" s="99"/>
      <c r="N16" s="100"/>
      <c r="O16" s="99"/>
      <c r="P16" s="100"/>
      <c r="Q16" s="99"/>
      <c r="R16" s="100"/>
      <c r="S16" s="99"/>
      <c r="T16" s="100"/>
      <c r="U16" s="99"/>
      <c r="V16" s="100"/>
      <c r="W16" s="99"/>
      <c r="X16" s="100"/>
      <c r="Y16" s="99"/>
      <c r="Z16" s="100"/>
      <c r="AA16" s="99"/>
      <c r="AB16" s="100"/>
      <c r="AC16" s="99"/>
      <c r="AD16" s="100"/>
      <c r="AE16" s="99"/>
    </row>
    <row r="17" spans="1:31" ht="15.75" thickBot="1" x14ac:dyDescent="0.3">
      <c r="A17" s="98"/>
      <c r="B17" s="98"/>
      <c r="C17" s="98"/>
      <c r="D17" s="98" t="s">
        <v>280</v>
      </c>
      <c r="E17" s="99">
        <v>0</v>
      </c>
      <c r="F17" s="100"/>
      <c r="G17" s="99">
        <v>0</v>
      </c>
      <c r="H17" s="100"/>
      <c r="I17" s="99">
        <v>0</v>
      </c>
      <c r="J17" s="100"/>
      <c r="K17" s="99">
        <v>0</v>
      </c>
      <c r="L17" s="100"/>
      <c r="M17" s="99">
        <v>-323.48</v>
      </c>
      <c r="N17" s="100"/>
      <c r="O17" s="99">
        <v>0</v>
      </c>
      <c r="P17" s="100"/>
      <c r="Q17" s="99">
        <v>0</v>
      </c>
      <c r="R17" s="100"/>
      <c r="S17" s="99">
        <v>0</v>
      </c>
      <c r="T17" s="100"/>
      <c r="U17" s="99">
        <v>0</v>
      </c>
      <c r="V17" s="100"/>
      <c r="W17" s="99">
        <v>0</v>
      </c>
      <c r="X17" s="100"/>
      <c r="Y17" s="99">
        <v>0</v>
      </c>
      <c r="Z17" s="100"/>
      <c r="AA17" s="99">
        <v>0</v>
      </c>
      <c r="AB17" s="100"/>
      <c r="AC17" s="99">
        <v>0</v>
      </c>
      <c r="AD17" s="100"/>
      <c r="AE17" s="99">
        <f>ROUND(SUM(E17:AC17),5)</f>
        <v>-323.48</v>
      </c>
    </row>
    <row r="18" spans="1:31" ht="15.75" thickBot="1" x14ac:dyDescent="0.3">
      <c r="A18" s="98"/>
      <c r="B18" s="98"/>
      <c r="C18" s="98" t="s">
        <v>281</v>
      </c>
      <c r="D18" s="98"/>
      <c r="E18" s="103">
        <f>ROUND(SUM(E16:E17),5)</f>
        <v>0</v>
      </c>
      <c r="F18" s="100"/>
      <c r="G18" s="103">
        <f>ROUND(SUM(G16:G17),5)</f>
        <v>0</v>
      </c>
      <c r="H18" s="100"/>
      <c r="I18" s="103">
        <f>ROUND(SUM(I16:I17),5)</f>
        <v>0</v>
      </c>
      <c r="J18" s="100"/>
      <c r="K18" s="103">
        <f>ROUND(SUM(K16:K17),5)</f>
        <v>0</v>
      </c>
      <c r="L18" s="100"/>
      <c r="M18" s="103">
        <f>ROUND(SUM(M16:M17),5)</f>
        <v>-323.48</v>
      </c>
      <c r="N18" s="100"/>
      <c r="O18" s="103">
        <f>ROUND(SUM(O16:O17),5)</f>
        <v>0</v>
      </c>
      <c r="P18" s="100"/>
      <c r="Q18" s="103">
        <f>ROUND(SUM(Q16:Q17),5)</f>
        <v>0</v>
      </c>
      <c r="R18" s="100"/>
      <c r="S18" s="103">
        <f>ROUND(SUM(S16:S17),5)</f>
        <v>0</v>
      </c>
      <c r="T18" s="100"/>
      <c r="U18" s="103">
        <f>ROUND(SUM(U16:U17),5)</f>
        <v>0</v>
      </c>
      <c r="V18" s="100"/>
      <c r="W18" s="103">
        <f>ROUND(SUM(W16:W17),5)</f>
        <v>0</v>
      </c>
      <c r="X18" s="100"/>
      <c r="Y18" s="103">
        <f>ROUND(SUM(Y16:Y17),5)</f>
        <v>0</v>
      </c>
      <c r="Z18" s="100"/>
      <c r="AA18" s="103">
        <f>ROUND(SUM(AA16:AA17),5)</f>
        <v>0</v>
      </c>
      <c r="AB18" s="100"/>
      <c r="AC18" s="103">
        <f>ROUND(SUM(AC16:AC17),5)</f>
        <v>0</v>
      </c>
      <c r="AD18" s="100"/>
      <c r="AE18" s="103">
        <f>ROUND(SUM(E18:AC18),5)</f>
        <v>-323.48</v>
      </c>
    </row>
    <row r="19" spans="1:31" ht="30" customHeight="1" thickBot="1" x14ac:dyDescent="0.3">
      <c r="A19" s="98"/>
      <c r="B19" s="98" t="s">
        <v>282</v>
      </c>
      <c r="C19" s="98"/>
      <c r="D19" s="98"/>
      <c r="E19" s="103">
        <f>ROUND(E15+E18,5)</f>
        <v>0</v>
      </c>
      <c r="F19" s="100"/>
      <c r="G19" s="103">
        <f>ROUND(G15+G18,5)</f>
        <v>0</v>
      </c>
      <c r="H19" s="100"/>
      <c r="I19" s="103">
        <f>ROUND(I15+I18,5)</f>
        <v>0</v>
      </c>
      <c r="J19" s="100"/>
      <c r="K19" s="103">
        <f>ROUND(K15+K18,5)</f>
        <v>0</v>
      </c>
      <c r="L19" s="100"/>
      <c r="M19" s="103">
        <f>ROUND(M15+M18,5)</f>
        <v>-323.48</v>
      </c>
      <c r="N19" s="100"/>
      <c r="O19" s="103">
        <f>ROUND(O15+O18,5)</f>
        <v>0</v>
      </c>
      <c r="P19" s="100"/>
      <c r="Q19" s="103">
        <f>ROUND(Q15+Q18,5)</f>
        <v>0</v>
      </c>
      <c r="R19" s="100"/>
      <c r="S19" s="103">
        <f>ROUND(S15+S18,5)</f>
        <v>0</v>
      </c>
      <c r="T19" s="100"/>
      <c r="U19" s="103">
        <f>ROUND(U15+U18,5)</f>
        <v>0</v>
      </c>
      <c r="V19" s="100"/>
      <c r="W19" s="103">
        <f>ROUND(W15+W18,5)</f>
        <v>0</v>
      </c>
      <c r="X19" s="100"/>
      <c r="Y19" s="103">
        <f>ROUND(Y15+Y18,5)</f>
        <v>0</v>
      </c>
      <c r="Z19" s="100"/>
      <c r="AA19" s="103">
        <f>ROUND(AA15+AA18,5)</f>
        <v>0</v>
      </c>
      <c r="AB19" s="100"/>
      <c r="AC19" s="103">
        <f>ROUND(AC15+AC18,5)</f>
        <v>0</v>
      </c>
      <c r="AD19" s="100"/>
      <c r="AE19" s="103">
        <f>ROUND(SUM(E19:AC19),5)</f>
        <v>-323.48</v>
      </c>
    </row>
    <row r="20" spans="1:31" s="105" customFormat="1" ht="30" customHeight="1" thickBot="1" x14ac:dyDescent="0.25">
      <c r="A20" s="98" t="s">
        <v>283</v>
      </c>
      <c r="B20" s="98"/>
      <c r="C20" s="98"/>
      <c r="D20" s="98"/>
      <c r="E20" s="104">
        <f>ROUND(E14+E19,5)</f>
        <v>22.78</v>
      </c>
      <c r="F20" s="98"/>
      <c r="G20" s="104">
        <f>ROUND(G14+G19,5)</f>
        <v>3337.01</v>
      </c>
      <c r="H20" s="98"/>
      <c r="I20" s="104">
        <f>ROUND(I14+I19,5)</f>
        <v>-106750.85</v>
      </c>
      <c r="J20" s="98"/>
      <c r="K20" s="104">
        <f>ROUND(K14+K19,5)</f>
        <v>69701.75</v>
      </c>
      <c r="L20" s="98"/>
      <c r="M20" s="104">
        <f>ROUND(M14+M19,5)</f>
        <v>29419.55</v>
      </c>
      <c r="N20" s="98"/>
      <c r="O20" s="104">
        <f>ROUND(O14+O19,5)</f>
        <v>14254.29</v>
      </c>
      <c r="P20" s="98"/>
      <c r="Q20" s="104">
        <f>ROUND(Q14+Q19,5)</f>
        <v>15664.28</v>
      </c>
      <c r="R20" s="98"/>
      <c r="S20" s="104">
        <f>ROUND(S14+S19,5)</f>
        <v>26442.91</v>
      </c>
      <c r="T20" s="98"/>
      <c r="U20" s="104">
        <f>ROUND(U14+U19,5)</f>
        <v>25.39</v>
      </c>
      <c r="V20" s="98"/>
      <c r="W20" s="104">
        <f>ROUND(W14+W19,5)</f>
        <v>28995.13</v>
      </c>
      <c r="X20" s="98"/>
      <c r="Y20" s="104">
        <f>ROUND(Y14+Y19,5)</f>
        <v>4720.92</v>
      </c>
      <c r="Z20" s="98"/>
      <c r="AA20" s="104">
        <f>ROUND(AA14+AA19,5)</f>
        <v>27.04</v>
      </c>
      <c r="AB20" s="98"/>
      <c r="AC20" s="104">
        <f>ROUND(AC14+AC19,5)</f>
        <v>-252193.99</v>
      </c>
      <c r="AD20" s="98"/>
      <c r="AE20" s="104">
        <f>ROUND(SUM(E20:AC20),5)</f>
        <v>-166333.79</v>
      </c>
    </row>
    <row r="21" spans="1:31" ht="15.75" thickTop="1" x14ac:dyDescent="0.25"/>
  </sheetData>
  <phoneticPr fontId="19" type="noConversion"/>
  <printOptions horizontalCentered="1"/>
  <pageMargins left="0.7" right="0.7" top="0.75" bottom="0.75" header="0.25" footer="0.3"/>
  <pageSetup scale="54" fitToHeight="0" orientation="landscape" r:id="rId1"/>
  <headerFooter>
    <oddHeader xml:space="preserve">&amp;C&amp;"Times New Roman,Bold"&amp;12 Flagler Estates Road and Water Control District
&amp;14 Proposed Budget Amendment - General Fund 
Fiscal 2015-15
</oddHeader>
    <oddFooter>&amp;L&amp;F
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>
    <pageSetUpPr fitToPage="1"/>
  </sheetPr>
  <dimension ref="A1:AK74"/>
  <sheetViews>
    <sheetView workbookViewId="0">
      <pane xSplit="7" ySplit="1" topLeftCell="H2" activePane="bottomRight" state="frozenSplit"/>
      <selection pane="topRight" activeCell="H1" sqref="H1"/>
      <selection pane="bottomLeft" activeCell="A2" sqref="A2"/>
      <selection pane="bottomRight" activeCell="G5" sqref="G5"/>
    </sheetView>
  </sheetViews>
  <sheetFormatPr defaultRowHeight="15" x14ac:dyDescent="0.25"/>
  <cols>
    <col min="1" max="6" width="3" style="105" customWidth="1"/>
    <col min="7" max="7" width="32.42578125" style="105" customWidth="1"/>
    <col min="8" max="8" width="8.42578125" bestFit="1" customWidth="1"/>
    <col min="9" max="9" width="2.28515625" customWidth="1"/>
    <col min="10" max="10" width="8.42578125" bestFit="1" customWidth="1"/>
    <col min="11" max="11" width="2.28515625" customWidth="1"/>
    <col min="12" max="12" width="8.7109375" bestFit="1" customWidth="1"/>
    <col min="13" max="13" width="2.28515625" customWidth="1"/>
    <col min="14" max="14" width="8.7109375" bestFit="1" customWidth="1"/>
    <col min="15" max="15" width="2.28515625" customWidth="1"/>
    <col min="16" max="16" width="7.85546875" bestFit="1" customWidth="1"/>
    <col min="17" max="17" width="2.28515625" customWidth="1"/>
    <col min="18" max="18" width="7.85546875" bestFit="1" customWidth="1"/>
    <col min="19" max="19" width="2.28515625" customWidth="1"/>
    <col min="20" max="20" width="8.42578125" bestFit="1" customWidth="1"/>
    <col min="21" max="21" width="2.28515625" customWidth="1"/>
    <col min="22" max="22" width="7.85546875" bestFit="1" customWidth="1"/>
    <col min="23" max="23" width="2.28515625" customWidth="1"/>
    <col min="24" max="24" width="8.42578125" bestFit="1" customWidth="1"/>
    <col min="25" max="25" width="2.28515625" customWidth="1"/>
    <col min="26" max="26" width="8.7109375" bestFit="1" customWidth="1"/>
    <col min="27" max="27" width="2.28515625" customWidth="1"/>
    <col min="28" max="28" width="8.42578125" bestFit="1" customWidth="1"/>
    <col min="29" max="29" width="2.28515625" customWidth="1"/>
    <col min="30" max="30" width="8.42578125" bestFit="1" customWidth="1"/>
    <col min="31" max="31" width="2.28515625" customWidth="1"/>
    <col min="32" max="32" width="5.28515625" customWidth="1"/>
    <col min="33" max="33" width="2.28515625" customWidth="1"/>
    <col min="34" max="34" width="8.7109375" bestFit="1" customWidth="1"/>
    <col min="37" max="37" width="8.42578125" bestFit="1" customWidth="1"/>
  </cols>
  <sheetData>
    <row r="1" spans="1:37" s="28" customFormat="1" ht="15.75" thickBot="1" x14ac:dyDescent="0.3">
      <c r="A1" s="106"/>
      <c r="B1" s="106"/>
      <c r="C1" s="106"/>
      <c r="D1" s="106"/>
      <c r="E1" s="106"/>
      <c r="F1" s="106"/>
      <c r="G1" s="106"/>
      <c r="H1" s="107" t="s">
        <v>258</v>
      </c>
      <c r="I1" s="108"/>
      <c r="J1" s="107" t="s">
        <v>259</v>
      </c>
      <c r="K1" s="108"/>
      <c r="L1" s="107" t="s">
        <v>260</v>
      </c>
      <c r="M1" s="108"/>
      <c r="N1" s="107" t="s">
        <v>261</v>
      </c>
      <c r="O1" s="108"/>
      <c r="P1" s="107" t="s">
        <v>262</v>
      </c>
      <c r="Q1" s="108"/>
      <c r="R1" s="107" t="s">
        <v>263</v>
      </c>
      <c r="S1" s="108"/>
      <c r="T1" s="107" t="s">
        <v>264</v>
      </c>
      <c r="U1" s="108"/>
      <c r="V1" s="107" t="s">
        <v>265</v>
      </c>
      <c r="W1" s="108"/>
      <c r="X1" s="107" t="s">
        <v>266</v>
      </c>
      <c r="Y1" s="108"/>
      <c r="Z1" s="107" t="s">
        <v>267</v>
      </c>
      <c r="AA1" s="108"/>
      <c r="AB1" s="107" t="s">
        <v>268</v>
      </c>
      <c r="AC1" s="108"/>
      <c r="AD1" s="107" t="s">
        <v>269</v>
      </c>
      <c r="AE1" s="108"/>
      <c r="AF1" s="107"/>
      <c r="AG1" s="108"/>
      <c r="AH1" s="107" t="s">
        <v>271</v>
      </c>
      <c r="AK1" s="107" t="s">
        <v>270</v>
      </c>
    </row>
    <row r="2" spans="1:37" ht="15.75" thickTop="1" x14ac:dyDescent="0.25">
      <c r="A2" s="98"/>
      <c r="B2" s="98" t="s">
        <v>272</v>
      </c>
      <c r="C2" s="98"/>
      <c r="D2" s="98"/>
      <c r="E2" s="98"/>
      <c r="F2" s="98"/>
      <c r="G2" s="98"/>
      <c r="H2" s="99"/>
      <c r="I2" s="100"/>
      <c r="J2" s="99"/>
      <c r="K2" s="100"/>
      <c r="L2" s="99"/>
      <c r="M2" s="100"/>
      <c r="N2" s="99"/>
      <c r="O2" s="100"/>
      <c r="P2" s="99"/>
      <c r="Q2" s="100"/>
      <c r="R2" s="99"/>
      <c r="S2" s="100"/>
      <c r="T2" s="99"/>
      <c r="U2" s="100"/>
      <c r="V2" s="99"/>
      <c r="W2" s="100"/>
      <c r="X2" s="99"/>
      <c r="Y2" s="100"/>
      <c r="Z2" s="99"/>
      <c r="AA2" s="100"/>
      <c r="AB2" s="99"/>
      <c r="AC2" s="100"/>
      <c r="AD2" s="99"/>
      <c r="AE2" s="100"/>
      <c r="AF2" s="99"/>
      <c r="AG2" s="100"/>
      <c r="AH2" s="99"/>
      <c r="AK2" s="99"/>
    </row>
    <row r="3" spans="1:37" x14ac:dyDescent="0.25">
      <c r="A3" s="98"/>
      <c r="B3" s="98"/>
      <c r="C3" s="98"/>
      <c r="D3" s="98" t="s">
        <v>273</v>
      </c>
      <c r="E3" s="98"/>
      <c r="F3" s="98"/>
      <c r="G3" s="98"/>
      <c r="H3" s="99"/>
      <c r="I3" s="100"/>
      <c r="J3" s="99"/>
      <c r="K3" s="100"/>
      <c r="L3" s="99"/>
      <c r="M3" s="100"/>
      <c r="N3" s="99"/>
      <c r="O3" s="100"/>
      <c r="P3" s="99"/>
      <c r="Q3" s="100"/>
      <c r="R3" s="99"/>
      <c r="S3" s="100"/>
      <c r="T3" s="99"/>
      <c r="U3" s="100"/>
      <c r="V3" s="99"/>
      <c r="W3" s="100"/>
      <c r="X3" s="99"/>
      <c r="Y3" s="100"/>
      <c r="Z3" s="99"/>
      <c r="AA3" s="100"/>
      <c r="AB3" s="99"/>
      <c r="AC3" s="100"/>
      <c r="AD3" s="99"/>
      <c r="AE3" s="100"/>
      <c r="AF3" s="99"/>
      <c r="AG3" s="100"/>
      <c r="AH3" s="99"/>
      <c r="AK3" s="99"/>
    </row>
    <row r="4" spans="1:37" x14ac:dyDescent="0.25">
      <c r="A4" s="98"/>
      <c r="B4" s="98"/>
      <c r="C4" s="98"/>
      <c r="D4" s="98"/>
      <c r="E4" s="98" t="s">
        <v>0</v>
      </c>
      <c r="F4" s="98"/>
      <c r="G4" s="98"/>
      <c r="H4" s="99">
        <v>0</v>
      </c>
      <c r="I4" s="100"/>
      <c r="J4" s="99">
        <v>8608.8799999999992</v>
      </c>
      <c r="K4" s="100"/>
      <c r="L4" s="99">
        <v>168399.67</v>
      </c>
      <c r="M4" s="100"/>
      <c r="N4" s="99">
        <v>226585</v>
      </c>
      <c r="O4" s="100"/>
      <c r="P4" s="99">
        <v>92893.42</v>
      </c>
      <c r="Q4" s="100"/>
      <c r="R4" s="99">
        <v>45110.61</v>
      </c>
      <c r="S4" s="100"/>
      <c r="T4" s="99">
        <v>49046.77</v>
      </c>
      <c r="U4" s="100"/>
      <c r="V4" s="99">
        <v>79449.460000000006</v>
      </c>
      <c r="W4" s="100"/>
      <c r="X4" s="99">
        <v>0</v>
      </c>
      <c r="Y4" s="100"/>
      <c r="Z4" s="99">
        <v>102235.31</v>
      </c>
      <c r="AA4" s="100"/>
      <c r="AB4" s="99">
        <v>12907.77</v>
      </c>
      <c r="AC4" s="100"/>
      <c r="AD4" s="99">
        <v>0</v>
      </c>
      <c r="AE4" s="100"/>
      <c r="AF4" s="99"/>
      <c r="AG4" s="100"/>
      <c r="AH4" s="99">
        <f t="shared" ref="AH4:AH16" si="0">ROUND(SUM(H4:AF4),5)</f>
        <v>785236.89</v>
      </c>
      <c r="AK4" s="99">
        <v>0</v>
      </c>
    </row>
    <row r="5" spans="1:37" x14ac:dyDescent="0.25">
      <c r="A5" s="98"/>
      <c r="B5" s="98"/>
      <c r="C5" s="98"/>
      <c r="D5" s="98"/>
      <c r="E5" s="98" t="s">
        <v>2</v>
      </c>
      <c r="F5" s="98"/>
      <c r="G5" s="98"/>
      <c r="H5" s="99">
        <v>0</v>
      </c>
      <c r="I5" s="100"/>
      <c r="J5" s="99">
        <v>5678.53</v>
      </c>
      <c r="K5" s="100"/>
      <c r="L5" s="99">
        <v>71.05</v>
      </c>
      <c r="M5" s="100"/>
      <c r="N5" s="99">
        <v>0</v>
      </c>
      <c r="O5" s="100"/>
      <c r="P5" s="99">
        <v>992.54</v>
      </c>
      <c r="Q5" s="100"/>
      <c r="R5" s="99">
        <v>0</v>
      </c>
      <c r="S5" s="100"/>
      <c r="T5" s="99">
        <v>0</v>
      </c>
      <c r="U5" s="100"/>
      <c r="V5" s="99">
        <v>2488.19</v>
      </c>
      <c r="W5" s="100"/>
      <c r="X5" s="99">
        <v>0</v>
      </c>
      <c r="Y5" s="100"/>
      <c r="Z5" s="99">
        <v>2793.48</v>
      </c>
      <c r="AA5" s="100"/>
      <c r="AB5" s="99">
        <v>4112.92</v>
      </c>
      <c r="AC5" s="100"/>
      <c r="AD5" s="99">
        <v>0</v>
      </c>
      <c r="AE5" s="100"/>
      <c r="AF5" s="99"/>
      <c r="AG5" s="100"/>
      <c r="AH5" s="99">
        <f t="shared" si="0"/>
        <v>16136.71</v>
      </c>
      <c r="AK5" s="99">
        <v>0</v>
      </c>
    </row>
    <row r="6" spans="1:37" x14ac:dyDescent="0.25">
      <c r="A6" s="98"/>
      <c r="B6" s="98"/>
      <c r="C6" s="98"/>
      <c r="D6" s="98"/>
      <c r="E6" s="98" t="s">
        <v>4</v>
      </c>
      <c r="F6" s="98"/>
      <c r="G6" s="98"/>
      <c r="H6" s="99">
        <v>0</v>
      </c>
      <c r="I6" s="100"/>
      <c r="J6" s="99">
        <v>0</v>
      </c>
      <c r="K6" s="100"/>
      <c r="L6" s="99">
        <v>0</v>
      </c>
      <c r="M6" s="100"/>
      <c r="N6" s="99">
        <v>0</v>
      </c>
      <c r="O6" s="100"/>
      <c r="P6" s="99">
        <v>0</v>
      </c>
      <c r="Q6" s="100"/>
      <c r="R6" s="99">
        <v>125</v>
      </c>
      <c r="S6" s="100"/>
      <c r="T6" s="99">
        <v>250</v>
      </c>
      <c r="U6" s="100"/>
      <c r="V6" s="99">
        <v>0</v>
      </c>
      <c r="W6" s="100"/>
      <c r="X6" s="99">
        <v>0</v>
      </c>
      <c r="Y6" s="100"/>
      <c r="Z6" s="99">
        <v>125</v>
      </c>
      <c r="AA6" s="100"/>
      <c r="AB6" s="99">
        <v>0</v>
      </c>
      <c r="AC6" s="100"/>
      <c r="AD6" s="99">
        <v>0</v>
      </c>
      <c r="AE6" s="100"/>
      <c r="AF6" s="99"/>
      <c r="AG6" s="100"/>
      <c r="AH6" s="99">
        <f t="shared" si="0"/>
        <v>500</v>
      </c>
      <c r="AK6" s="99">
        <v>125</v>
      </c>
    </row>
    <row r="7" spans="1:37" x14ac:dyDescent="0.25">
      <c r="A7" s="98"/>
      <c r="B7" s="98"/>
      <c r="C7" s="98"/>
      <c r="D7" s="98"/>
      <c r="E7" s="98" t="s">
        <v>5</v>
      </c>
      <c r="F7" s="98"/>
      <c r="G7" s="98"/>
      <c r="H7" s="99">
        <v>0</v>
      </c>
      <c r="I7" s="100"/>
      <c r="J7" s="99">
        <v>3228.64</v>
      </c>
      <c r="K7" s="100"/>
      <c r="L7" s="99">
        <v>0</v>
      </c>
      <c r="M7" s="100"/>
      <c r="N7" s="99">
        <v>2102.0700000000002</v>
      </c>
      <c r="O7" s="100"/>
      <c r="P7" s="99">
        <v>0</v>
      </c>
      <c r="Q7" s="100"/>
      <c r="R7" s="99">
        <v>2298.6</v>
      </c>
      <c r="S7" s="100"/>
      <c r="T7" s="99">
        <v>4695.07</v>
      </c>
      <c r="U7" s="100"/>
      <c r="V7" s="99">
        <v>5471.93</v>
      </c>
      <c r="W7" s="100"/>
      <c r="X7" s="99">
        <v>788.75</v>
      </c>
      <c r="Y7" s="100"/>
      <c r="Z7" s="99">
        <v>3385.4</v>
      </c>
      <c r="AA7" s="100"/>
      <c r="AB7" s="99">
        <v>2188.17</v>
      </c>
      <c r="AC7" s="100"/>
      <c r="AD7" s="99">
        <v>788.75</v>
      </c>
      <c r="AE7" s="100"/>
      <c r="AF7" s="99"/>
      <c r="AG7" s="100"/>
      <c r="AH7" s="99">
        <f t="shared" si="0"/>
        <v>24947.38</v>
      </c>
      <c r="AK7" s="99">
        <v>0</v>
      </c>
    </row>
    <row r="8" spans="1:37" x14ac:dyDescent="0.25">
      <c r="A8" s="98"/>
      <c r="B8" s="98"/>
      <c r="C8" s="98"/>
      <c r="D8" s="98"/>
      <c r="E8" s="98" t="s">
        <v>7</v>
      </c>
      <c r="F8" s="98"/>
      <c r="G8" s="98"/>
      <c r="H8" s="99">
        <v>22.5</v>
      </c>
      <c r="I8" s="100"/>
      <c r="J8" s="99">
        <v>0</v>
      </c>
      <c r="K8" s="100"/>
      <c r="L8" s="99">
        <v>4.5</v>
      </c>
      <c r="M8" s="100"/>
      <c r="N8" s="99">
        <v>0</v>
      </c>
      <c r="O8" s="100"/>
      <c r="P8" s="99">
        <v>22.5</v>
      </c>
      <c r="Q8" s="100"/>
      <c r="R8" s="99">
        <v>0</v>
      </c>
      <c r="S8" s="100"/>
      <c r="T8" s="99">
        <v>114.84</v>
      </c>
      <c r="U8" s="100"/>
      <c r="V8" s="99">
        <v>0</v>
      </c>
      <c r="W8" s="100"/>
      <c r="X8" s="99">
        <v>0</v>
      </c>
      <c r="Y8" s="100"/>
      <c r="Z8" s="99">
        <v>2.25</v>
      </c>
      <c r="AA8" s="100"/>
      <c r="AB8" s="99">
        <v>4.5</v>
      </c>
      <c r="AC8" s="100"/>
      <c r="AD8" s="99">
        <v>0</v>
      </c>
      <c r="AE8" s="100"/>
      <c r="AF8" s="99"/>
      <c r="AG8" s="100"/>
      <c r="AH8" s="99">
        <f t="shared" si="0"/>
        <v>171.09</v>
      </c>
      <c r="AK8" s="99">
        <v>0</v>
      </c>
    </row>
    <row r="9" spans="1:37" x14ac:dyDescent="0.25">
      <c r="A9" s="98"/>
      <c r="B9" s="98"/>
      <c r="C9" s="98"/>
      <c r="D9" s="98"/>
      <c r="E9" s="98" t="s">
        <v>8</v>
      </c>
      <c r="F9" s="98"/>
      <c r="G9" s="98"/>
      <c r="H9" s="99">
        <v>0</v>
      </c>
      <c r="I9" s="100"/>
      <c r="J9" s="99">
        <v>0</v>
      </c>
      <c r="K9" s="100"/>
      <c r="L9" s="99">
        <v>0</v>
      </c>
      <c r="M9" s="100"/>
      <c r="N9" s="99">
        <v>85</v>
      </c>
      <c r="O9" s="100"/>
      <c r="P9" s="99">
        <v>0</v>
      </c>
      <c r="Q9" s="100"/>
      <c r="R9" s="99">
        <v>85</v>
      </c>
      <c r="S9" s="100"/>
      <c r="T9" s="99">
        <v>85</v>
      </c>
      <c r="U9" s="100"/>
      <c r="V9" s="99">
        <v>0</v>
      </c>
      <c r="W9" s="100"/>
      <c r="X9" s="99">
        <v>0</v>
      </c>
      <c r="Y9" s="100"/>
      <c r="Z9" s="99">
        <v>0</v>
      </c>
      <c r="AA9" s="100"/>
      <c r="AB9" s="99">
        <v>85</v>
      </c>
      <c r="AC9" s="100"/>
      <c r="AD9" s="99">
        <v>85</v>
      </c>
      <c r="AE9" s="100"/>
      <c r="AF9" s="99"/>
      <c r="AG9" s="100"/>
      <c r="AH9" s="99">
        <f t="shared" si="0"/>
        <v>425</v>
      </c>
      <c r="AK9" s="99">
        <v>0</v>
      </c>
    </row>
    <row r="10" spans="1:37" x14ac:dyDescent="0.25">
      <c r="A10" s="98"/>
      <c r="B10" s="98"/>
      <c r="C10" s="98"/>
      <c r="D10" s="98"/>
      <c r="E10" s="98" t="s">
        <v>285</v>
      </c>
      <c r="F10" s="98"/>
      <c r="G10" s="98"/>
      <c r="H10" s="99">
        <v>65.2</v>
      </c>
      <c r="I10" s="100"/>
      <c r="J10" s="99">
        <v>63.84</v>
      </c>
      <c r="K10" s="100"/>
      <c r="L10" s="99">
        <v>62.92</v>
      </c>
      <c r="M10" s="100"/>
      <c r="N10" s="99">
        <v>75.27</v>
      </c>
      <c r="O10" s="100"/>
      <c r="P10" s="99">
        <v>75.08</v>
      </c>
      <c r="Q10" s="100"/>
      <c r="R10" s="99">
        <v>68.31</v>
      </c>
      <c r="S10" s="100"/>
      <c r="T10" s="99">
        <v>74.98</v>
      </c>
      <c r="U10" s="100"/>
      <c r="V10" s="99">
        <v>72.66</v>
      </c>
      <c r="W10" s="100"/>
      <c r="X10" s="99">
        <v>74.23</v>
      </c>
      <c r="Y10" s="100"/>
      <c r="Z10" s="99">
        <v>72.59</v>
      </c>
      <c r="AA10" s="100"/>
      <c r="AB10" s="99">
        <v>74.7</v>
      </c>
      <c r="AC10" s="100"/>
      <c r="AD10" s="99">
        <v>71.81</v>
      </c>
      <c r="AE10" s="100"/>
      <c r="AF10" s="99"/>
      <c r="AG10" s="100"/>
      <c r="AH10" s="99">
        <f t="shared" si="0"/>
        <v>851.59</v>
      </c>
      <c r="AK10" s="99">
        <v>0</v>
      </c>
    </row>
    <row r="11" spans="1:37" x14ac:dyDescent="0.25">
      <c r="A11" s="98"/>
      <c r="B11" s="98"/>
      <c r="C11" s="98"/>
      <c r="D11" s="98"/>
      <c r="E11" s="98" t="s">
        <v>10</v>
      </c>
      <c r="F11" s="98"/>
      <c r="G11" s="98"/>
      <c r="H11" s="99">
        <v>339.78</v>
      </c>
      <c r="I11" s="100"/>
      <c r="J11" s="99">
        <v>14.56</v>
      </c>
      <c r="K11" s="100"/>
      <c r="L11" s="99">
        <v>14.02</v>
      </c>
      <c r="M11" s="100"/>
      <c r="N11" s="99">
        <v>15.05</v>
      </c>
      <c r="O11" s="100"/>
      <c r="P11" s="99">
        <v>15.96</v>
      </c>
      <c r="Q11" s="100"/>
      <c r="R11" s="99">
        <v>15.64</v>
      </c>
      <c r="S11" s="100"/>
      <c r="T11" s="99">
        <v>16.809999999999999</v>
      </c>
      <c r="U11" s="100"/>
      <c r="V11" s="99">
        <v>16.97</v>
      </c>
      <c r="W11" s="100"/>
      <c r="X11" s="99">
        <v>18.510000000000002</v>
      </c>
      <c r="Y11" s="100"/>
      <c r="Z11" s="99">
        <v>19.54</v>
      </c>
      <c r="AA11" s="100"/>
      <c r="AB11" s="99">
        <v>20.89</v>
      </c>
      <c r="AC11" s="100"/>
      <c r="AD11" s="99">
        <v>23.1</v>
      </c>
      <c r="AE11" s="100"/>
      <c r="AF11" s="99"/>
      <c r="AG11" s="100"/>
      <c r="AH11" s="99">
        <f t="shared" si="0"/>
        <v>530.83000000000004</v>
      </c>
      <c r="AK11" s="99">
        <v>0</v>
      </c>
    </row>
    <row r="12" spans="1:37" x14ac:dyDescent="0.25">
      <c r="A12" s="98"/>
      <c r="B12" s="98"/>
      <c r="C12" s="98"/>
      <c r="D12" s="98"/>
      <c r="E12" s="98" t="s">
        <v>11</v>
      </c>
      <c r="F12" s="98"/>
      <c r="G12" s="98"/>
      <c r="H12" s="99">
        <v>0</v>
      </c>
      <c r="I12" s="100"/>
      <c r="J12" s="99">
        <v>0</v>
      </c>
      <c r="K12" s="100"/>
      <c r="L12" s="99">
        <v>0</v>
      </c>
      <c r="M12" s="100"/>
      <c r="N12" s="99">
        <v>0</v>
      </c>
      <c r="O12" s="100"/>
      <c r="P12" s="99">
        <v>5.09</v>
      </c>
      <c r="Q12" s="100"/>
      <c r="R12" s="99">
        <v>0</v>
      </c>
      <c r="S12" s="100"/>
      <c r="T12" s="99">
        <v>0</v>
      </c>
      <c r="U12" s="100"/>
      <c r="V12" s="99">
        <v>49.64</v>
      </c>
      <c r="W12" s="100"/>
      <c r="X12" s="99">
        <v>0</v>
      </c>
      <c r="Y12" s="100"/>
      <c r="Z12" s="99">
        <v>0</v>
      </c>
      <c r="AA12" s="100"/>
      <c r="AB12" s="99">
        <v>14.43</v>
      </c>
      <c r="AC12" s="100"/>
      <c r="AD12" s="99">
        <v>0</v>
      </c>
      <c r="AE12" s="100"/>
      <c r="AF12" s="99"/>
      <c r="AG12" s="100"/>
      <c r="AH12" s="99">
        <f t="shared" si="0"/>
        <v>69.16</v>
      </c>
      <c r="AK12" s="99">
        <v>0</v>
      </c>
    </row>
    <row r="13" spans="1:37" x14ac:dyDescent="0.25">
      <c r="A13" s="98"/>
      <c r="B13" s="98"/>
      <c r="C13" s="98"/>
      <c r="D13" s="98"/>
      <c r="E13" s="98" t="s">
        <v>286</v>
      </c>
      <c r="F13" s="98"/>
      <c r="G13" s="98"/>
      <c r="H13" s="99">
        <v>0</v>
      </c>
      <c r="I13" s="100"/>
      <c r="J13" s="99">
        <v>0</v>
      </c>
      <c r="K13" s="100"/>
      <c r="L13" s="99">
        <v>0</v>
      </c>
      <c r="M13" s="100"/>
      <c r="N13" s="99">
        <v>0</v>
      </c>
      <c r="O13" s="100"/>
      <c r="P13" s="99">
        <v>0</v>
      </c>
      <c r="Q13" s="100"/>
      <c r="R13" s="99">
        <v>900</v>
      </c>
      <c r="S13" s="100"/>
      <c r="T13" s="99">
        <v>0</v>
      </c>
      <c r="U13" s="100"/>
      <c r="V13" s="99">
        <v>0</v>
      </c>
      <c r="W13" s="100"/>
      <c r="X13" s="99">
        <v>0</v>
      </c>
      <c r="Y13" s="100"/>
      <c r="Z13" s="99">
        <v>0</v>
      </c>
      <c r="AA13" s="100"/>
      <c r="AB13" s="99">
        <v>0</v>
      </c>
      <c r="AC13" s="100"/>
      <c r="AD13" s="99">
        <v>0</v>
      </c>
      <c r="AE13" s="100"/>
      <c r="AF13" s="99"/>
      <c r="AG13" s="100"/>
      <c r="AH13" s="99">
        <f t="shared" si="0"/>
        <v>900</v>
      </c>
      <c r="AK13" s="99">
        <v>0</v>
      </c>
    </row>
    <row r="14" spans="1:37" ht="15.75" thickBot="1" x14ac:dyDescent="0.3">
      <c r="A14" s="98"/>
      <c r="B14" s="98"/>
      <c r="C14" s="98"/>
      <c r="D14" s="98"/>
      <c r="E14" s="98" t="s">
        <v>12</v>
      </c>
      <c r="F14" s="98"/>
      <c r="G14" s="98"/>
      <c r="H14" s="99">
        <v>-287.14999999999998</v>
      </c>
      <c r="I14" s="100"/>
      <c r="J14" s="99">
        <v>0</v>
      </c>
      <c r="K14" s="100"/>
      <c r="L14" s="99">
        <v>119.11</v>
      </c>
      <c r="M14" s="100"/>
      <c r="N14" s="99">
        <v>0</v>
      </c>
      <c r="O14" s="100"/>
      <c r="P14" s="99">
        <v>38.08</v>
      </c>
      <c r="Q14" s="100"/>
      <c r="R14" s="99">
        <v>0</v>
      </c>
      <c r="S14" s="100"/>
      <c r="T14" s="99">
        <v>11959.47</v>
      </c>
      <c r="U14" s="100"/>
      <c r="V14" s="99">
        <v>40.32</v>
      </c>
      <c r="W14" s="100"/>
      <c r="X14" s="99">
        <v>0</v>
      </c>
      <c r="Y14" s="100"/>
      <c r="Z14" s="99">
        <v>970.09</v>
      </c>
      <c r="AA14" s="100"/>
      <c r="AB14" s="99">
        <v>1412.37</v>
      </c>
      <c r="AC14" s="100"/>
      <c r="AD14" s="99">
        <v>0</v>
      </c>
      <c r="AE14" s="100"/>
      <c r="AF14" s="99"/>
      <c r="AG14" s="100"/>
      <c r="AH14" s="99">
        <f t="shared" si="0"/>
        <v>14252.29</v>
      </c>
      <c r="AK14" s="99">
        <v>0</v>
      </c>
    </row>
    <row r="15" spans="1:37" ht="15.75" thickBot="1" x14ac:dyDescent="0.3">
      <c r="A15" s="98"/>
      <c r="B15" s="98"/>
      <c r="C15" s="98"/>
      <c r="D15" s="98" t="s">
        <v>274</v>
      </c>
      <c r="E15" s="98"/>
      <c r="F15" s="98"/>
      <c r="G15" s="98"/>
      <c r="H15" s="102">
        <f>ROUND(SUM(H3:H14),5)</f>
        <v>140.33000000000001</v>
      </c>
      <c r="I15" s="100"/>
      <c r="J15" s="102">
        <f>ROUND(SUM(J3:J14),5)</f>
        <v>17594.45</v>
      </c>
      <c r="K15" s="100"/>
      <c r="L15" s="102">
        <f>ROUND(SUM(L3:L14),5)</f>
        <v>168671.27</v>
      </c>
      <c r="M15" s="100"/>
      <c r="N15" s="102">
        <f>ROUND(SUM(N3:N14),5)</f>
        <v>228862.39</v>
      </c>
      <c r="O15" s="100"/>
      <c r="P15" s="102">
        <f>ROUND(SUM(P3:P14),5)</f>
        <v>94042.67</v>
      </c>
      <c r="Q15" s="100"/>
      <c r="R15" s="102">
        <f>ROUND(SUM(R3:R14),5)</f>
        <v>48603.16</v>
      </c>
      <c r="S15" s="100"/>
      <c r="T15" s="102">
        <f>ROUND(SUM(T3:T14),5)</f>
        <v>66242.94</v>
      </c>
      <c r="U15" s="100"/>
      <c r="V15" s="102">
        <f>ROUND(SUM(V3:V14),5)</f>
        <v>87589.17</v>
      </c>
      <c r="W15" s="100"/>
      <c r="X15" s="102">
        <f>ROUND(SUM(X3:X14),5)</f>
        <v>881.49</v>
      </c>
      <c r="Y15" s="100"/>
      <c r="Z15" s="102">
        <f>ROUND(SUM(Z3:Z14),5)</f>
        <v>109603.66</v>
      </c>
      <c r="AA15" s="100"/>
      <c r="AB15" s="102">
        <f>ROUND(SUM(AB3:AB14),5)</f>
        <v>20820.75</v>
      </c>
      <c r="AC15" s="100"/>
      <c r="AD15" s="102">
        <f>ROUND(SUM(AD3:AD14),5)</f>
        <v>968.66</v>
      </c>
      <c r="AE15" s="100"/>
      <c r="AF15" s="102"/>
      <c r="AG15" s="100"/>
      <c r="AH15" s="102">
        <f t="shared" si="0"/>
        <v>844020.94</v>
      </c>
      <c r="AK15" s="102">
        <f>ROUND(SUM(AK3:AK14),5)</f>
        <v>125</v>
      </c>
    </row>
    <row r="16" spans="1:37" ht="30" customHeight="1" x14ac:dyDescent="0.25">
      <c r="A16" s="98"/>
      <c r="B16" s="98"/>
      <c r="C16" s="98" t="s">
        <v>287</v>
      </c>
      <c r="D16" s="98"/>
      <c r="E16" s="98"/>
      <c r="F16" s="98"/>
      <c r="G16" s="98"/>
      <c r="H16" s="99">
        <f>H15</f>
        <v>140.33000000000001</v>
      </c>
      <c r="I16" s="100"/>
      <c r="J16" s="99">
        <f>J15</f>
        <v>17594.45</v>
      </c>
      <c r="K16" s="100"/>
      <c r="L16" s="99">
        <f>L15</f>
        <v>168671.27</v>
      </c>
      <c r="M16" s="100"/>
      <c r="N16" s="99">
        <f>N15</f>
        <v>228862.39</v>
      </c>
      <c r="O16" s="100"/>
      <c r="P16" s="99">
        <f>P15</f>
        <v>94042.67</v>
      </c>
      <c r="Q16" s="100"/>
      <c r="R16" s="99">
        <f>R15</f>
        <v>48603.16</v>
      </c>
      <c r="S16" s="100"/>
      <c r="T16" s="99">
        <f>T15</f>
        <v>66242.94</v>
      </c>
      <c r="U16" s="100"/>
      <c r="V16" s="99">
        <f>V15</f>
        <v>87589.17</v>
      </c>
      <c r="W16" s="100"/>
      <c r="X16" s="99">
        <f>X15</f>
        <v>881.49</v>
      </c>
      <c r="Y16" s="100"/>
      <c r="Z16" s="99">
        <f>Z15</f>
        <v>109603.66</v>
      </c>
      <c r="AA16" s="100"/>
      <c r="AB16" s="99">
        <f>AB15</f>
        <v>20820.75</v>
      </c>
      <c r="AC16" s="100"/>
      <c r="AD16" s="99">
        <f>AD15</f>
        <v>968.66</v>
      </c>
      <c r="AE16" s="100"/>
      <c r="AF16" s="99"/>
      <c r="AG16" s="100"/>
      <c r="AH16" s="99">
        <f t="shared" si="0"/>
        <v>844020.94</v>
      </c>
      <c r="AK16" s="99">
        <f>AK15</f>
        <v>125</v>
      </c>
    </row>
    <row r="17" spans="1:37" ht="30" customHeight="1" x14ac:dyDescent="0.25">
      <c r="A17" s="98"/>
      <c r="B17" s="98"/>
      <c r="C17" s="98"/>
      <c r="D17" s="98" t="s">
        <v>275</v>
      </c>
      <c r="E17" s="98"/>
      <c r="F17" s="98"/>
      <c r="G17" s="98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99"/>
      <c r="S17" s="100"/>
      <c r="T17" s="99"/>
      <c r="U17" s="100"/>
      <c r="V17" s="99"/>
      <c r="W17" s="100"/>
      <c r="X17" s="99"/>
      <c r="Y17" s="100"/>
      <c r="Z17" s="99"/>
      <c r="AA17" s="100"/>
      <c r="AB17" s="99"/>
      <c r="AC17" s="100"/>
      <c r="AD17" s="99"/>
      <c r="AE17" s="100"/>
      <c r="AF17" s="99"/>
      <c r="AG17" s="100"/>
      <c r="AH17" s="99"/>
      <c r="AK17" s="99"/>
    </row>
    <row r="18" spans="1:37" x14ac:dyDescent="0.25">
      <c r="A18" s="98"/>
      <c r="B18" s="98"/>
      <c r="C18" s="98"/>
      <c r="D18" s="98"/>
      <c r="E18" s="98" t="s">
        <v>13</v>
      </c>
      <c r="F18" s="98"/>
      <c r="G18" s="98"/>
      <c r="H18" s="99"/>
      <c r="I18" s="100"/>
      <c r="J18" s="99"/>
      <c r="K18" s="100"/>
      <c r="L18" s="99"/>
      <c r="M18" s="100"/>
      <c r="N18" s="99"/>
      <c r="O18" s="100"/>
      <c r="P18" s="99"/>
      <c r="Q18" s="100"/>
      <c r="R18" s="99"/>
      <c r="S18" s="100"/>
      <c r="T18" s="99"/>
      <c r="U18" s="100"/>
      <c r="V18" s="99"/>
      <c r="W18" s="100"/>
      <c r="X18" s="99"/>
      <c r="Y18" s="100"/>
      <c r="Z18" s="99"/>
      <c r="AA18" s="100"/>
      <c r="AB18" s="99"/>
      <c r="AC18" s="100"/>
      <c r="AD18" s="99"/>
      <c r="AE18" s="100"/>
      <c r="AF18" s="99"/>
      <c r="AG18" s="100"/>
      <c r="AH18" s="99"/>
      <c r="AK18" s="99"/>
    </row>
    <row r="19" spans="1:37" x14ac:dyDescent="0.25">
      <c r="A19" s="98"/>
      <c r="B19" s="98"/>
      <c r="C19" s="98"/>
      <c r="D19" s="98"/>
      <c r="E19" s="98"/>
      <c r="F19" s="98" t="s">
        <v>14</v>
      </c>
      <c r="G19" s="98"/>
      <c r="H19" s="99">
        <v>68.760000000000005</v>
      </c>
      <c r="I19" s="100"/>
      <c r="J19" s="99">
        <v>0</v>
      </c>
      <c r="K19" s="100"/>
      <c r="L19" s="99">
        <v>50</v>
      </c>
      <c r="M19" s="100"/>
      <c r="N19" s="99">
        <v>78.13</v>
      </c>
      <c r="O19" s="100"/>
      <c r="P19" s="99">
        <v>120.63</v>
      </c>
      <c r="Q19" s="100"/>
      <c r="R19" s="99">
        <v>0</v>
      </c>
      <c r="S19" s="100"/>
      <c r="T19" s="99">
        <v>109.59</v>
      </c>
      <c r="U19" s="100"/>
      <c r="V19" s="99">
        <v>78.13</v>
      </c>
      <c r="W19" s="100"/>
      <c r="X19" s="99">
        <v>0</v>
      </c>
      <c r="Y19" s="100"/>
      <c r="Z19" s="99">
        <v>191.9</v>
      </c>
      <c r="AA19" s="100"/>
      <c r="AB19" s="99">
        <v>81.88</v>
      </c>
      <c r="AC19" s="100"/>
      <c r="AD19" s="99">
        <v>122.5</v>
      </c>
      <c r="AE19" s="100"/>
      <c r="AF19" s="99"/>
      <c r="AG19" s="100"/>
      <c r="AH19" s="99">
        <f t="shared" ref="AH19:AH31" si="1">ROUND(SUM(H19:AF19),5)</f>
        <v>901.52</v>
      </c>
      <c r="AK19" s="99">
        <v>0</v>
      </c>
    </row>
    <row r="20" spans="1:37" x14ac:dyDescent="0.25">
      <c r="A20" s="98"/>
      <c r="B20" s="98"/>
      <c r="C20" s="98"/>
      <c r="D20" s="98"/>
      <c r="E20" s="98"/>
      <c r="F20" s="98" t="s">
        <v>15</v>
      </c>
      <c r="G20" s="98"/>
      <c r="H20" s="99">
        <v>16703.21</v>
      </c>
      <c r="I20" s="100"/>
      <c r="J20" s="99">
        <v>22434.95</v>
      </c>
      <c r="K20" s="100"/>
      <c r="L20" s="99">
        <v>15907.64</v>
      </c>
      <c r="M20" s="100"/>
      <c r="N20" s="99">
        <v>17004.72</v>
      </c>
      <c r="O20" s="100"/>
      <c r="P20" s="99">
        <v>20547.8</v>
      </c>
      <c r="Q20" s="100"/>
      <c r="R20" s="99">
        <v>20542.5</v>
      </c>
      <c r="S20" s="100"/>
      <c r="T20" s="99">
        <v>20931.740000000002</v>
      </c>
      <c r="U20" s="100"/>
      <c r="V20" s="99">
        <v>25708.82</v>
      </c>
      <c r="W20" s="100"/>
      <c r="X20" s="99">
        <v>16968.810000000001</v>
      </c>
      <c r="Y20" s="100"/>
      <c r="Z20" s="99">
        <v>18331.91</v>
      </c>
      <c r="AA20" s="100"/>
      <c r="AB20" s="99">
        <v>22910.58</v>
      </c>
      <c r="AC20" s="100"/>
      <c r="AD20" s="99">
        <v>18801.09</v>
      </c>
      <c r="AE20" s="100"/>
      <c r="AF20" s="99"/>
      <c r="AG20" s="100"/>
      <c r="AH20" s="99">
        <f t="shared" si="1"/>
        <v>236793.77</v>
      </c>
      <c r="AK20" s="99">
        <v>8413.7999999999993</v>
      </c>
    </row>
    <row r="21" spans="1:37" x14ac:dyDescent="0.25">
      <c r="A21" s="98"/>
      <c r="B21" s="98"/>
      <c r="C21" s="98"/>
      <c r="D21" s="98"/>
      <c r="E21" s="98"/>
      <c r="F21" s="98" t="s">
        <v>16</v>
      </c>
      <c r="G21" s="98"/>
      <c r="H21" s="99">
        <v>721.4</v>
      </c>
      <c r="I21" s="100"/>
      <c r="J21" s="99">
        <v>3036.08</v>
      </c>
      <c r="K21" s="100"/>
      <c r="L21" s="99">
        <v>1816.72</v>
      </c>
      <c r="M21" s="100"/>
      <c r="N21" s="99">
        <v>612.54999999999995</v>
      </c>
      <c r="O21" s="100"/>
      <c r="P21" s="99">
        <v>2347.9499999999998</v>
      </c>
      <c r="Q21" s="100"/>
      <c r="R21" s="99">
        <v>1941.07</v>
      </c>
      <c r="S21" s="100"/>
      <c r="T21" s="99">
        <v>1085.22</v>
      </c>
      <c r="U21" s="100"/>
      <c r="V21" s="99">
        <v>1761.63</v>
      </c>
      <c r="W21" s="100"/>
      <c r="X21" s="99">
        <v>1937.94</v>
      </c>
      <c r="Y21" s="100"/>
      <c r="Z21" s="99">
        <v>2224.25</v>
      </c>
      <c r="AA21" s="100"/>
      <c r="AB21" s="99">
        <v>1094.0899999999999</v>
      </c>
      <c r="AC21" s="100"/>
      <c r="AD21" s="99">
        <v>1789.43</v>
      </c>
      <c r="AE21" s="100"/>
      <c r="AF21" s="99"/>
      <c r="AG21" s="100"/>
      <c r="AH21" s="99">
        <f t="shared" si="1"/>
        <v>20368.330000000002</v>
      </c>
      <c r="AK21" s="99">
        <v>1273.3</v>
      </c>
    </row>
    <row r="22" spans="1:37" x14ac:dyDescent="0.25">
      <c r="A22" s="98"/>
      <c r="B22" s="98"/>
      <c r="C22" s="98"/>
      <c r="D22" s="98"/>
      <c r="E22" s="98"/>
      <c r="F22" s="98" t="s">
        <v>17</v>
      </c>
      <c r="G22" s="98"/>
      <c r="H22" s="99">
        <v>560.70000000000005</v>
      </c>
      <c r="I22" s="100"/>
      <c r="J22" s="99">
        <v>1138.7</v>
      </c>
      <c r="K22" s="100"/>
      <c r="L22" s="99">
        <v>145.16</v>
      </c>
      <c r="M22" s="100"/>
      <c r="N22" s="99">
        <v>313.64999999999998</v>
      </c>
      <c r="O22" s="100"/>
      <c r="P22" s="99">
        <v>917.45</v>
      </c>
      <c r="Q22" s="100"/>
      <c r="R22" s="99">
        <v>7.64</v>
      </c>
      <c r="S22" s="100"/>
      <c r="T22" s="99">
        <v>175.35</v>
      </c>
      <c r="U22" s="100"/>
      <c r="V22" s="99">
        <v>475.65</v>
      </c>
      <c r="W22" s="100"/>
      <c r="X22" s="99">
        <v>383.05</v>
      </c>
      <c r="Y22" s="100"/>
      <c r="Z22" s="99">
        <v>436.35</v>
      </c>
      <c r="AA22" s="100"/>
      <c r="AB22" s="99">
        <v>909.35</v>
      </c>
      <c r="AC22" s="100"/>
      <c r="AD22" s="99">
        <v>309.3</v>
      </c>
      <c r="AE22" s="100"/>
      <c r="AF22" s="99"/>
      <c r="AG22" s="100"/>
      <c r="AH22" s="99">
        <f t="shared" si="1"/>
        <v>5772.35</v>
      </c>
      <c r="AK22" s="99">
        <v>0</v>
      </c>
    </row>
    <row r="23" spans="1:37" x14ac:dyDescent="0.25">
      <c r="A23" s="98"/>
      <c r="B23" s="98"/>
      <c r="C23" s="98"/>
      <c r="D23" s="98"/>
      <c r="E23" s="98"/>
      <c r="F23" s="98" t="s">
        <v>18</v>
      </c>
      <c r="G23" s="98"/>
      <c r="H23" s="99">
        <v>1565.6</v>
      </c>
      <c r="I23" s="100"/>
      <c r="J23" s="99">
        <v>0</v>
      </c>
      <c r="K23" s="100"/>
      <c r="L23" s="99">
        <v>1335.6</v>
      </c>
      <c r="M23" s="100"/>
      <c r="N23" s="99">
        <v>1335.6</v>
      </c>
      <c r="O23" s="100"/>
      <c r="P23" s="99">
        <v>4026.8</v>
      </c>
      <c r="Q23" s="100"/>
      <c r="R23" s="99">
        <v>0</v>
      </c>
      <c r="S23" s="100"/>
      <c r="T23" s="99">
        <v>0</v>
      </c>
      <c r="U23" s="100"/>
      <c r="V23" s="99">
        <v>0</v>
      </c>
      <c r="W23" s="100"/>
      <c r="X23" s="99">
        <v>1222.8</v>
      </c>
      <c r="Y23" s="100"/>
      <c r="Z23" s="99">
        <v>0</v>
      </c>
      <c r="AA23" s="100"/>
      <c r="AB23" s="99">
        <v>1322.8</v>
      </c>
      <c r="AC23" s="100"/>
      <c r="AD23" s="99">
        <v>0</v>
      </c>
      <c r="AE23" s="100"/>
      <c r="AF23" s="99"/>
      <c r="AG23" s="100"/>
      <c r="AH23" s="99">
        <f t="shared" si="1"/>
        <v>10809.2</v>
      </c>
      <c r="AK23" s="99">
        <v>1327.8</v>
      </c>
    </row>
    <row r="24" spans="1:37" x14ac:dyDescent="0.25">
      <c r="A24" s="98"/>
      <c r="B24" s="98"/>
      <c r="C24" s="98"/>
      <c r="D24" s="98"/>
      <c r="E24" s="98"/>
      <c r="F24" s="98" t="s">
        <v>20</v>
      </c>
      <c r="G24" s="98"/>
      <c r="H24" s="99">
        <v>1201.25</v>
      </c>
      <c r="I24" s="100"/>
      <c r="J24" s="99">
        <v>1630.82</v>
      </c>
      <c r="K24" s="100"/>
      <c r="L24" s="99">
        <v>1178.6400000000001</v>
      </c>
      <c r="M24" s="100"/>
      <c r="N24" s="99">
        <v>1201.26</v>
      </c>
      <c r="O24" s="100"/>
      <c r="P24" s="99">
        <v>1714.6</v>
      </c>
      <c r="Q24" s="100"/>
      <c r="R24" s="99">
        <v>1379.28</v>
      </c>
      <c r="S24" s="100"/>
      <c r="T24" s="99">
        <v>1367.52</v>
      </c>
      <c r="U24" s="100"/>
      <c r="V24" s="99">
        <v>1718.55</v>
      </c>
      <c r="W24" s="100"/>
      <c r="X24" s="99">
        <v>1256.6099999999999</v>
      </c>
      <c r="Y24" s="100"/>
      <c r="Z24" s="99">
        <v>1298.23</v>
      </c>
      <c r="AA24" s="100"/>
      <c r="AB24" s="99">
        <v>1612.8</v>
      </c>
      <c r="AC24" s="100"/>
      <c r="AD24" s="99">
        <v>1319.35</v>
      </c>
      <c r="AE24" s="100"/>
      <c r="AF24" s="99"/>
      <c r="AG24" s="100"/>
      <c r="AH24" s="99">
        <f t="shared" si="1"/>
        <v>16878.91</v>
      </c>
      <c r="AK24" s="99">
        <v>675.34</v>
      </c>
    </row>
    <row r="25" spans="1:37" x14ac:dyDescent="0.25">
      <c r="A25" s="98"/>
      <c r="B25" s="98"/>
      <c r="C25" s="98"/>
      <c r="D25" s="98"/>
      <c r="E25" s="98"/>
      <c r="F25" s="98" t="s">
        <v>21</v>
      </c>
      <c r="G25" s="98"/>
      <c r="H25" s="99">
        <v>280.94</v>
      </c>
      <c r="I25" s="100"/>
      <c r="J25" s="99">
        <v>381.42</v>
      </c>
      <c r="K25" s="100"/>
      <c r="L25" s="99">
        <v>275.63</v>
      </c>
      <c r="M25" s="100"/>
      <c r="N25" s="99">
        <v>280.95</v>
      </c>
      <c r="O25" s="100"/>
      <c r="P25" s="99">
        <v>401</v>
      </c>
      <c r="Q25" s="100"/>
      <c r="R25" s="99">
        <v>322.57</v>
      </c>
      <c r="S25" s="100"/>
      <c r="T25" s="99">
        <v>319.82</v>
      </c>
      <c r="U25" s="100"/>
      <c r="V25" s="99">
        <v>401.93</v>
      </c>
      <c r="W25" s="100"/>
      <c r="X25" s="99">
        <v>293.87</v>
      </c>
      <c r="Y25" s="100"/>
      <c r="Z25" s="99">
        <v>303.62</v>
      </c>
      <c r="AA25" s="100"/>
      <c r="AB25" s="99">
        <v>377.2</v>
      </c>
      <c r="AC25" s="100"/>
      <c r="AD25" s="99">
        <v>306.35000000000002</v>
      </c>
      <c r="AE25" s="100"/>
      <c r="AF25" s="99"/>
      <c r="AG25" s="100"/>
      <c r="AH25" s="99">
        <f t="shared" si="1"/>
        <v>3945.3</v>
      </c>
      <c r="AK25" s="99">
        <v>157.93</v>
      </c>
    </row>
    <row r="26" spans="1:37" x14ac:dyDescent="0.25">
      <c r="A26" s="98"/>
      <c r="B26" s="98"/>
      <c r="C26" s="98"/>
      <c r="D26" s="98"/>
      <c r="E26" s="98"/>
      <c r="F26" s="98" t="s">
        <v>22</v>
      </c>
      <c r="G26" s="98"/>
      <c r="H26" s="99">
        <v>0</v>
      </c>
      <c r="I26" s="100"/>
      <c r="J26" s="99">
        <v>0</v>
      </c>
      <c r="K26" s="100"/>
      <c r="L26" s="99">
        <v>0</v>
      </c>
      <c r="M26" s="100"/>
      <c r="N26" s="99">
        <v>18000</v>
      </c>
      <c r="O26" s="100"/>
      <c r="P26" s="99">
        <v>0</v>
      </c>
      <c r="Q26" s="100"/>
      <c r="R26" s="99">
        <v>0</v>
      </c>
      <c r="S26" s="100"/>
      <c r="T26" s="99">
        <v>0</v>
      </c>
      <c r="U26" s="100"/>
      <c r="V26" s="99">
        <v>0</v>
      </c>
      <c r="W26" s="100"/>
      <c r="X26" s="99">
        <v>0</v>
      </c>
      <c r="Y26" s="100"/>
      <c r="Z26" s="99">
        <v>0</v>
      </c>
      <c r="AA26" s="100"/>
      <c r="AB26" s="99">
        <v>0</v>
      </c>
      <c r="AC26" s="100"/>
      <c r="AD26" s="99">
        <v>0</v>
      </c>
      <c r="AE26" s="100"/>
      <c r="AF26" s="99"/>
      <c r="AG26" s="100"/>
      <c r="AH26" s="99">
        <f t="shared" si="1"/>
        <v>18000</v>
      </c>
      <c r="AK26" s="99">
        <v>0</v>
      </c>
    </row>
    <row r="27" spans="1:37" x14ac:dyDescent="0.25">
      <c r="A27" s="98"/>
      <c r="B27" s="98"/>
      <c r="C27" s="98"/>
      <c r="D27" s="98"/>
      <c r="E27" s="98"/>
      <c r="F27" s="98" t="s">
        <v>23</v>
      </c>
      <c r="G27" s="98"/>
      <c r="H27" s="99">
        <v>5483.3</v>
      </c>
      <c r="I27" s="100"/>
      <c r="J27" s="99">
        <v>5873.4</v>
      </c>
      <c r="K27" s="100"/>
      <c r="L27" s="99">
        <v>5483.3</v>
      </c>
      <c r="M27" s="100"/>
      <c r="N27" s="99">
        <v>5483.3</v>
      </c>
      <c r="O27" s="100"/>
      <c r="P27" s="99">
        <v>5810.9</v>
      </c>
      <c r="Q27" s="100"/>
      <c r="R27" s="99">
        <v>5218.2</v>
      </c>
      <c r="S27" s="100"/>
      <c r="T27" s="99">
        <v>5810.9</v>
      </c>
      <c r="U27" s="100"/>
      <c r="V27" s="99">
        <v>5218.2</v>
      </c>
      <c r="W27" s="100"/>
      <c r="X27" s="99">
        <v>5572.28</v>
      </c>
      <c r="Y27" s="100"/>
      <c r="Z27" s="99">
        <v>5750.39</v>
      </c>
      <c r="AA27" s="100"/>
      <c r="AB27" s="99">
        <v>5874.23</v>
      </c>
      <c r="AC27" s="100"/>
      <c r="AD27" s="99">
        <v>5586.59</v>
      </c>
      <c r="AE27" s="100"/>
      <c r="AF27" s="99"/>
      <c r="AG27" s="100"/>
      <c r="AH27" s="99">
        <f t="shared" si="1"/>
        <v>67164.990000000005</v>
      </c>
      <c r="AK27" s="99">
        <v>218.4</v>
      </c>
    </row>
    <row r="28" spans="1:37" x14ac:dyDescent="0.25">
      <c r="A28" s="98"/>
      <c r="B28" s="98"/>
      <c r="C28" s="98"/>
      <c r="D28" s="98"/>
      <c r="E28" s="98"/>
      <c r="F28" s="98" t="s">
        <v>27</v>
      </c>
      <c r="G28" s="98"/>
      <c r="H28" s="99">
        <v>19.28</v>
      </c>
      <c r="I28" s="100"/>
      <c r="J28" s="99">
        <v>0</v>
      </c>
      <c r="K28" s="100"/>
      <c r="L28" s="99">
        <v>1.04</v>
      </c>
      <c r="M28" s="100"/>
      <c r="N28" s="99">
        <v>1.62</v>
      </c>
      <c r="O28" s="100"/>
      <c r="P28" s="99">
        <v>580.63</v>
      </c>
      <c r="Q28" s="100"/>
      <c r="R28" s="99">
        <v>306.25</v>
      </c>
      <c r="S28" s="100"/>
      <c r="T28" s="99">
        <v>138.62</v>
      </c>
      <c r="U28" s="100"/>
      <c r="V28" s="99">
        <v>55.45</v>
      </c>
      <c r="W28" s="100"/>
      <c r="X28" s="99">
        <v>25.62</v>
      </c>
      <c r="Y28" s="100"/>
      <c r="Z28" s="99">
        <v>41.13</v>
      </c>
      <c r="AA28" s="100"/>
      <c r="AB28" s="99">
        <v>44.9</v>
      </c>
      <c r="AC28" s="100"/>
      <c r="AD28" s="99">
        <v>40.090000000000003</v>
      </c>
      <c r="AE28" s="100"/>
      <c r="AF28" s="99"/>
      <c r="AG28" s="100"/>
      <c r="AH28" s="99">
        <f t="shared" si="1"/>
        <v>1254.6300000000001</v>
      </c>
      <c r="AK28" s="99">
        <v>27.43</v>
      </c>
    </row>
    <row r="29" spans="1:37" x14ac:dyDescent="0.25">
      <c r="A29" s="98"/>
      <c r="B29" s="98"/>
      <c r="C29" s="98"/>
      <c r="D29" s="98"/>
      <c r="E29" s="98"/>
      <c r="F29" s="98" t="s">
        <v>28</v>
      </c>
      <c r="G29" s="98"/>
      <c r="H29" s="99">
        <v>0</v>
      </c>
      <c r="I29" s="100"/>
      <c r="J29" s="99">
        <v>0</v>
      </c>
      <c r="K29" s="100"/>
      <c r="L29" s="99">
        <v>0</v>
      </c>
      <c r="M29" s="100"/>
      <c r="N29" s="99">
        <v>0</v>
      </c>
      <c r="O29" s="100"/>
      <c r="P29" s="99">
        <v>1727</v>
      </c>
      <c r="Q29" s="100"/>
      <c r="R29" s="99">
        <v>0</v>
      </c>
      <c r="S29" s="100"/>
      <c r="T29" s="99">
        <v>0</v>
      </c>
      <c r="U29" s="100"/>
      <c r="V29" s="99">
        <v>0</v>
      </c>
      <c r="W29" s="100"/>
      <c r="X29" s="99">
        <v>0</v>
      </c>
      <c r="Y29" s="100"/>
      <c r="Z29" s="99">
        <v>0</v>
      </c>
      <c r="AA29" s="100"/>
      <c r="AB29" s="99">
        <v>0</v>
      </c>
      <c r="AC29" s="100"/>
      <c r="AD29" s="99">
        <v>0</v>
      </c>
      <c r="AE29" s="100"/>
      <c r="AF29" s="99"/>
      <c r="AG29" s="100"/>
      <c r="AH29" s="99">
        <f t="shared" si="1"/>
        <v>1727</v>
      </c>
      <c r="AK29" s="99">
        <v>0</v>
      </c>
    </row>
    <row r="30" spans="1:37" ht="15.75" thickBot="1" x14ac:dyDescent="0.3">
      <c r="A30" s="98"/>
      <c r="B30" s="98"/>
      <c r="C30" s="98"/>
      <c r="D30" s="98"/>
      <c r="E30" s="98"/>
      <c r="F30" s="98" t="s">
        <v>29</v>
      </c>
      <c r="G30" s="98"/>
      <c r="H30" s="101">
        <v>40</v>
      </c>
      <c r="I30" s="100"/>
      <c r="J30" s="101">
        <v>0</v>
      </c>
      <c r="K30" s="100"/>
      <c r="L30" s="101">
        <v>40</v>
      </c>
      <c r="M30" s="100"/>
      <c r="N30" s="101">
        <v>0</v>
      </c>
      <c r="O30" s="100"/>
      <c r="P30" s="101">
        <v>40</v>
      </c>
      <c r="Q30" s="100"/>
      <c r="R30" s="101">
        <v>0</v>
      </c>
      <c r="S30" s="100"/>
      <c r="T30" s="101">
        <v>0</v>
      </c>
      <c r="U30" s="100"/>
      <c r="V30" s="101">
        <v>0</v>
      </c>
      <c r="W30" s="100"/>
      <c r="X30" s="101">
        <v>0</v>
      </c>
      <c r="Y30" s="100"/>
      <c r="Z30" s="101">
        <v>35</v>
      </c>
      <c r="AA30" s="100"/>
      <c r="AB30" s="101">
        <v>0</v>
      </c>
      <c r="AC30" s="100"/>
      <c r="AD30" s="101">
        <v>0</v>
      </c>
      <c r="AE30" s="100"/>
      <c r="AF30" s="101"/>
      <c r="AG30" s="100"/>
      <c r="AH30" s="101">
        <f t="shared" si="1"/>
        <v>155</v>
      </c>
      <c r="AK30" s="101">
        <v>35</v>
      </c>
    </row>
    <row r="31" spans="1:37" x14ac:dyDescent="0.25">
      <c r="A31" s="98"/>
      <c r="B31" s="98"/>
      <c r="C31" s="98"/>
      <c r="D31" s="98"/>
      <c r="E31" s="98" t="s">
        <v>30</v>
      </c>
      <c r="F31" s="98"/>
      <c r="G31" s="98"/>
      <c r="H31" s="99">
        <f>ROUND(SUM(H18:H30),5)</f>
        <v>26644.44</v>
      </c>
      <c r="I31" s="100"/>
      <c r="J31" s="99">
        <f>ROUND(SUM(J18:J30),5)</f>
        <v>34495.370000000003</v>
      </c>
      <c r="K31" s="100"/>
      <c r="L31" s="99">
        <f>ROUND(SUM(L18:L30),5)</f>
        <v>26233.73</v>
      </c>
      <c r="M31" s="100"/>
      <c r="N31" s="99">
        <f>ROUND(SUM(N18:N30),5)</f>
        <v>44311.78</v>
      </c>
      <c r="O31" s="100"/>
      <c r="P31" s="99">
        <f>ROUND(SUM(P18:P30),5)</f>
        <v>38234.76</v>
      </c>
      <c r="Q31" s="100"/>
      <c r="R31" s="99">
        <f>ROUND(SUM(R18:R30),5)</f>
        <v>29717.51</v>
      </c>
      <c r="S31" s="100"/>
      <c r="T31" s="99">
        <f>ROUND(SUM(T18:T30),5)</f>
        <v>29938.76</v>
      </c>
      <c r="U31" s="100"/>
      <c r="V31" s="99">
        <f>ROUND(SUM(V18:V30),5)</f>
        <v>35418.36</v>
      </c>
      <c r="W31" s="100"/>
      <c r="X31" s="99">
        <f>ROUND(SUM(X18:X30),5)</f>
        <v>27660.98</v>
      </c>
      <c r="Y31" s="100"/>
      <c r="Z31" s="99">
        <f>ROUND(SUM(Z18:Z30),5)</f>
        <v>28612.78</v>
      </c>
      <c r="AA31" s="100"/>
      <c r="AB31" s="99">
        <f>ROUND(SUM(AB18:AB30),5)</f>
        <v>34227.83</v>
      </c>
      <c r="AC31" s="100"/>
      <c r="AD31" s="99">
        <f>ROUND(SUM(AD18:AD30),5)</f>
        <v>28274.7</v>
      </c>
      <c r="AE31" s="100"/>
      <c r="AF31" s="99"/>
      <c r="AG31" s="100"/>
      <c r="AH31" s="99">
        <f t="shared" si="1"/>
        <v>383771</v>
      </c>
      <c r="AK31" s="99">
        <f>ROUND(SUM(AK18:AK30),5)</f>
        <v>12129</v>
      </c>
    </row>
    <row r="32" spans="1:37" ht="30" customHeight="1" x14ac:dyDescent="0.25">
      <c r="A32" s="98"/>
      <c r="B32" s="98"/>
      <c r="C32" s="98"/>
      <c r="D32" s="98"/>
      <c r="E32" s="98" t="s">
        <v>31</v>
      </c>
      <c r="F32" s="98"/>
      <c r="G32" s="98"/>
      <c r="H32" s="99"/>
      <c r="I32" s="100"/>
      <c r="J32" s="99"/>
      <c r="K32" s="100"/>
      <c r="L32" s="99"/>
      <c r="M32" s="100"/>
      <c r="N32" s="99"/>
      <c r="O32" s="100"/>
      <c r="P32" s="99"/>
      <c r="Q32" s="100"/>
      <c r="R32" s="99"/>
      <c r="S32" s="100"/>
      <c r="T32" s="99"/>
      <c r="U32" s="100"/>
      <c r="V32" s="99"/>
      <c r="W32" s="100"/>
      <c r="X32" s="99"/>
      <c r="Y32" s="100"/>
      <c r="Z32" s="99"/>
      <c r="AA32" s="100"/>
      <c r="AB32" s="99"/>
      <c r="AC32" s="100"/>
      <c r="AD32" s="99"/>
      <c r="AE32" s="100"/>
      <c r="AF32" s="99"/>
      <c r="AG32" s="100"/>
      <c r="AH32" s="99"/>
      <c r="AK32" s="99"/>
    </row>
    <row r="33" spans="1:37" x14ac:dyDescent="0.25">
      <c r="A33" s="98"/>
      <c r="B33" s="98"/>
      <c r="C33" s="98"/>
      <c r="D33" s="98"/>
      <c r="E33" s="98"/>
      <c r="F33" s="98" t="s">
        <v>32</v>
      </c>
      <c r="G33" s="98"/>
      <c r="H33" s="99">
        <v>0</v>
      </c>
      <c r="I33" s="100"/>
      <c r="J33" s="99">
        <v>0</v>
      </c>
      <c r="K33" s="100"/>
      <c r="L33" s="99">
        <v>0</v>
      </c>
      <c r="M33" s="100"/>
      <c r="N33" s="99">
        <v>125</v>
      </c>
      <c r="O33" s="100"/>
      <c r="P33" s="99">
        <v>62.5</v>
      </c>
      <c r="Q33" s="100"/>
      <c r="R33" s="99">
        <v>0</v>
      </c>
      <c r="S33" s="100"/>
      <c r="T33" s="99">
        <v>0</v>
      </c>
      <c r="U33" s="100"/>
      <c r="V33" s="99">
        <v>0</v>
      </c>
      <c r="W33" s="100"/>
      <c r="X33" s="99">
        <v>0</v>
      </c>
      <c r="Y33" s="100"/>
      <c r="Z33" s="99">
        <v>0</v>
      </c>
      <c r="AA33" s="100"/>
      <c r="AB33" s="99">
        <v>375</v>
      </c>
      <c r="AC33" s="100"/>
      <c r="AD33" s="99">
        <v>0</v>
      </c>
      <c r="AE33" s="100"/>
      <c r="AF33" s="99"/>
      <c r="AG33" s="100"/>
      <c r="AH33" s="99">
        <f t="shared" ref="AH33:AH43" si="2">ROUND(SUM(H33:AF33),5)</f>
        <v>562.5</v>
      </c>
      <c r="AK33" s="99">
        <v>0</v>
      </c>
    </row>
    <row r="34" spans="1:37" x14ac:dyDescent="0.25">
      <c r="A34" s="98"/>
      <c r="B34" s="98"/>
      <c r="C34" s="98"/>
      <c r="D34" s="98"/>
      <c r="E34" s="98"/>
      <c r="F34" s="98" t="s">
        <v>33</v>
      </c>
      <c r="G34" s="98"/>
      <c r="H34" s="99">
        <v>0</v>
      </c>
      <c r="I34" s="100"/>
      <c r="J34" s="99">
        <v>8311.66</v>
      </c>
      <c r="K34" s="100"/>
      <c r="L34" s="99">
        <v>0</v>
      </c>
      <c r="M34" s="100"/>
      <c r="N34" s="99">
        <v>414.12</v>
      </c>
      <c r="O34" s="100"/>
      <c r="P34" s="99">
        <v>0</v>
      </c>
      <c r="Q34" s="100"/>
      <c r="R34" s="99">
        <v>0</v>
      </c>
      <c r="S34" s="100"/>
      <c r="T34" s="99">
        <v>0</v>
      </c>
      <c r="U34" s="100"/>
      <c r="V34" s="99">
        <v>2317.14</v>
      </c>
      <c r="W34" s="100"/>
      <c r="X34" s="99">
        <v>7948.67</v>
      </c>
      <c r="Y34" s="100"/>
      <c r="Z34" s="99">
        <v>3746.3</v>
      </c>
      <c r="AA34" s="100"/>
      <c r="AB34" s="99">
        <v>5935.05</v>
      </c>
      <c r="AC34" s="100"/>
      <c r="AD34" s="99">
        <v>0</v>
      </c>
      <c r="AE34" s="100"/>
      <c r="AF34" s="99"/>
      <c r="AG34" s="100"/>
      <c r="AH34" s="99">
        <f t="shared" si="2"/>
        <v>28672.94</v>
      </c>
      <c r="AK34" s="99">
        <v>0</v>
      </c>
    </row>
    <row r="35" spans="1:37" x14ac:dyDescent="0.25">
      <c r="A35" s="98"/>
      <c r="B35" s="98"/>
      <c r="C35" s="98"/>
      <c r="D35" s="98"/>
      <c r="E35" s="98"/>
      <c r="F35" s="98" t="s">
        <v>35</v>
      </c>
      <c r="G35" s="98"/>
      <c r="H35" s="99">
        <v>2083.33</v>
      </c>
      <c r="I35" s="100"/>
      <c r="J35" s="99">
        <v>2083.33</v>
      </c>
      <c r="K35" s="100"/>
      <c r="L35" s="99">
        <v>2083.33</v>
      </c>
      <c r="M35" s="100"/>
      <c r="N35" s="99">
        <v>2083.33</v>
      </c>
      <c r="O35" s="100"/>
      <c r="P35" s="99">
        <v>2083.33</v>
      </c>
      <c r="Q35" s="100"/>
      <c r="R35" s="99">
        <v>2083.33</v>
      </c>
      <c r="S35" s="100"/>
      <c r="T35" s="99">
        <v>2083.33</v>
      </c>
      <c r="U35" s="100"/>
      <c r="V35" s="99">
        <v>2083.33</v>
      </c>
      <c r="W35" s="100"/>
      <c r="X35" s="99">
        <v>0</v>
      </c>
      <c r="Y35" s="100"/>
      <c r="Z35" s="99">
        <v>4416.66</v>
      </c>
      <c r="AA35" s="100"/>
      <c r="AB35" s="99">
        <v>2083.33</v>
      </c>
      <c r="AC35" s="100"/>
      <c r="AD35" s="99">
        <v>2083.33</v>
      </c>
      <c r="AE35" s="100"/>
      <c r="AF35" s="99"/>
      <c r="AG35" s="100"/>
      <c r="AH35" s="99">
        <f t="shared" si="2"/>
        <v>25249.96</v>
      </c>
      <c r="AK35" s="99">
        <v>0</v>
      </c>
    </row>
    <row r="36" spans="1:37" x14ac:dyDescent="0.25">
      <c r="A36" s="98"/>
      <c r="B36" s="98"/>
      <c r="C36" s="98"/>
      <c r="D36" s="98"/>
      <c r="E36" s="98"/>
      <c r="F36" s="98" t="s">
        <v>36</v>
      </c>
      <c r="G36" s="98"/>
      <c r="H36" s="99">
        <v>331.07</v>
      </c>
      <c r="I36" s="100"/>
      <c r="J36" s="99">
        <v>90.11</v>
      </c>
      <c r="K36" s="100"/>
      <c r="L36" s="99">
        <v>118</v>
      </c>
      <c r="M36" s="100"/>
      <c r="N36" s="99">
        <v>0</v>
      </c>
      <c r="O36" s="100"/>
      <c r="P36" s="99">
        <v>0</v>
      </c>
      <c r="Q36" s="100"/>
      <c r="R36" s="99">
        <v>0</v>
      </c>
      <c r="S36" s="100"/>
      <c r="T36" s="99">
        <v>0</v>
      </c>
      <c r="U36" s="100"/>
      <c r="V36" s="99">
        <v>42.54</v>
      </c>
      <c r="W36" s="100"/>
      <c r="X36" s="99">
        <v>234.11</v>
      </c>
      <c r="Y36" s="100"/>
      <c r="Z36" s="99">
        <v>115</v>
      </c>
      <c r="AA36" s="100"/>
      <c r="AB36" s="99">
        <v>240.52</v>
      </c>
      <c r="AC36" s="100"/>
      <c r="AD36" s="99">
        <v>0</v>
      </c>
      <c r="AE36" s="100"/>
      <c r="AF36" s="99"/>
      <c r="AG36" s="100"/>
      <c r="AH36" s="99">
        <f t="shared" si="2"/>
        <v>1171.3499999999999</v>
      </c>
      <c r="AK36" s="99">
        <v>0</v>
      </c>
    </row>
    <row r="37" spans="1:37" x14ac:dyDescent="0.25">
      <c r="A37" s="98"/>
      <c r="B37" s="98"/>
      <c r="C37" s="98"/>
      <c r="D37" s="98"/>
      <c r="E37" s="98"/>
      <c r="F37" s="98" t="s">
        <v>37</v>
      </c>
      <c r="G37" s="98"/>
      <c r="H37" s="99">
        <v>843.75</v>
      </c>
      <c r="I37" s="100"/>
      <c r="J37" s="99">
        <v>1350</v>
      </c>
      <c r="K37" s="100"/>
      <c r="L37" s="99">
        <v>1620</v>
      </c>
      <c r="M37" s="100"/>
      <c r="N37" s="99">
        <v>607.5</v>
      </c>
      <c r="O37" s="100"/>
      <c r="P37" s="99">
        <v>742.5</v>
      </c>
      <c r="Q37" s="100"/>
      <c r="R37" s="99">
        <v>786.69</v>
      </c>
      <c r="S37" s="100"/>
      <c r="T37" s="99">
        <v>641.75</v>
      </c>
      <c r="U37" s="100"/>
      <c r="V37" s="99">
        <v>1417.5</v>
      </c>
      <c r="W37" s="100"/>
      <c r="X37" s="99">
        <v>3575</v>
      </c>
      <c r="Y37" s="100"/>
      <c r="Z37" s="99">
        <v>1282.5</v>
      </c>
      <c r="AA37" s="100"/>
      <c r="AB37" s="99">
        <v>2305.9</v>
      </c>
      <c r="AC37" s="100"/>
      <c r="AD37" s="99">
        <v>810</v>
      </c>
      <c r="AE37" s="100"/>
      <c r="AF37" s="99"/>
      <c r="AG37" s="100"/>
      <c r="AH37" s="99">
        <f t="shared" si="2"/>
        <v>15983.09</v>
      </c>
      <c r="AK37" s="99">
        <v>887.5</v>
      </c>
    </row>
    <row r="38" spans="1:37" x14ac:dyDescent="0.25">
      <c r="A38" s="98"/>
      <c r="B38" s="98"/>
      <c r="C38" s="98"/>
      <c r="D38" s="98"/>
      <c r="E38" s="98"/>
      <c r="F38" s="98" t="s">
        <v>38</v>
      </c>
      <c r="G38" s="98"/>
      <c r="H38" s="99">
        <v>0</v>
      </c>
      <c r="I38" s="100"/>
      <c r="J38" s="99">
        <v>0</v>
      </c>
      <c r="K38" s="100"/>
      <c r="L38" s="99">
        <v>0</v>
      </c>
      <c r="M38" s="100"/>
      <c r="N38" s="99">
        <v>0</v>
      </c>
      <c r="O38" s="100"/>
      <c r="P38" s="99">
        <v>0</v>
      </c>
      <c r="Q38" s="100"/>
      <c r="R38" s="99">
        <v>0</v>
      </c>
      <c r="S38" s="100"/>
      <c r="T38" s="99">
        <v>0</v>
      </c>
      <c r="U38" s="100"/>
      <c r="V38" s="99">
        <v>0</v>
      </c>
      <c r="W38" s="100"/>
      <c r="X38" s="99">
        <v>0</v>
      </c>
      <c r="Y38" s="100"/>
      <c r="Z38" s="99">
        <v>0</v>
      </c>
      <c r="AA38" s="100"/>
      <c r="AB38" s="99">
        <v>6900</v>
      </c>
      <c r="AC38" s="100"/>
      <c r="AD38" s="99">
        <v>1405.06</v>
      </c>
      <c r="AE38" s="100"/>
      <c r="AF38" s="99"/>
      <c r="AG38" s="100"/>
      <c r="AH38" s="99">
        <f t="shared" si="2"/>
        <v>8305.06</v>
      </c>
      <c r="AK38" s="99">
        <v>0</v>
      </c>
    </row>
    <row r="39" spans="1:37" x14ac:dyDescent="0.25">
      <c r="A39" s="98"/>
      <c r="B39" s="98"/>
      <c r="C39" s="98"/>
      <c r="D39" s="98"/>
      <c r="E39" s="98"/>
      <c r="F39" s="98" t="s">
        <v>39</v>
      </c>
      <c r="G39" s="98"/>
      <c r="H39" s="99">
        <v>16.52</v>
      </c>
      <c r="I39" s="100"/>
      <c r="J39" s="99">
        <v>33.6</v>
      </c>
      <c r="K39" s="100"/>
      <c r="L39" s="99">
        <v>28</v>
      </c>
      <c r="M39" s="100"/>
      <c r="N39" s="99">
        <v>30.8</v>
      </c>
      <c r="O39" s="100"/>
      <c r="P39" s="99">
        <v>74.48</v>
      </c>
      <c r="Q39" s="100"/>
      <c r="R39" s="99">
        <v>153.08000000000001</v>
      </c>
      <c r="S39" s="100"/>
      <c r="T39" s="99">
        <v>78.959999999999994</v>
      </c>
      <c r="U39" s="100"/>
      <c r="V39" s="99">
        <v>163.52000000000001</v>
      </c>
      <c r="W39" s="100"/>
      <c r="X39" s="99">
        <v>56.22</v>
      </c>
      <c r="Y39" s="100"/>
      <c r="Z39" s="99">
        <v>101.81</v>
      </c>
      <c r="AA39" s="100"/>
      <c r="AB39" s="99">
        <v>113.22</v>
      </c>
      <c r="AC39" s="100"/>
      <c r="AD39" s="99">
        <v>275.44</v>
      </c>
      <c r="AE39" s="100"/>
      <c r="AF39" s="99"/>
      <c r="AG39" s="100"/>
      <c r="AH39" s="99">
        <f t="shared" si="2"/>
        <v>1125.6500000000001</v>
      </c>
      <c r="AK39" s="99">
        <v>22.43</v>
      </c>
    </row>
    <row r="40" spans="1:37" x14ac:dyDescent="0.25">
      <c r="A40" s="98"/>
      <c r="B40" s="98"/>
      <c r="C40" s="98"/>
      <c r="D40" s="98"/>
      <c r="E40" s="98"/>
      <c r="F40" s="98" t="s">
        <v>40</v>
      </c>
      <c r="G40" s="98"/>
      <c r="H40" s="99">
        <v>0</v>
      </c>
      <c r="I40" s="100"/>
      <c r="J40" s="99">
        <v>0</v>
      </c>
      <c r="K40" s="100"/>
      <c r="L40" s="99">
        <v>0</v>
      </c>
      <c r="M40" s="100"/>
      <c r="N40" s="99">
        <v>0</v>
      </c>
      <c r="O40" s="100"/>
      <c r="P40" s="99">
        <v>0</v>
      </c>
      <c r="Q40" s="100"/>
      <c r="R40" s="99">
        <v>0</v>
      </c>
      <c r="S40" s="100"/>
      <c r="T40" s="99">
        <v>187</v>
      </c>
      <c r="U40" s="100"/>
      <c r="V40" s="99">
        <v>0</v>
      </c>
      <c r="W40" s="100"/>
      <c r="X40" s="99">
        <v>0</v>
      </c>
      <c r="Y40" s="100"/>
      <c r="Z40" s="99">
        <v>0</v>
      </c>
      <c r="AA40" s="100"/>
      <c r="AB40" s="99">
        <v>0</v>
      </c>
      <c r="AC40" s="100"/>
      <c r="AD40" s="99">
        <v>0</v>
      </c>
      <c r="AE40" s="100"/>
      <c r="AF40" s="99"/>
      <c r="AG40" s="100"/>
      <c r="AH40" s="99">
        <f t="shared" si="2"/>
        <v>187</v>
      </c>
      <c r="AK40" s="99">
        <v>0</v>
      </c>
    </row>
    <row r="41" spans="1:37" x14ac:dyDescent="0.25">
      <c r="A41" s="98"/>
      <c r="B41" s="98"/>
      <c r="C41" s="98"/>
      <c r="D41" s="98"/>
      <c r="E41" s="98"/>
      <c r="F41" s="98" t="s">
        <v>41</v>
      </c>
      <c r="G41" s="98"/>
      <c r="H41" s="99">
        <v>364.71</v>
      </c>
      <c r="I41" s="100"/>
      <c r="J41" s="99">
        <v>261.58999999999997</v>
      </c>
      <c r="K41" s="100"/>
      <c r="L41" s="99">
        <v>1662.02</v>
      </c>
      <c r="M41" s="100"/>
      <c r="N41" s="99">
        <v>264.81</v>
      </c>
      <c r="O41" s="100"/>
      <c r="P41" s="99">
        <v>309.61</v>
      </c>
      <c r="Q41" s="100"/>
      <c r="R41" s="99">
        <v>216.95</v>
      </c>
      <c r="S41" s="100"/>
      <c r="T41" s="99">
        <v>370.14</v>
      </c>
      <c r="U41" s="100"/>
      <c r="V41" s="99">
        <v>0</v>
      </c>
      <c r="W41" s="100"/>
      <c r="X41" s="99">
        <v>449.39</v>
      </c>
      <c r="Y41" s="100"/>
      <c r="Z41" s="99">
        <v>369.35</v>
      </c>
      <c r="AA41" s="100"/>
      <c r="AB41" s="99">
        <v>270.77999999999997</v>
      </c>
      <c r="AC41" s="100"/>
      <c r="AD41" s="99">
        <v>170.31</v>
      </c>
      <c r="AE41" s="100"/>
      <c r="AF41" s="99"/>
      <c r="AG41" s="100"/>
      <c r="AH41" s="99">
        <f t="shared" si="2"/>
        <v>4709.66</v>
      </c>
      <c r="AK41" s="99">
        <v>100</v>
      </c>
    </row>
    <row r="42" spans="1:37" x14ac:dyDescent="0.25">
      <c r="A42" s="98"/>
      <c r="B42" s="98"/>
      <c r="C42" s="98"/>
      <c r="D42" s="98"/>
      <c r="E42" s="98"/>
      <c r="F42" s="98" t="s">
        <v>42</v>
      </c>
      <c r="G42" s="98"/>
      <c r="H42" s="99">
        <v>0</v>
      </c>
      <c r="I42" s="100"/>
      <c r="J42" s="99">
        <v>0</v>
      </c>
      <c r="K42" s="100"/>
      <c r="L42" s="99">
        <v>0</v>
      </c>
      <c r="M42" s="100"/>
      <c r="N42" s="99">
        <v>67.31</v>
      </c>
      <c r="O42" s="100"/>
      <c r="P42" s="99">
        <v>120.77</v>
      </c>
      <c r="Q42" s="100"/>
      <c r="R42" s="99">
        <v>60.5</v>
      </c>
      <c r="S42" s="100"/>
      <c r="T42" s="99">
        <v>0</v>
      </c>
      <c r="U42" s="100"/>
      <c r="V42" s="99">
        <v>0</v>
      </c>
      <c r="W42" s="100"/>
      <c r="X42" s="99">
        <v>0</v>
      </c>
      <c r="Y42" s="100"/>
      <c r="Z42" s="99">
        <v>0</v>
      </c>
      <c r="AA42" s="100"/>
      <c r="AB42" s="99">
        <v>0</v>
      </c>
      <c r="AC42" s="100"/>
      <c r="AD42" s="99">
        <v>0</v>
      </c>
      <c r="AE42" s="100"/>
      <c r="AF42" s="99"/>
      <c r="AG42" s="100"/>
      <c r="AH42" s="99">
        <f t="shared" si="2"/>
        <v>248.58</v>
      </c>
      <c r="AK42" s="99">
        <v>0</v>
      </c>
    </row>
    <row r="43" spans="1:37" x14ac:dyDescent="0.25">
      <c r="A43" s="98"/>
      <c r="B43" s="98"/>
      <c r="C43" s="98"/>
      <c r="D43" s="98"/>
      <c r="E43" s="98"/>
      <c r="F43" s="98" t="s">
        <v>43</v>
      </c>
      <c r="G43" s="98"/>
      <c r="H43" s="99">
        <v>3257.67</v>
      </c>
      <c r="I43" s="100"/>
      <c r="J43" s="99">
        <v>8273.31</v>
      </c>
      <c r="K43" s="100"/>
      <c r="L43" s="99">
        <v>4071.75</v>
      </c>
      <c r="M43" s="100"/>
      <c r="N43" s="99">
        <v>3448.68</v>
      </c>
      <c r="O43" s="100"/>
      <c r="P43" s="99">
        <v>1926.91</v>
      </c>
      <c r="Q43" s="100"/>
      <c r="R43" s="99">
        <v>3460.08</v>
      </c>
      <c r="S43" s="100"/>
      <c r="T43" s="99">
        <v>9637.51</v>
      </c>
      <c r="U43" s="100"/>
      <c r="V43" s="99">
        <v>611.66999999999996</v>
      </c>
      <c r="W43" s="100"/>
      <c r="X43" s="99">
        <v>6396.78</v>
      </c>
      <c r="Y43" s="100"/>
      <c r="Z43" s="99">
        <v>4641.13</v>
      </c>
      <c r="AA43" s="100"/>
      <c r="AB43" s="99">
        <v>3054.43</v>
      </c>
      <c r="AC43" s="100"/>
      <c r="AD43" s="99">
        <v>3603.58</v>
      </c>
      <c r="AE43" s="100"/>
      <c r="AF43" s="99"/>
      <c r="AG43" s="100"/>
      <c r="AH43" s="99">
        <f t="shared" si="2"/>
        <v>52383.5</v>
      </c>
      <c r="AK43" s="99">
        <v>2215.06</v>
      </c>
    </row>
    <row r="44" spans="1:37" x14ac:dyDescent="0.25">
      <c r="A44" s="98"/>
      <c r="B44" s="98"/>
      <c r="C44" s="98"/>
      <c r="D44" s="98"/>
      <c r="E44" s="98"/>
      <c r="F44" s="98" t="s">
        <v>44</v>
      </c>
      <c r="G44" s="98"/>
      <c r="H44" s="99"/>
      <c r="I44" s="100"/>
      <c r="J44" s="99"/>
      <c r="K44" s="100"/>
      <c r="L44" s="99"/>
      <c r="M44" s="100"/>
      <c r="N44" s="99"/>
      <c r="O44" s="100"/>
      <c r="P44" s="99"/>
      <c r="Q44" s="100"/>
      <c r="R44" s="99"/>
      <c r="S44" s="100"/>
      <c r="T44" s="99"/>
      <c r="U44" s="100"/>
      <c r="V44" s="99"/>
      <c r="W44" s="100"/>
      <c r="X44" s="99"/>
      <c r="Y44" s="100"/>
      <c r="Z44" s="99"/>
      <c r="AA44" s="100"/>
      <c r="AB44" s="99"/>
      <c r="AC44" s="100"/>
      <c r="AD44" s="99"/>
      <c r="AE44" s="100"/>
      <c r="AF44" s="99"/>
      <c r="AG44" s="100"/>
      <c r="AH44" s="99"/>
      <c r="AK44" s="99"/>
    </row>
    <row r="45" spans="1:37" x14ac:dyDescent="0.25">
      <c r="A45" s="98"/>
      <c r="B45" s="98"/>
      <c r="C45" s="98"/>
      <c r="D45" s="98"/>
      <c r="E45" s="98"/>
      <c r="F45" s="98"/>
      <c r="G45" s="98" t="s">
        <v>288</v>
      </c>
      <c r="H45" s="99">
        <v>0</v>
      </c>
      <c r="I45" s="100"/>
      <c r="J45" s="99">
        <v>0</v>
      </c>
      <c r="K45" s="100"/>
      <c r="L45" s="99">
        <v>0</v>
      </c>
      <c r="M45" s="100"/>
      <c r="N45" s="99">
        <v>138.84</v>
      </c>
      <c r="O45" s="100"/>
      <c r="P45" s="99">
        <v>0</v>
      </c>
      <c r="Q45" s="100"/>
      <c r="R45" s="99">
        <v>0</v>
      </c>
      <c r="S45" s="100"/>
      <c r="T45" s="99">
        <v>0</v>
      </c>
      <c r="U45" s="100"/>
      <c r="V45" s="99">
        <v>0</v>
      </c>
      <c r="W45" s="100"/>
      <c r="X45" s="99">
        <v>0</v>
      </c>
      <c r="Y45" s="100"/>
      <c r="Z45" s="99">
        <v>0</v>
      </c>
      <c r="AA45" s="100"/>
      <c r="AB45" s="99">
        <v>0</v>
      </c>
      <c r="AC45" s="100"/>
      <c r="AD45" s="99">
        <v>0</v>
      </c>
      <c r="AE45" s="100"/>
      <c r="AF45" s="99"/>
      <c r="AG45" s="100"/>
      <c r="AH45" s="99">
        <f t="shared" ref="AH45:AH50" si="3">ROUND(SUM(H45:AF45),5)</f>
        <v>138.84</v>
      </c>
      <c r="AK45" s="99">
        <v>0</v>
      </c>
    </row>
    <row r="46" spans="1:37" ht="15.75" thickBot="1" x14ac:dyDescent="0.3">
      <c r="A46" s="98"/>
      <c r="B46" s="98"/>
      <c r="C46" s="98"/>
      <c r="D46" s="98"/>
      <c r="E46" s="98"/>
      <c r="F46" s="98"/>
      <c r="G46" s="98" t="s">
        <v>289</v>
      </c>
      <c r="H46" s="101">
        <v>794.19</v>
      </c>
      <c r="I46" s="100"/>
      <c r="J46" s="101">
        <v>306.73</v>
      </c>
      <c r="K46" s="100"/>
      <c r="L46" s="101">
        <v>20.47</v>
      </c>
      <c r="M46" s="100"/>
      <c r="N46" s="101">
        <v>153.99</v>
      </c>
      <c r="O46" s="100"/>
      <c r="P46" s="101">
        <v>647.29</v>
      </c>
      <c r="Q46" s="100"/>
      <c r="R46" s="101">
        <v>20.399999999999999</v>
      </c>
      <c r="S46" s="100"/>
      <c r="T46" s="101">
        <v>688.49</v>
      </c>
      <c r="U46" s="100"/>
      <c r="V46" s="101">
        <v>0</v>
      </c>
      <c r="W46" s="100"/>
      <c r="X46" s="101">
        <v>322.04000000000002</v>
      </c>
      <c r="Y46" s="100"/>
      <c r="Z46" s="101">
        <v>777.27</v>
      </c>
      <c r="AA46" s="100"/>
      <c r="AB46" s="101">
        <v>405.75</v>
      </c>
      <c r="AC46" s="100"/>
      <c r="AD46" s="101">
        <v>0</v>
      </c>
      <c r="AE46" s="100"/>
      <c r="AF46" s="101"/>
      <c r="AG46" s="100"/>
      <c r="AH46" s="101">
        <f t="shared" si="3"/>
        <v>4136.62</v>
      </c>
      <c r="AK46" s="101">
        <v>395.93</v>
      </c>
    </row>
    <row r="47" spans="1:37" x14ac:dyDescent="0.25">
      <c r="A47" s="98"/>
      <c r="B47" s="98"/>
      <c r="C47" s="98"/>
      <c r="D47" s="98"/>
      <c r="E47" s="98"/>
      <c r="F47" s="98" t="s">
        <v>290</v>
      </c>
      <c r="G47" s="98"/>
      <c r="H47" s="99">
        <f>ROUND(SUM(H44:H46),5)</f>
        <v>794.19</v>
      </c>
      <c r="I47" s="100"/>
      <c r="J47" s="99">
        <f>ROUND(SUM(J44:J46),5)</f>
        <v>306.73</v>
      </c>
      <c r="K47" s="100"/>
      <c r="L47" s="99">
        <f>ROUND(SUM(L44:L46),5)</f>
        <v>20.47</v>
      </c>
      <c r="M47" s="100"/>
      <c r="N47" s="99">
        <f>ROUND(SUM(N44:N46),5)</f>
        <v>292.83</v>
      </c>
      <c r="O47" s="100"/>
      <c r="P47" s="99">
        <f>ROUND(SUM(P44:P46),5)</f>
        <v>647.29</v>
      </c>
      <c r="Q47" s="100"/>
      <c r="R47" s="99">
        <f>ROUND(SUM(R44:R46),5)</f>
        <v>20.399999999999999</v>
      </c>
      <c r="S47" s="100"/>
      <c r="T47" s="99">
        <f>ROUND(SUM(T44:T46),5)</f>
        <v>688.49</v>
      </c>
      <c r="U47" s="100"/>
      <c r="V47" s="99">
        <f>ROUND(SUM(V44:V46),5)</f>
        <v>0</v>
      </c>
      <c r="W47" s="100"/>
      <c r="X47" s="99">
        <f>ROUND(SUM(X44:X46),5)</f>
        <v>322.04000000000002</v>
      </c>
      <c r="Y47" s="100"/>
      <c r="Z47" s="99">
        <f>ROUND(SUM(Z44:Z46),5)</f>
        <v>777.27</v>
      </c>
      <c r="AA47" s="100"/>
      <c r="AB47" s="99">
        <f>ROUND(SUM(AB44:AB46),5)</f>
        <v>405.75</v>
      </c>
      <c r="AC47" s="100"/>
      <c r="AD47" s="99">
        <f>ROUND(SUM(AD44:AD46),5)</f>
        <v>0</v>
      </c>
      <c r="AE47" s="100"/>
      <c r="AF47" s="99"/>
      <c r="AG47" s="100"/>
      <c r="AH47" s="99">
        <f t="shared" si="3"/>
        <v>4275.46</v>
      </c>
      <c r="AK47" s="99">
        <f>ROUND(SUM(AK44:AK46),5)</f>
        <v>395.93</v>
      </c>
    </row>
    <row r="48" spans="1:37" ht="30" customHeight="1" x14ac:dyDescent="0.25">
      <c r="A48" s="98"/>
      <c r="B48" s="98"/>
      <c r="C48" s="98"/>
      <c r="D48" s="98"/>
      <c r="E48" s="98"/>
      <c r="F48" s="98" t="s">
        <v>45</v>
      </c>
      <c r="G48" s="98"/>
      <c r="H48" s="99">
        <v>52781</v>
      </c>
      <c r="I48" s="100"/>
      <c r="J48" s="99">
        <v>0</v>
      </c>
      <c r="K48" s="100"/>
      <c r="L48" s="99">
        <v>0</v>
      </c>
      <c r="M48" s="100"/>
      <c r="N48" s="99">
        <v>0</v>
      </c>
      <c r="O48" s="100"/>
      <c r="P48" s="99">
        <v>0</v>
      </c>
      <c r="Q48" s="100"/>
      <c r="R48" s="99">
        <v>610</v>
      </c>
      <c r="S48" s="100"/>
      <c r="T48" s="99">
        <v>0</v>
      </c>
      <c r="U48" s="100"/>
      <c r="V48" s="99">
        <v>0</v>
      </c>
      <c r="W48" s="100"/>
      <c r="X48" s="99">
        <v>0</v>
      </c>
      <c r="Y48" s="100"/>
      <c r="Z48" s="99">
        <v>0</v>
      </c>
      <c r="AA48" s="100"/>
      <c r="AB48" s="99">
        <v>0</v>
      </c>
      <c r="AC48" s="100"/>
      <c r="AD48" s="99">
        <v>0</v>
      </c>
      <c r="AE48" s="100"/>
      <c r="AF48" s="99"/>
      <c r="AG48" s="100"/>
      <c r="AH48" s="99">
        <f t="shared" si="3"/>
        <v>53391</v>
      </c>
      <c r="AK48" s="99">
        <v>0</v>
      </c>
    </row>
    <row r="49" spans="1:37" x14ac:dyDescent="0.25">
      <c r="A49" s="98"/>
      <c r="B49" s="98"/>
      <c r="C49" s="98"/>
      <c r="D49" s="98"/>
      <c r="E49" s="98"/>
      <c r="F49" s="98" t="s">
        <v>46</v>
      </c>
      <c r="G49" s="98"/>
      <c r="H49" s="99">
        <v>813.33</v>
      </c>
      <c r="I49" s="100"/>
      <c r="J49" s="99">
        <v>436.3</v>
      </c>
      <c r="K49" s="100"/>
      <c r="L49" s="99">
        <v>1342.8</v>
      </c>
      <c r="M49" s="100"/>
      <c r="N49" s="99">
        <v>639.11</v>
      </c>
      <c r="O49" s="100"/>
      <c r="P49" s="99">
        <v>6605.47</v>
      </c>
      <c r="Q49" s="100"/>
      <c r="R49" s="99">
        <v>579.59</v>
      </c>
      <c r="S49" s="100"/>
      <c r="T49" s="99">
        <v>831.36</v>
      </c>
      <c r="U49" s="100"/>
      <c r="V49" s="99">
        <v>0</v>
      </c>
      <c r="W49" s="100"/>
      <c r="X49" s="99">
        <v>996.91</v>
      </c>
      <c r="Y49" s="100"/>
      <c r="Z49" s="99">
        <v>507.23</v>
      </c>
      <c r="AA49" s="100"/>
      <c r="AB49" s="99">
        <v>772.03</v>
      </c>
      <c r="AC49" s="100"/>
      <c r="AD49" s="99">
        <v>634.99</v>
      </c>
      <c r="AE49" s="100"/>
      <c r="AF49" s="99"/>
      <c r="AG49" s="100"/>
      <c r="AH49" s="99">
        <f t="shared" si="3"/>
        <v>14159.12</v>
      </c>
      <c r="AK49" s="99">
        <v>0</v>
      </c>
    </row>
    <row r="50" spans="1:37" x14ac:dyDescent="0.25">
      <c r="A50" s="98"/>
      <c r="B50" s="98"/>
      <c r="C50" s="98"/>
      <c r="D50" s="98"/>
      <c r="E50" s="98"/>
      <c r="F50" s="98" t="s">
        <v>47</v>
      </c>
      <c r="G50" s="98"/>
      <c r="H50" s="99">
        <v>0</v>
      </c>
      <c r="I50" s="100"/>
      <c r="J50" s="99">
        <v>433.92</v>
      </c>
      <c r="K50" s="100"/>
      <c r="L50" s="99">
        <v>0</v>
      </c>
      <c r="M50" s="100"/>
      <c r="N50" s="99">
        <v>0</v>
      </c>
      <c r="O50" s="100"/>
      <c r="P50" s="99">
        <v>0</v>
      </c>
      <c r="Q50" s="100"/>
      <c r="R50" s="99">
        <v>0</v>
      </c>
      <c r="S50" s="100"/>
      <c r="T50" s="99">
        <v>0</v>
      </c>
      <c r="U50" s="100"/>
      <c r="V50" s="99">
        <v>0</v>
      </c>
      <c r="W50" s="100"/>
      <c r="X50" s="99">
        <v>0</v>
      </c>
      <c r="Y50" s="100"/>
      <c r="Z50" s="99">
        <v>0</v>
      </c>
      <c r="AA50" s="100"/>
      <c r="AB50" s="99">
        <v>0</v>
      </c>
      <c r="AC50" s="100"/>
      <c r="AD50" s="99">
        <v>0</v>
      </c>
      <c r="AE50" s="100"/>
      <c r="AF50" s="99"/>
      <c r="AG50" s="100"/>
      <c r="AH50" s="99">
        <f t="shared" si="3"/>
        <v>433.92</v>
      </c>
      <c r="AK50" s="99">
        <v>0</v>
      </c>
    </row>
    <row r="51" spans="1:37" x14ac:dyDescent="0.25">
      <c r="A51" s="98"/>
      <c r="B51" s="98"/>
      <c r="C51" s="98"/>
      <c r="D51" s="98"/>
      <c r="E51" s="98"/>
      <c r="F51" s="98" t="s">
        <v>48</v>
      </c>
      <c r="G51" s="98"/>
      <c r="H51" s="99"/>
      <c r="I51" s="100"/>
      <c r="J51" s="99"/>
      <c r="K51" s="100"/>
      <c r="L51" s="99"/>
      <c r="M51" s="100"/>
      <c r="N51" s="99"/>
      <c r="O51" s="100"/>
      <c r="P51" s="99"/>
      <c r="Q51" s="100"/>
      <c r="R51" s="99"/>
      <c r="S51" s="100"/>
      <c r="T51" s="99"/>
      <c r="U51" s="100"/>
      <c r="V51" s="99"/>
      <c r="W51" s="100"/>
      <c r="X51" s="99"/>
      <c r="Y51" s="100"/>
      <c r="Z51" s="99"/>
      <c r="AA51" s="100"/>
      <c r="AB51" s="99"/>
      <c r="AC51" s="100"/>
      <c r="AD51" s="99"/>
      <c r="AE51" s="100"/>
      <c r="AF51" s="99"/>
      <c r="AG51" s="100"/>
      <c r="AH51" s="99"/>
      <c r="AK51" s="99"/>
    </row>
    <row r="52" spans="1:37" x14ac:dyDescent="0.25">
      <c r="A52" s="98"/>
      <c r="B52" s="98"/>
      <c r="C52" s="98"/>
      <c r="D52" s="98"/>
      <c r="E52" s="98"/>
      <c r="F52" s="98"/>
      <c r="G52" s="98" t="s">
        <v>49</v>
      </c>
      <c r="H52" s="99">
        <v>0</v>
      </c>
      <c r="I52" s="100"/>
      <c r="J52" s="99">
        <v>0</v>
      </c>
      <c r="K52" s="100"/>
      <c r="L52" s="99">
        <v>0</v>
      </c>
      <c r="M52" s="100"/>
      <c r="N52" s="99">
        <v>0</v>
      </c>
      <c r="O52" s="100"/>
      <c r="P52" s="99">
        <v>0</v>
      </c>
      <c r="Q52" s="100"/>
      <c r="R52" s="99">
        <v>0</v>
      </c>
      <c r="S52" s="100"/>
      <c r="T52" s="99">
        <v>325</v>
      </c>
      <c r="U52" s="100"/>
      <c r="V52" s="99">
        <v>330</v>
      </c>
      <c r="W52" s="100"/>
      <c r="X52" s="99">
        <v>1186.5</v>
      </c>
      <c r="Y52" s="100"/>
      <c r="Z52" s="99">
        <v>240</v>
      </c>
      <c r="AA52" s="100"/>
      <c r="AB52" s="99">
        <v>0</v>
      </c>
      <c r="AC52" s="100"/>
      <c r="AD52" s="99">
        <v>0</v>
      </c>
      <c r="AE52" s="100"/>
      <c r="AF52" s="99"/>
      <c r="AG52" s="100"/>
      <c r="AH52" s="99">
        <f t="shared" ref="AH52:AH63" si="4">ROUND(SUM(H52:AF52),5)</f>
        <v>2081.5</v>
      </c>
      <c r="AK52" s="99">
        <v>0</v>
      </c>
    </row>
    <row r="53" spans="1:37" ht="15.75" thickBot="1" x14ac:dyDescent="0.3">
      <c r="A53" s="98"/>
      <c r="B53" s="98"/>
      <c r="C53" s="98"/>
      <c r="D53" s="98"/>
      <c r="E53" s="98"/>
      <c r="F53" s="98"/>
      <c r="G53" s="98" t="s">
        <v>50</v>
      </c>
      <c r="H53" s="101">
        <v>3590.55</v>
      </c>
      <c r="I53" s="100"/>
      <c r="J53" s="101">
        <v>4628.92</v>
      </c>
      <c r="K53" s="100"/>
      <c r="L53" s="101">
        <v>3047.53</v>
      </c>
      <c r="M53" s="100"/>
      <c r="N53" s="101">
        <v>3505.7</v>
      </c>
      <c r="O53" s="100"/>
      <c r="P53" s="101">
        <v>3555.13</v>
      </c>
      <c r="Q53" s="100"/>
      <c r="R53" s="101">
        <v>3049.34</v>
      </c>
      <c r="S53" s="100"/>
      <c r="T53" s="101">
        <v>7769.31</v>
      </c>
      <c r="U53" s="100"/>
      <c r="V53" s="101">
        <v>5919.64</v>
      </c>
      <c r="W53" s="100"/>
      <c r="X53" s="101">
        <v>25738.85</v>
      </c>
      <c r="Y53" s="100"/>
      <c r="Z53" s="101">
        <v>5023.97</v>
      </c>
      <c r="AA53" s="100"/>
      <c r="AB53" s="101">
        <v>5641.68</v>
      </c>
      <c r="AC53" s="100"/>
      <c r="AD53" s="101">
        <v>1970.64</v>
      </c>
      <c r="AE53" s="100"/>
      <c r="AF53" s="101"/>
      <c r="AG53" s="100"/>
      <c r="AH53" s="101">
        <f t="shared" si="4"/>
        <v>73441.259999999995</v>
      </c>
      <c r="AK53" s="101">
        <v>5680.58</v>
      </c>
    </row>
    <row r="54" spans="1:37" x14ac:dyDescent="0.25">
      <c r="A54" s="98"/>
      <c r="B54" s="98"/>
      <c r="C54" s="98"/>
      <c r="D54" s="98"/>
      <c r="E54" s="98"/>
      <c r="F54" s="98" t="s">
        <v>51</v>
      </c>
      <c r="G54" s="98"/>
      <c r="H54" s="99">
        <f>ROUND(SUM(H51:H53),5)</f>
        <v>3590.55</v>
      </c>
      <c r="I54" s="100"/>
      <c r="J54" s="99">
        <f>ROUND(SUM(J51:J53),5)</f>
        <v>4628.92</v>
      </c>
      <c r="K54" s="100"/>
      <c r="L54" s="99">
        <f>ROUND(SUM(L51:L53),5)</f>
        <v>3047.53</v>
      </c>
      <c r="M54" s="100"/>
      <c r="N54" s="99">
        <f>ROUND(SUM(N51:N53),5)</f>
        <v>3505.7</v>
      </c>
      <c r="O54" s="100"/>
      <c r="P54" s="99">
        <f>ROUND(SUM(P51:P53),5)</f>
        <v>3555.13</v>
      </c>
      <c r="Q54" s="100"/>
      <c r="R54" s="99">
        <f>ROUND(SUM(R51:R53),5)</f>
        <v>3049.34</v>
      </c>
      <c r="S54" s="100"/>
      <c r="T54" s="99">
        <f>ROUND(SUM(T51:T53),5)</f>
        <v>8094.31</v>
      </c>
      <c r="U54" s="100"/>
      <c r="V54" s="99">
        <f>ROUND(SUM(V51:V53),5)</f>
        <v>6249.64</v>
      </c>
      <c r="W54" s="100"/>
      <c r="X54" s="99">
        <f>ROUND(SUM(X51:X53),5)</f>
        <v>26925.35</v>
      </c>
      <c r="Y54" s="100"/>
      <c r="Z54" s="99">
        <f>ROUND(SUM(Z51:Z53),5)</f>
        <v>5263.97</v>
      </c>
      <c r="AA54" s="100"/>
      <c r="AB54" s="99">
        <f>ROUND(SUM(AB51:AB53),5)</f>
        <v>5641.68</v>
      </c>
      <c r="AC54" s="100"/>
      <c r="AD54" s="99">
        <f>ROUND(SUM(AD51:AD53),5)</f>
        <v>1970.64</v>
      </c>
      <c r="AE54" s="100"/>
      <c r="AF54" s="99"/>
      <c r="AG54" s="100"/>
      <c r="AH54" s="99">
        <f t="shared" si="4"/>
        <v>75522.759999999995</v>
      </c>
      <c r="AK54" s="99">
        <f>ROUND(SUM(AK51:AK53),5)</f>
        <v>5680.58</v>
      </c>
    </row>
    <row r="55" spans="1:37" ht="30" customHeight="1" x14ac:dyDescent="0.25">
      <c r="A55" s="98"/>
      <c r="B55" s="98"/>
      <c r="C55" s="98"/>
      <c r="D55" s="98"/>
      <c r="E55" s="98"/>
      <c r="F55" s="98" t="s">
        <v>52</v>
      </c>
      <c r="G55" s="98"/>
      <c r="H55" s="99">
        <v>367.16</v>
      </c>
      <c r="I55" s="100"/>
      <c r="J55" s="99">
        <v>69.03</v>
      </c>
      <c r="K55" s="100"/>
      <c r="L55" s="99">
        <v>129.25</v>
      </c>
      <c r="M55" s="100"/>
      <c r="N55" s="99">
        <v>2319.2399999999998</v>
      </c>
      <c r="O55" s="100"/>
      <c r="P55" s="99">
        <v>343.65</v>
      </c>
      <c r="Q55" s="100"/>
      <c r="R55" s="99">
        <v>159.38999999999999</v>
      </c>
      <c r="S55" s="100"/>
      <c r="T55" s="99">
        <v>131.69999999999999</v>
      </c>
      <c r="U55" s="100"/>
      <c r="V55" s="99">
        <v>0</v>
      </c>
      <c r="W55" s="100"/>
      <c r="X55" s="99">
        <v>0</v>
      </c>
      <c r="Y55" s="100"/>
      <c r="Z55" s="99">
        <v>405.64</v>
      </c>
      <c r="AA55" s="100"/>
      <c r="AB55" s="99">
        <v>122.47</v>
      </c>
      <c r="AC55" s="100"/>
      <c r="AD55" s="99">
        <v>0</v>
      </c>
      <c r="AE55" s="100"/>
      <c r="AF55" s="99"/>
      <c r="AG55" s="100"/>
      <c r="AH55" s="99">
        <f t="shared" si="4"/>
        <v>4047.53</v>
      </c>
      <c r="AK55" s="99">
        <v>199.33</v>
      </c>
    </row>
    <row r="56" spans="1:37" x14ac:dyDescent="0.25">
      <c r="A56" s="98"/>
      <c r="B56" s="98"/>
      <c r="C56" s="98"/>
      <c r="D56" s="98"/>
      <c r="E56" s="98"/>
      <c r="F56" s="98" t="s">
        <v>53</v>
      </c>
      <c r="G56" s="98"/>
      <c r="H56" s="99">
        <v>350</v>
      </c>
      <c r="I56" s="100"/>
      <c r="J56" s="99">
        <v>2675</v>
      </c>
      <c r="K56" s="100"/>
      <c r="L56" s="99">
        <v>0</v>
      </c>
      <c r="M56" s="100"/>
      <c r="N56" s="99">
        <v>0</v>
      </c>
      <c r="O56" s="100"/>
      <c r="P56" s="99">
        <v>0</v>
      </c>
      <c r="Q56" s="100"/>
      <c r="R56" s="99">
        <v>81.849999999999994</v>
      </c>
      <c r="S56" s="100"/>
      <c r="T56" s="99">
        <v>0</v>
      </c>
      <c r="U56" s="100"/>
      <c r="V56" s="99">
        <v>0</v>
      </c>
      <c r="W56" s="100"/>
      <c r="X56" s="99">
        <v>0</v>
      </c>
      <c r="Y56" s="100"/>
      <c r="Z56" s="99">
        <v>0</v>
      </c>
      <c r="AA56" s="100"/>
      <c r="AB56" s="99">
        <v>0</v>
      </c>
      <c r="AC56" s="100"/>
      <c r="AD56" s="99">
        <v>350</v>
      </c>
      <c r="AE56" s="100"/>
      <c r="AF56" s="99"/>
      <c r="AG56" s="100"/>
      <c r="AH56" s="99">
        <f t="shared" si="4"/>
        <v>3456.85</v>
      </c>
      <c r="AK56" s="99">
        <v>0</v>
      </c>
    </row>
    <row r="57" spans="1:37" x14ac:dyDescent="0.25">
      <c r="A57" s="98"/>
      <c r="B57" s="98"/>
      <c r="C57" s="98"/>
      <c r="D57" s="98"/>
      <c r="E57" s="98"/>
      <c r="F57" s="98" t="s">
        <v>54</v>
      </c>
      <c r="G57" s="98"/>
      <c r="H57" s="99">
        <v>548.37</v>
      </c>
      <c r="I57" s="100"/>
      <c r="J57" s="99">
        <v>236.82</v>
      </c>
      <c r="K57" s="100"/>
      <c r="L57" s="99">
        <v>66</v>
      </c>
      <c r="M57" s="100"/>
      <c r="N57" s="99">
        <v>611.79999999999995</v>
      </c>
      <c r="O57" s="100"/>
      <c r="P57" s="99">
        <v>2439.29</v>
      </c>
      <c r="Q57" s="100"/>
      <c r="R57" s="99">
        <v>550.45000000000005</v>
      </c>
      <c r="S57" s="100"/>
      <c r="T57" s="99">
        <v>11808.82</v>
      </c>
      <c r="U57" s="100"/>
      <c r="V57" s="99">
        <v>0</v>
      </c>
      <c r="W57" s="100"/>
      <c r="X57" s="99">
        <v>316.91000000000003</v>
      </c>
      <c r="Y57" s="100"/>
      <c r="Z57" s="99">
        <v>569.74</v>
      </c>
      <c r="AA57" s="100"/>
      <c r="AB57" s="99">
        <v>301.39999999999998</v>
      </c>
      <c r="AC57" s="100"/>
      <c r="AD57" s="99">
        <v>190.5</v>
      </c>
      <c r="AE57" s="100"/>
      <c r="AF57" s="99"/>
      <c r="AG57" s="100"/>
      <c r="AH57" s="99">
        <f t="shared" si="4"/>
        <v>17640.099999999999</v>
      </c>
      <c r="AK57" s="99">
        <v>248.45</v>
      </c>
    </row>
    <row r="58" spans="1:37" x14ac:dyDescent="0.25">
      <c r="A58" s="98"/>
      <c r="B58" s="98"/>
      <c r="C58" s="98"/>
      <c r="D58" s="98"/>
      <c r="E58" s="98"/>
      <c r="F58" s="98" t="s">
        <v>55</v>
      </c>
      <c r="G58" s="98"/>
      <c r="H58" s="99">
        <v>0</v>
      </c>
      <c r="I58" s="100"/>
      <c r="J58" s="99">
        <v>102.69</v>
      </c>
      <c r="K58" s="100"/>
      <c r="L58" s="99">
        <v>1616.46</v>
      </c>
      <c r="M58" s="100"/>
      <c r="N58" s="99">
        <v>2175.2399999999998</v>
      </c>
      <c r="O58" s="100"/>
      <c r="P58" s="99">
        <v>911.18</v>
      </c>
      <c r="Q58" s="100"/>
      <c r="R58" s="99">
        <v>441.16</v>
      </c>
      <c r="S58" s="100"/>
      <c r="T58" s="99">
        <v>484.76</v>
      </c>
      <c r="U58" s="100"/>
      <c r="V58" s="99">
        <v>818.83</v>
      </c>
      <c r="W58" s="100"/>
      <c r="X58" s="99">
        <v>0</v>
      </c>
      <c r="Y58" s="100"/>
      <c r="Z58" s="99">
        <v>1050.32</v>
      </c>
      <c r="AA58" s="100"/>
      <c r="AB58" s="99">
        <v>170.2</v>
      </c>
      <c r="AC58" s="100"/>
      <c r="AD58" s="99">
        <v>0</v>
      </c>
      <c r="AE58" s="100"/>
      <c r="AF58" s="99"/>
      <c r="AG58" s="100"/>
      <c r="AH58" s="99">
        <f t="shared" si="4"/>
        <v>7770.84</v>
      </c>
      <c r="AK58" s="99">
        <v>0</v>
      </c>
    </row>
    <row r="59" spans="1:37" x14ac:dyDescent="0.25">
      <c r="A59" s="98"/>
      <c r="B59" s="98"/>
      <c r="C59" s="98"/>
      <c r="D59" s="98"/>
      <c r="E59" s="98"/>
      <c r="F59" s="98" t="s">
        <v>56</v>
      </c>
      <c r="G59" s="98"/>
      <c r="H59" s="99">
        <v>0</v>
      </c>
      <c r="I59" s="100"/>
      <c r="J59" s="99">
        <v>0</v>
      </c>
      <c r="K59" s="100"/>
      <c r="L59" s="99">
        <v>6824.48</v>
      </c>
      <c r="M59" s="100"/>
      <c r="N59" s="99">
        <v>9060.49</v>
      </c>
      <c r="O59" s="100"/>
      <c r="P59" s="99">
        <v>2767.6</v>
      </c>
      <c r="Q59" s="100"/>
      <c r="R59" s="99">
        <v>994.31</v>
      </c>
      <c r="S59" s="100"/>
      <c r="T59" s="99">
        <v>570.76</v>
      </c>
      <c r="U59" s="100"/>
      <c r="V59" s="99">
        <v>54.65</v>
      </c>
      <c r="W59" s="100"/>
      <c r="X59" s="99">
        <v>0</v>
      </c>
      <c r="Y59" s="100"/>
      <c r="Z59" s="99">
        <v>-3.19</v>
      </c>
      <c r="AA59" s="100"/>
      <c r="AB59" s="99">
        <v>0</v>
      </c>
      <c r="AC59" s="100"/>
      <c r="AD59" s="99">
        <v>0</v>
      </c>
      <c r="AE59" s="100"/>
      <c r="AF59" s="99"/>
      <c r="AG59" s="100"/>
      <c r="AH59" s="99">
        <f t="shared" si="4"/>
        <v>20269.099999999999</v>
      </c>
      <c r="AK59" s="99">
        <v>0</v>
      </c>
    </row>
    <row r="60" spans="1:37" x14ac:dyDescent="0.25">
      <c r="A60" s="98"/>
      <c r="B60" s="98"/>
      <c r="C60" s="98"/>
      <c r="D60" s="98"/>
      <c r="E60" s="98"/>
      <c r="F60" s="98" t="s">
        <v>57</v>
      </c>
      <c r="G60" s="98"/>
      <c r="H60" s="99">
        <v>0</v>
      </c>
      <c r="I60" s="100"/>
      <c r="J60" s="99">
        <v>0</v>
      </c>
      <c r="K60" s="100"/>
      <c r="L60" s="99">
        <v>0</v>
      </c>
      <c r="M60" s="100"/>
      <c r="N60" s="99">
        <v>0</v>
      </c>
      <c r="O60" s="100"/>
      <c r="P60" s="99">
        <v>0</v>
      </c>
      <c r="Q60" s="100"/>
      <c r="R60" s="99">
        <v>0</v>
      </c>
      <c r="S60" s="100"/>
      <c r="T60" s="99">
        <v>11100.34</v>
      </c>
      <c r="U60" s="100"/>
      <c r="V60" s="99">
        <v>0</v>
      </c>
      <c r="W60" s="100"/>
      <c r="X60" s="99">
        <v>0</v>
      </c>
      <c r="Y60" s="100"/>
      <c r="Z60" s="99">
        <v>0</v>
      </c>
      <c r="AA60" s="100"/>
      <c r="AB60" s="99">
        <v>0</v>
      </c>
      <c r="AC60" s="100"/>
      <c r="AD60" s="99">
        <v>0</v>
      </c>
      <c r="AE60" s="100"/>
      <c r="AF60" s="99"/>
      <c r="AG60" s="100"/>
      <c r="AH60" s="99">
        <f t="shared" si="4"/>
        <v>11100.34</v>
      </c>
      <c r="AK60" s="99">
        <v>0</v>
      </c>
    </row>
    <row r="61" spans="1:37" x14ac:dyDescent="0.25">
      <c r="A61" s="98"/>
      <c r="B61" s="98"/>
      <c r="C61" s="98"/>
      <c r="D61" s="98"/>
      <c r="E61" s="98"/>
      <c r="F61" s="98" t="s">
        <v>58</v>
      </c>
      <c r="G61" s="98"/>
      <c r="H61" s="99">
        <v>147.99</v>
      </c>
      <c r="I61" s="100"/>
      <c r="J61" s="99">
        <v>140.75</v>
      </c>
      <c r="K61" s="100"/>
      <c r="L61" s="99">
        <v>131.91999999999999</v>
      </c>
      <c r="M61" s="100"/>
      <c r="N61" s="99">
        <v>129.01</v>
      </c>
      <c r="O61" s="100"/>
      <c r="P61" s="99">
        <v>174.23</v>
      </c>
      <c r="Q61" s="100"/>
      <c r="R61" s="99">
        <v>675.9</v>
      </c>
      <c r="S61" s="100"/>
      <c r="T61" s="99">
        <v>153.28</v>
      </c>
      <c r="U61" s="100"/>
      <c r="V61" s="99">
        <v>745.43</v>
      </c>
      <c r="W61" s="100"/>
      <c r="X61" s="99">
        <v>421.87</v>
      </c>
      <c r="Y61" s="100"/>
      <c r="Z61" s="99">
        <v>161.96</v>
      </c>
      <c r="AA61" s="100"/>
      <c r="AB61" s="99">
        <v>163.16999999999999</v>
      </c>
      <c r="AC61" s="100"/>
      <c r="AD61" s="99">
        <v>167.07</v>
      </c>
      <c r="AE61" s="100"/>
      <c r="AF61" s="99"/>
      <c r="AG61" s="100"/>
      <c r="AH61" s="99">
        <f t="shared" si="4"/>
        <v>3212.58</v>
      </c>
      <c r="AK61" s="99">
        <v>0</v>
      </c>
    </row>
    <row r="62" spans="1:37" ht="15.75" thickBot="1" x14ac:dyDescent="0.3">
      <c r="A62" s="98"/>
      <c r="B62" s="98"/>
      <c r="C62" s="98"/>
      <c r="D62" s="98"/>
      <c r="E62" s="98"/>
      <c r="F62" s="98" t="s">
        <v>291</v>
      </c>
      <c r="G62" s="98"/>
      <c r="H62" s="101">
        <v>0</v>
      </c>
      <c r="I62" s="100"/>
      <c r="J62" s="101">
        <v>0</v>
      </c>
      <c r="K62" s="100"/>
      <c r="L62" s="101">
        <v>0</v>
      </c>
      <c r="M62" s="100"/>
      <c r="N62" s="101">
        <v>0</v>
      </c>
      <c r="O62" s="100"/>
      <c r="P62" s="101">
        <v>0</v>
      </c>
      <c r="Q62" s="100"/>
      <c r="R62" s="101">
        <v>0</v>
      </c>
      <c r="S62" s="100"/>
      <c r="T62" s="101">
        <v>125</v>
      </c>
      <c r="U62" s="100"/>
      <c r="V62" s="101">
        <v>0</v>
      </c>
      <c r="W62" s="100"/>
      <c r="X62" s="101">
        <v>0</v>
      </c>
      <c r="Y62" s="100"/>
      <c r="Z62" s="101">
        <v>0</v>
      </c>
      <c r="AA62" s="100"/>
      <c r="AB62" s="101">
        <v>0</v>
      </c>
      <c r="AC62" s="100"/>
      <c r="AD62" s="101">
        <v>0</v>
      </c>
      <c r="AE62" s="100"/>
      <c r="AF62" s="101"/>
      <c r="AG62" s="100"/>
      <c r="AH62" s="101">
        <f t="shared" si="4"/>
        <v>125</v>
      </c>
      <c r="AK62" s="101">
        <v>0</v>
      </c>
    </row>
    <row r="63" spans="1:37" x14ac:dyDescent="0.25">
      <c r="A63" s="98"/>
      <c r="B63" s="98"/>
      <c r="C63" s="98"/>
      <c r="D63" s="98"/>
      <c r="E63" s="98" t="s">
        <v>59</v>
      </c>
      <c r="F63" s="98"/>
      <c r="G63" s="98"/>
      <c r="H63" s="99">
        <f>ROUND(SUM(H32:H43)+SUM(H47:H50)+SUM(H54:H62),5)</f>
        <v>66289.64</v>
      </c>
      <c r="I63" s="100"/>
      <c r="J63" s="99">
        <f>ROUND(SUM(J32:J43)+SUM(J47:J50)+SUM(J54:J62),5)</f>
        <v>29433.759999999998</v>
      </c>
      <c r="K63" s="100"/>
      <c r="L63" s="99">
        <f>ROUND(SUM(L32:L43)+SUM(L47:L50)+SUM(L54:L62),5)</f>
        <v>22762.01</v>
      </c>
      <c r="M63" s="100"/>
      <c r="N63" s="99">
        <f>ROUND(SUM(N32:N43)+SUM(N47:N50)+SUM(N54:N62),5)</f>
        <v>25774.97</v>
      </c>
      <c r="O63" s="100"/>
      <c r="P63" s="99">
        <f>ROUND(SUM(P32:P43)+SUM(P47:P50)+SUM(P54:P62),5)</f>
        <v>22763.94</v>
      </c>
      <c r="Q63" s="100"/>
      <c r="R63" s="99">
        <f>ROUND(SUM(R32:R43)+SUM(R47:R50)+SUM(R54:R62),5)</f>
        <v>13923.02</v>
      </c>
      <c r="S63" s="100"/>
      <c r="T63" s="99">
        <f>ROUND(SUM(T32:T43)+SUM(T47:T50)+SUM(T54:T62),5)</f>
        <v>46987.51</v>
      </c>
      <c r="U63" s="100"/>
      <c r="V63" s="99">
        <f>ROUND(SUM(V32:V43)+SUM(V47:V50)+SUM(V54:V62),5)</f>
        <v>14504.25</v>
      </c>
      <c r="W63" s="100"/>
      <c r="X63" s="99">
        <f>ROUND(SUM(X32:X43)+SUM(X47:X50)+SUM(X54:X62),5)</f>
        <v>47643.25</v>
      </c>
      <c r="Y63" s="100"/>
      <c r="Z63" s="99">
        <f>ROUND(SUM(Z32:Z43)+SUM(Z47:Z50)+SUM(Z54:Z62),5)</f>
        <v>23405.69</v>
      </c>
      <c r="AA63" s="100"/>
      <c r="AB63" s="99">
        <f>ROUND(SUM(AB32:AB43)+SUM(AB47:AB50)+SUM(AB54:AB62),5)</f>
        <v>28854.93</v>
      </c>
      <c r="AC63" s="100"/>
      <c r="AD63" s="99">
        <f>ROUND(SUM(AD32:AD43)+SUM(AD47:AD50)+SUM(AD54:AD62),5)</f>
        <v>11660.92</v>
      </c>
      <c r="AE63" s="100"/>
      <c r="AF63" s="99"/>
      <c r="AG63" s="100"/>
      <c r="AH63" s="99">
        <f t="shared" si="4"/>
        <v>354003.89</v>
      </c>
      <c r="AK63" s="99">
        <f>ROUND(SUM(AK32:AK43)+SUM(AK47:AK50)+SUM(AK54:AK62),5)</f>
        <v>9749.2800000000007</v>
      </c>
    </row>
    <row r="64" spans="1:37" ht="30" customHeight="1" x14ac:dyDescent="0.25">
      <c r="A64" s="98"/>
      <c r="B64" s="98"/>
      <c r="C64" s="98"/>
      <c r="D64" s="98"/>
      <c r="E64" s="98" t="s">
        <v>60</v>
      </c>
      <c r="F64" s="98"/>
      <c r="G64" s="98"/>
      <c r="H64" s="99"/>
      <c r="I64" s="100"/>
      <c r="J64" s="99"/>
      <c r="K64" s="100"/>
      <c r="L64" s="99"/>
      <c r="M64" s="100"/>
      <c r="N64" s="99"/>
      <c r="O64" s="100"/>
      <c r="P64" s="99"/>
      <c r="Q64" s="100"/>
      <c r="R64" s="99"/>
      <c r="S64" s="100"/>
      <c r="T64" s="99"/>
      <c r="U64" s="100"/>
      <c r="V64" s="99"/>
      <c r="W64" s="100"/>
      <c r="X64" s="99"/>
      <c r="Y64" s="100"/>
      <c r="Z64" s="99"/>
      <c r="AA64" s="100"/>
      <c r="AB64" s="99"/>
      <c r="AC64" s="100"/>
      <c r="AD64" s="99"/>
      <c r="AE64" s="100"/>
      <c r="AF64" s="99"/>
      <c r="AG64" s="100"/>
      <c r="AH64" s="99"/>
      <c r="AK64" s="99"/>
    </row>
    <row r="65" spans="1:37" x14ac:dyDescent="0.25">
      <c r="A65" s="98"/>
      <c r="B65" s="98"/>
      <c r="C65" s="98"/>
      <c r="D65" s="98"/>
      <c r="E65" s="98"/>
      <c r="F65" s="98" t="s">
        <v>62</v>
      </c>
      <c r="G65" s="98"/>
      <c r="H65" s="99">
        <v>2528.4</v>
      </c>
      <c r="I65" s="100"/>
      <c r="J65" s="99">
        <v>0</v>
      </c>
      <c r="K65" s="100"/>
      <c r="L65" s="99">
        <v>1757.5</v>
      </c>
      <c r="M65" s="100"/>
      <c r="N65" s="99">
        <v>665.73</v>
      </c>
      <c r="O65" s="100"/>
      <c r="P65" s="99">
        <v>2757.8</v>
      </c>
      <c r="Q65" s="100"/>
      <c r="R65" s="99">
        <v>0</v>
      </c>
      <c r="S65" s="100"/>
      <c r="T65" s="99">
        <v>4022.75</v>
      </c>
      <c r="U65" s="100"/>
      <c r="V65" s="99">
        <v>0</v>
      </c>
      <c r="W65" s="100"/>
      <c r="X65" s="99">
        <v>12909.49</v>
      </c>
      <c r="Y65" s="100"/>
      <c r="Z65" s="99">
        <v>4347.8999999999996</v>
      </c>
      <c r="AA65" s="100"/>
      <c r="AB65" s="99">
        <v>1622.52</v>
      </c>
      <c r="AC65" s="100"/>
      <c r="AD65" s="99">
        <v>1810.3</v>
      </c>
      <c r="AE65" s="100"/>
      <c r="AF65" s="99"/>
      <c r="AG65" s="100"/>
      <c r="AH65" s="99">
        <f t="shared" ref="AH65:AH73" si="5">ROUND(SUM(H65:AF65),5)</f>
        <v>32422.39</v>
      </c>
      <c r="AK65" s="99">
        <v>0</v>
      </c>
    </row>
    <row r="66" spans="1:37" x14ac:dyDescent="0.25">
      <c r="A66" s="98"/>
      <c r="B66" s="98"/>
      <c r="C66" s="98"/>
      <c r="D66" s="98"/>
      <c r="E66" s="98"/>
      <c r="F66" s="98" t="s">
        <v>224</v>
      </c>
      <c r="G66" s="98"/>
      <c r="H66" s="99">
        <v>0</v>
      </c>
      <c r="I66" s="100"/>
      <c r="J66" s="99">
        <v>0</v>
      </c>
      <c r="K66" s="100"/>
      <c r="L66" s="99">
        <v>0</v>
      </c>
      <c r="M66" s="100"/>
      <c r="N66" s="99">
        <v>0</v>
      </c>
      <c r="O66" s="100"/>
      <c r="P66" s="99">
        <v>0</v>
      </c>
      <c r="Q66" s="100"/>
      <c r="R66" s="99">
        <v>12877</v>
      </c>
      <c r="S66" s="100"/>
      <c r="T66" s="99">
        <v>0</v>
      </c>
      <c r="U66" s="100"/>
      <c r="V66" s="99">
        <v>0</v>
      </c>
      <c r="W66" s="100"/>
      <c r="X66" s="99">
        <v>0</v>
      </c>
      <c r="Y66" s="100"/>
      <c r="Z66" s="99">
        <v>0</v>
      </c>
      <c r="AA66" s="100"/>
      <c r="AB66" s="99">
        <v>0</v>
      </c>
      <c r="AC66" s="100"/>
      <c r="AD66" s="99">
        <v>0</v>
      </c>
      <c r="AE66" s="100"/>
      <c r="AF66" s="99"/>
      <c r="AG66" s="100"/>
      <c r="AH66" s="99">
        <f t="shared" si="5"/>
        <v>12877</v>
      </c>
      <c r="AK66" s="99">
        <v>0</v>
      </c>
    </row>
    <row r="67" spans="1:37" ht="15.75" thickBot="1" x14ac:dyDescent="0.3">
      <c r="A67" s="98"/>
      <c r="B67" s="98"/>
      <c r="C67" s="98"/>
      <c r="D67" s="98"/>
      <c r="E67" s="98"/>
      <c r="F67" s="98" t="s">
        <v>64</v>
      </c>
      <c r="G67" s="98"/>
      <c r="H67" s="101">
        <v>0</v>
      </c>
      <c r="I67" s="100"/>
      <c r="J67" s="101">
        <v>0</v>
      </c>
      <c r="K67" s="100"/>
      <c r="L67" s="101">
        <v>0</v>
      </c>
      <c r="M67" s="100"/>
      <c r="N67" s="101">
        <v>0</v>
      </c>
      <c r="O67" s="100"/>
      <c r="P67" s="101">
        <v>290.2</v>
      </c>
      <c r="Q67" s="100"/>
      <c r="R67" s="101">
        <v>0</v>
      </c>
      <c r="S67" s="100"/>
      <c r="T67" s="101">
        <v>0</v>
      </c>
      <c r="U67" s="100"/>
      <c r="V67" s="101">
        <v>0</v>
      </c>
      <c r="W67" s="100"/>
      <c r="X67" s="101">
        <v>0</v>
      </c>
      <c r="Y67" s="100"/>
      <c r="Z67" s="101">
        <v>0</v>
      </c>
      <c r="AA67" s="100"/>
      <c r="AB67" s="101">
        <v>0</v>
      </c>
      <c r="AC67" s="100"/>
      <c r="AD67" s="101">
        <v>0</v>
      </c>
      <c r="AE67" s="100"/>
      <c r="AF67" s="101"/>
      <c r="AG67" s="100"/>
      <c r="AH67" s="101">
        <f t="shared" si="5"/>
        <v>290.2</v>
      </c>
      <c r="AK67" s="101">
        <v>0</v>
      </c>
    </row>
    <row r="68" spans="1:37" x14ac:dyDescent="0.25">
      <c r="A68" s="98"/>
      <c r="B68" s="98"/>
      <c r="C68" s="98"/>
      <c r="D68" s="98"/>
      <c r="E68" s="98" t="s">
        <v>65</v>
      </c>
      <c r="F68" s="98"/>
      <c r="G68" s="98"/>
      <c r="H68" s="99">
        <f>ROUND(SUM(H64:H67),5)</f>
        <v>2528.4</v>
      </c>
      <c r="I68" s="100"/>
      <c r="J68" s="99">
        <f>ROUND(SUM(J64:J67),5)</f>
        <v>0</v>
      </c>
      <c r="K68" s="100"/>
      <c r="L68" s="99">
        <f>ROUND(SUM(L64:L67),5)</f>
        <v>1757.5</v>
      </c>
      <c r="M68" s="100"/>
      <c r="N68" s="99">
        <f>ROUND(SUM(N64:N67),5)</f>
        <v>665.73</v>
      </c>
      <c r="O68" s="100"/>
      <c r="P68" s="99">
        <f>ROUND(SUM(P64:P67),5)</f>
        <v>3048</v>
      </c>
      <c r="Q68" s="100"/>
      <c r="R68" s="99">
        <f>ROUND(SUM(R64:R67),5)</f>
        <v>12877</v>
      </c>
      <c r="S68" s="100"/>
      <c r="T68" s="99">
        <f>ROUND(SUM(T64:T67),5)</f>
        <v>4022.75</v>
      </c>
      <c r="U68" s="100"/>
      <c r="V68" s="99">
        <f>ROUND(SUM(V64:V67),5)</f>
        <v>0</v>
      </c>
      <c r="W68" s="100"/>
      <c r="X68" s="99">
        <f>ROUND(SUM(X64:X67),5)</f>
        <v>12909.49</v>
      </c>
      <c r="Y68" s="100"/>
      <c r="Z68" s="99">
        <f>ROUND(SUM(Z64:Z67),5)</f>
        <v>4347.8999999999996</v>
      </c>
      <c r="AA68" s="100"/>
      <c r="AB68" s="99">
        <f>ROUND(SUM(AB64:AB67),5)</f>
        <v>1622.52</v>
      </c>
      <c r="AC68" s="100"/>
      <c r="AD68" s="99">
        <f>ROUND(SUM(AD64:AD67),5)</f>
        <v>1810.3</v>
      </c>
      <c r="AE68" s="100"/>
      <c r="AF68" s="99"/>
      <c r="AG68" s="100"/>
      <c r="AH68" s="99">
        <f t="shared" si="5"/>
        <v>45589.59</v>
      </c>
      <c r="AK68" s="99">
        <f>ROUND(SUM(AK64:AK67),5)</f>
        <v>0</v>
      </c>
    </row>
    <row r="69" spans="1:37" ht="30" customHeight="1" x14ac:dyDescent="0.25">
      <c r="A69" s="98"/>
      <c r="B69" s="98"/>
      <c r="C69" s="98"/>
      <c r="D69" s="98"/>
      <c r="E69" s="98" t="s">
        <v>292</v>
      </c>
      <c r="F69" s="98"/>
      <c r="G69" s="98"/>
      <c r="H69" s="99">
        <v>268.77</v>
      </c>
      <c r="I69" s="100"/>
      <c r="J69" s="99">
        <v>0</v>
      </c>
      <c r="K69" s="100"/>
      <c r="L69" s="99">
        <v>0</v>
      </c>
      <c r="M69" s="100"/>
      <c r="N69" s="99">
        <v>345.28</v>
      </c>
      <c r="O69" s="100"/>
      <c r="P69" s="99">
        <v>0</v>
      </c>
      <c r="Q69" s="100"/>
      <c r="R69" s="99">
        <v>0</v>
      </c>
      <c r="S69" s="100"/>
      <c r="T69" s="99">
        <v>70</v>
      </c>
      <c r="U69" s="100"/>
      <c r="V69" s="99">
        <v>0</v>
      </c>
      <c r="W69" s="100"/>
      <c r="X69" s="99">
        <v>0</v>
      </c>
      <c r="Y69" s="100"/>
      <c r="Z69" s="99">
        <v>0</v>
      </c>
      <c r="AA69" s="100"/>
      <c r="AB69" s="99">
        <v>0</v>
      </c>
      <c r="AC69" s="100"/>
      <c r="AD69" s="99">
        <v>420</v>
      </c>
      <c r="AE69" s="100"/>
      <c r="AF69" s="99"/>
      <c r="AG69" s="100"/>
      <c r="AH69" s="99">
        <f t="shared" si="5"/>
        <v>1104.05</v>
      </c>
      <c r="AK69" s="99">
        <v>0</v>
      </c>
    </row>
    <row r="70" spans="1:37" ht="15.75" thickBot="1" x14ac:dyDescent="0.3">
      <c r="A70" s="98"/>
      <c r="B70" s="98"/>
      <c r="C70" s="98"/>
      <c r="D70" s="98"/>
      <c r="E70" s="98" t="s">
        <v>293</v>
      </c>
      <c r="F70" s="98"/>
      <c r="G70" s="98"/>
      <c r="H70" s="99">
        <v>0.01</v>
      </c>
      <c r="I70" s="100"/>
      <c r="J70" s="99">
        <v>-0.1</v>
      </c>
      <c r="K70" s="100"/>
      <c r="L70" s="99">
        <v>0</v>
      </c>
      <c r="M70" s="100"/>
      <c r="N70" s="99">
        <v>0.02</v>
      </c>
      <c r="O70" s="100"/>
      <c r="P70" s="99">
        <v>0</v>
      </c>
      <c r="Q70" s="100"/>
      <c r="R70" s="99">
        <v>0</v>
      </c>
      <c r="S70" s="100"/>
      <c r="T70" s="99">
        <v>0</v>
      </c>
      <c r="U70" s="100"/>
      <c r="V70" s="99">
        <v>0</v>
      </c>
      <c r="W70" s="100"/>
      <c r="X70" s="99">
        <v>0</v>
      </c>
      <c r="Y70" s="100"/>
      <c r="Z70" s="99">
        <v>0</v>
      </c>
      <c r="AA70" s="100"/>
      <c r="AB70" s="99">
        <v>0</v>
      </c>
      <c r="AC70" s="100"/>
      <c r="AD70" s="99">
        <v>0</v>
      </c>
      <c r="AE70" s="100"/>
      <c r="AF70" s="99"/>
      <c r="AG70" s="100"/>
      <c r="AH70" s="99">
        <f t="shared" si="5"/>
        <v>-7.0000000000000007E-2</v>
      </c>
      <c r="AK70" s="99">
        <v>0</v>
      </c>
    </row>
    <row r="71" spans="1:37" ht="15.75" thickBot="1" x14ac:dyDescent="0.3">
      <c r="A71" s="98"/>
      <c r="B71" s="98"/>
      <c r="C71" s="98"/>
      <c r="D71" s="98" t="s">
        <v>276</v>
      </c>
      <c r="E71" s="98"/>
      <c r="F71" s="98"/>
      <c r="G71" s="98"/>
      <c r="H71" s="103">
        <f>ROUND(H17+H31+H63+SUM(H68:H70),5)</f>
        <v>95731.26</v>
      </c>
      <c r="I71" s="100"/>
      <c r="J71" s="103">
        <f>ROUND(J17+J31+J63+SUM(J68:J70),5)</f>
        <v>63929.03</v>
      </c>
      <c r="K71" s="100"/>
      <c r="L71" s="103">
        <f>ROUND(L17+L31+L63+SUM(L68:L70),5)</f>
        <v>50753.24</v>
      </c>
      <c r="M71" s="100"/>
      <c r="N71" s="103">
        <f>ROUND(N17+N31+N63+SUM(N68:N70),5)</f>
        <v>71097.78</v>
      </c>
      <c r="O71" s="100"/>
      <c r="P71" s="103">
        <f>ROUND(P17+P31+P63+SUM(P68:P70),5)</f>
        <v>64046.7</v>
      </c>
      <c r="Q71" s="100"/>
      <c r="R71" s="103">
        <f>ROUND(R17+R31+R63+SUM(R68:R70),5)</f>
        <v>56517.53</v>
      </c>
      <c r="S71" s="100"/>
      <c r="T71" s="103">
        <f>ROUND(T17+T31+T63+SUM(T68:T70),5)</f>
        <v>81019.02</v>
      </c>
      <c r="U71" s="100"/>
      <c r="V71" s="103">
        <f>ROUND(V17+V31+V63+SUM(V68:V70),5)</f>
        <v>49922.61</v>
      </c>
      <c r="W71" s="100"/>
      <c r="X71" s="103">
        <f>ROUND(X17+X31+X63+SUM(X68:X70),5)</f>
        <v>88213.72</v>
      </c>
      <c r="Y71" s="100"/>
      <c r="Z71" s="103">
        <f>ROUND(Z17+Z31+Z63+SUM(Z68:Z70),5)</f>
        <v>56366.37</v>
      </c>
      <c r="AA71" s="100"/>
      <c r="AB71" s="103">
        <f>ROUND(AB17+AB31+AB63+SUM(AB68:AB70),5)</f>
        <v>64705.279999999999</v>
      </c>
      <c r="AC71" s="100"/>
      <c r="AD71" s="103">
        <f>ROUND(AD17+AD31+AD63+SUM(AD68:AD70),5)</f>
        <v>42165.919999999998</v>
      </c>
      <c r="AE71" s="100"/>
      <c r="AF71" s="103"/>
      <c r="AG71" s="100"/>
      <c r="AH71" s="103">
        <f t="shared" si="5"/>
        <v>784468.46</v>
      </c>
      <c r="AK71" s="103">
        <f>ROUND(AK17+AK31+AK63+SUM(AK68:AK70),5)</f>
        <v>21878.28</v>
      </c>
    </row>
    <row r="72" spans="1:37" ht="30" customHeight="1" thickBot="1" x14ac:dyDescent="0.3">
      <c r="A72" s="98"/>
      <c r="B72" s="98" t="s">
        <v>277</v>
      </c>
      <c r="C72" s="98"/>
      <c r="D72" s="98"/>
      <c r="E72" s="98"/>
      <c r="F72" s="98"/>
      <c r="G72" s="98"/>
      <c r="H72" s="103">
        <f>ROUND(H2+H16-H71,5)</f>
        <v>-95590.93</v>
      </c>
      <c r="I72" s="100"/>
      <c r="J72" s="103">
        <f>ROUND(J2+J16-J71,5)</f>
        <v>-46334.58</v>
      </c>
      <c r="K72" s="100"/>
      <c r="L72" s="103">
        <f>ROUND(L2+L16-L71,5)</f>
        <v>117918.03</v>
      </c>
      <c r="M72" s="100"/>
      <c r="N72" s="103">
        <f>ROUND(N2+N16-N71,5)</f>
        <v>157764.60999999999</v>
      </c>
      <c r="O72" s="100"/>
      <c r="P72" s="103">
        <f>ROUND(P2+P16-P71,5)</f>
        <v>29995.97</v>
      </c>
      <c r="Q72" s="100"/>
      <c r="R72" s="103">
        <f>ROUND(R2+R16-R71,5)</f>
        <v>-7914.37</v>
      </c>
      <c r="S72" s="100"/>
      <c r="T72" s="103">
        <f>ROUND(T2+T16-T71,5)</f>
        <v>-14776.08</v>
      </c>
      <c r="U72" s="100"/>
      <c r="V72" s="103">
        <f>ROUND(V2+V16-V71,5)</f>
        <v>37666.559999999998</v>
      </c>
      <c r="W72" s="100"/>
      <c r="X72" s="103">
        <f>ROUND(X2+X16-X71,5)</f>
        <v>-87332.23</v>
      </c>
      <c r="Y72" s="100"/>
      <c r="Z72" s="103">
        <f>ROUND(Z2+Z16-Z71,5)</f>
        <v>53237.29</v>
      </c>
      <c r="AA72" s="100"/>
      <c r="AB72" s="103">
        <f>ROUND(AB2+AB16-AB71,5)</f>
        <v>-43884.53</v>
      </c>
      <c r="AC72" s="100"/>
      <c r="AD72" s="103">
        <f>ROUND(AD2+AD16-AD71,5)</f>
        <v>-41197.26</v>
      </c>
      <c r="AE72" s="100"/>
      <c r="AF72" s="103"/>
      <c r="AG72" s="100"/>
      <c r="AH72" s="103">
        <f t="shared" si="5"/>
        <v>59552.480000000003</v>
      </c>
      <c r="AK72" s="103">
        <f>ROUND(AK2+AK16-AK71,5)</f>
        <v>-21753.279999999999</v>
      </c>
    </row>
    <row r="73" spans="1:37" s="105" customFormat="1" ht="30" customHeight="1" thickBot="1" x14ac:dyDescent="0.25">
      <c r="A73" s="98" t="s">
        <v>283</v>
      </c>
      <c r="B73" s="98"/>
      <c r="C73" s="98"/>
      <c r="D73" s="98"/>
      <c r="E73" s="98"/>
      <c r="F73" s="98"/>
      <c r="G73" s="98"/>
      <c r="H73" s="104">
        <f>H72</f>
        <v>-95590.93</v>
      </c>
      <c r="I73" s="98"/>
      <c r="J73" s="104">
        <f>J72</f>
        <v>-46334.58</v>
      </c>
      <c r="K73" s="98"/>
      <c r="L73" s="104">
        <f>L72</f>
        <v>117918.03</v>
      </c>
      <c r="M73" s="98"/>
      <c r="N73" s="104">
        <f>N72</f>
        <v>157764.60999999999</v>
      </c>
      <c r="O73" s="98"/>
      <c r="P73" s="104">
        <f>P72</f>
        <v>29995.97</v>
      </c>
      <c r="Q73" s="98"/>
      <c r="R73" s="104">
        <f>R72</f>
        <v>-7914.37</v>
      </c>
      <c r="S73" s="98"/>
      <c r="T73" s="104">
        <f>T72</f>
        <v>-14776.08</v>
      </c>
      <c r="U73" s="98"/>
      <c r="V73" s="104">
        <f>V72</f>
        <v>37666.559999999998</v>
      </c>
      <c r="W73" s="98"/>
      <c r="X73" s="104">
        <f>X72</f>
        <v>-87332.23</v>
      </c>
      <c r="Y73" s="98"/>
      <c r="Z73" s="104">
        <f>Z72</f>
        <v>53237.29</v>
      </c>
      <c r="AA73" s="98"/>
      <c r="AB73" s="104">
        <f>AB72</f>
        <v>-43884.53</v>
      </c>
      <c r="AC73" s="98"/>
      <c r="AD73" s="104">
        <f>AD72</f>
        <v>-41197.26</v>
      </c>
      <c r="AE73" s="98"/>
      <c r="AF73" s="104"/>
      <c r="AG73" s="98"/>
      <c r="AH73" s="104">
        <f t="shared" si="5"/>
        <v>59552.480000000003</v>
      </c>
      <c r="AK73" s="104">
        <f>AK72</f>
        <v>-21753.279999999999</v>
      </c>
    </row>
    <row r="74" spans="1:37" ht="15.75" thickTop="1" x14ac:dyDescent="0.25"/>
  </sheetData>
  <phoneticPr fontId="19" type="noConversion"/>
  <pageMargins left="0.7" right="0.7" top="0.75" bottom="0.75" header="0.1" footer="0.3"/>
  <pageSetup scale="49" fitToHeight="0" orientation="landscape" r:id="rId1"/>
  <headerFooter>
    <oddHeader>&amp;L&amp;"Arial,Bold"&amp;8 1:52 PM
&amp;"Arial,Bold"&amp;8 09/14/15
&amp;"Arial,Bold"&amp;8 Accrual Basis&amp;C&amp;"Arial,Bold"&amp;12 Flagler Estates Road and Water Control District
&amp;"Arial,Bold"&amp;14 Profit &amp;&amp; Loss
&amp;"Arial,Bold"&amp;10 September 2014 through September 2015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  <pageSetUpPr fitToPage="1"/>
  </sheetPr>
  <dimension ref="A1:L41"/>
  <sheetViews>
    <sheetView workbookViewId="0">
      <pane xSplit="4" ySplit="2" topLeftCell="E3" activePane="bottomRight" state="frozenSplit"/>
      <selection activeCell="B114" sqref="B114"/>
      <selection pane="topRight" activeCell="B114" sqref="B114"/>
      <selection pane="bottomLeft" activeCell="B114" sqref="B114"/>
      <selection pane="bottomRight" activeCell="F36" sqref="F36"/>
    </sheetView>
  </sheetViews>
  <sheetFormatPr defaultRowHeight="15.75" x14ac:dyDescent="0.25"/>
  <cols>
    <col min="1" max="3" width="3" style="34" customWidth="1"/>
    <col min="4" max="4" width="40.85546875" style="34" customWidth="1"/>
    <col min="5" max="5" width="2.28515625" style="83" customWidth="1"/>
    <col min="6" max="6" width="18.140625" style="83" customWidth="1"/>
    <col min="7" max="7" width="2.28515625" style="83" customWidth="1"/>
    <col min="8" max="8" width="17.85546875" style="83" customWidth="1"/>
    <col min="9" max="9" width="2.28515625" style="4" customWidth="1"/>
    <col min="10" max="10" width="17.5703125" style="83" customWidth="1"/>
    <col min="11" max="16384" width="9.140625" style="5"/>
  </cols>
  <sheetData>
    <row r="1" spans="1:12" x14ac:dyDescent="0.25">
      <c r="E1" s="79"/>
      <c r="F1" s="79"/>
      <c r="G1" s="79"/>
      <c r="H1" s="79"/>
      <c r="J1" s="79"/>
    </row>
    <row r="2" spans="1:12" s="2" customFormat="1" x14ac:dyDescent="0.25">
      <c r="A2" s="80"/>
      <c r="B2" s="80"/>
      <c r="C2" s="80"/>
      <c r="D2" s="80"/>
      <c r="E2" s="81"/>
      <c r="F2" s="80"/>
      <c r="G2" s="81"/>
      <c r="H2" s="80"/>
      <c r="I2" s="4"/>
      <c r="J2" s="80"/>
    </row>
    <row r="3" spans="1:12" ht="31.5" x14ac:dyDescent="0.25">
      <c r="E3" s="10"/>
      <c r="F3" s="97" t="s">
        <v>320</v>
      </c>
      <c r="G3" s="10"/>
      <c r="H3" s="12" t="s">
        <v>95</v>
      </c>
      <c r="I3" s="1"/>
      <c r="J3" s="97" t="s">
        <v>321</v>
      </c>
    </row>
    <row r="4" spans="1:12" ht="29.25" customHeight="1" x14ac:dyDescent="0.25">
      <c r="C4" s="34" t="s">
        <v>71</v>
      </c>
      <c r="E4" s="10"/>
      <c r="F4" s="82"/>
      <c r="G4" s="10"/>
      <c r="H4" s="82"/>
      <c r="J4" s="82"/>
    </row>
    <row r="5" spans="1:12" x14ac:dyDescent="0.25">
      <c r="D5" s="34" t="s">
        <v>141</v>
      </c>
      <c r="E5" s="10"/>
      <c r="F5" s="3">
        <v>205505</v>
      </c>
      <c r="G5" s="3"/>
      <c r="H5" s="3"/>
      <c r="I5" s="3"/>
      <c r="J5" s="3">
        <f>SUM(F5:H5)</f>
        <v>205505</v>
      </c>
      <c r="K5" s="4"/>
      <c r="L5" s="4"/>
    </row>
    <row r="6" spans="1:12" x14ac:dyDescent="0.25">
      <c r="D6" s="34" t="s">
        <v>142</v>
      </c>
      <c r="E6" s="10"/>
      <c r="F6" s="3">
        <v>0</v>
      </c>
      <c r="G6" s="3"/>
      <c r="H6" s="3"/>
      <c r="I6" s="3"/>
      <c r="J6" s="3">
        <f t="shared" ref="J6:J11" si="0">SUM(F6:H6)</f>
        <v>0</v>
      </c>
      <c r="K6" s="4"/>
      <c r="L6" s="4"/>
    </row>
    <row r="7" spans="1:12" x14ac:dyDescent="0.25">
      <c r="D7" s="34" t="s">
        <v>191</v>
      </c>
      <c r="E7" s="10"/>
      <c r="F7" s="3">
        <v>0</v>
      </c>
      <c r="G7" s="3"/>
      <c r="H7" s="3"/>
      <c r="I7" s="3"/>
      <c r="J7" s="3">
        <f t="shared" si="0"/>
        <v>0</v>
      </c>
      <c r="K7" s="4"/>
      <c r="L7" s="4"/>
    </row>
    <row r="8" spans="1:12" x14ac:dyDescent="0.25">
      <c r="D8" s="34" t="s">
        <v>200</v>
      </c>
      <c r="E8" s="10"/>
      <c r="F8" s="3">
        <v>0</v>
      </c>
      <c r="G8" s="3"/>
      <c r="H8" s="3"/>
      <c r="I8" s="3"/>
      <c r="J8" s="3">
        <f t="shared" si="0"/>
        <v>0</v>
      </c>
      <c r="K8" s="4"/>
      <c r="L8" s="4"/>
    </row>
    <row r="9" spans="1:12" x14ac:dyDescent="0.25">
      <c r="D9" s="34" t="s">
        <v>201</v>
      </c>
      <c r="E9" s="10"/>
      <c r="F9" s="3">
        <v>0</v>
      </c>
      <c r="G9" s="3"/>
      <c r="H9" s="3"/>
      <c r="I9" s="3"/>
      <c r="J9" s="3">
        <f t="shared" si="0"/>
        <v>0</v>
      </c>
      <c r="K9" s="4"/>
      <c r="L9" s="4"/>
    </row>
    <row r="10" spans="1:12" x14ac:dyDescent="0.25">
      <c r="D10" s="34" t="s">
        <v>202</v>
      </c>
      <c r="E10" s="10"/>
      <c r="F10" s="3">
        <v>0</v>
      </c>
      <c r="G10" s="3"/>
      <c r="H10" s="3"/>
      <c r="I10" s="3"/>
      <c r="J10" s="3">
        <f t="shared" si="0"/>
        <v>0</v>
      </c>
      <c r="K10" s="4"/>
      <c r="L10" s="4"/>
    </row>
    <row r="11" spans="1:12" x14ac:dyDescent="0.25">
      <c r="D11" s="34" t="s">
        <v>143</v>
      </c>
      <c r="E11" s="10"/>
      <c r="F11" s="6">
        <v>0</v>
      </c>
      <c r="G11" s="3"/>
      <c r="H11" s="6"/>
      <c r="I11" s="3"/>
      <c r="J11" s="6">
        <f t="shared" si="0"/>
        <v>0</v>
      </c>
      <c r="K11" s="4"/>
      <c r="L11" s="4"/>
    </row>
    <row r="12" spans="1:12" x14ac:dyDescent="0.25">
      <c r="C12" s="34" t="s">
        <v>80</v>
      </c>
      <c r="E12" s="10"/>
      <c r="F12" s="3">
        <f>ROUND(SUM(F4:F11),5)</f>
        <v>205505</v>
      </c>
      <c r="G12" s="3"/>
      <c r="H12" s="3">
        <f>ROUND(SUM(H4:H11),5)</f>
        <v>0</v>
      </c>
      <c r="I12" s="3"/>
      <c r="J12" s="3">
        <f>ROUND(SUM(J4:J11),5)</f>
        <v>205505</v>
      </c>
      <c r="K12" s="4"/>
      <c r="L12" s="4"/>
    </row>
    <row r="13" spans="1:12" ht="30" customHeight="1" x14ac:dyDescent="0.25">
      <c r="C13" s="34" t="s">
        <v>81</v>
      </c>
      <c r="E13" s="10"/>
      <c r="F13" s="3"/>
      <c r="G13" s="3"/>
      <c r="H13" s="3"/>
      <c r="I13" s="3"/>
      <c r="J13" s="3"/>
      <c r="K13" s="4"/>
      <c r="L13" s="4"/>
    </row>
    <row r="14" spans="1:12" x14ac:dyDescent="0.25">
      <c r="D14" s="34" t="s">
        <v>144</v>
      </c>
      <c r="E14" s="10"/>
      <c r="F14" s="3">
        <v>0</v>
      </c>
      <c r="G14" s="3"/>
      <c r="H14" s="3"/>
      <c r="I14" s="3"/>
      <c r="J14" s="3">
        <f t="shared" ref="J14:J32" si="1">SUM(F14:H14)</f>
        <v>0</v>
      </c>
      <c r="K14" s="4"/>
      <c r="L14" s="4"/>
    </row>
    <row r="15" spans="1:12" x14ac:dyDescent="0.25">
      <c r="D15" s="34" t="s">
        <v>145</v>
      </c>
      <c r="E15" s="10"/>
      <c r="F15" s="3">
        <v>0</v>
      </c>
      <c r="G15" s="3"/>
      <c r="H15" s="3"/>
      <c r="I15" s="3"/>
      <c r="J15" s="3">
        <f t="shared" si="1"/>
        <v>0</v>
      </c>
      <c r="K15" s="4"/>
      <c r="L15" s="4"/>
    </row>
    <row r="16" spans="1:12" x14ac:dyDescent="0.25">
      <c r="D16" s="34" t="s">
        <v>146</v>
      </c>
      <c r="E16" s="10"/>
      <c r="F16" s="3">
        <v>0</v>
      </c>
      <c r="G16" s="3"/>
      <c r="H16" s="3"/>
      <c r="I16" s="3"/>
      <c r="J16" s="3">
        <f t="shared" si="1"/>
        <v>0</v>
      </c>
      <c r="K16" s="4"/>
      <c r="L16" s="4"/>
    </row>
    <row r="17" spans="4:12" x14ac:dyDescent="0.25">
      <c r="D17" s="34" t="s">
        <v>147</v>
      </c>
      <c r="E17" s="10"/>
      <c r="F17" s="3">
        <v>0</v>
      </c>
      <c r="G17" s="3"/>
      <c r="H17" s="3"/>
      <c r="I17" s="3"/>
      <c r="J17" s="3">
        <f t="shared" si="1"/>
        <v>0</v>
      </c>
      <c r="K17" s="4"/>
      <c r="L17" s="4"/>
    </row>
    <row r="18" spans="4:12" x14ac:dyDescent="0.25">
      <c r="D18" s="34" t="s">
        <v>53</v>
      </c>
      <c r="E18" s="10"/>
      <c r="F18" s="3">
        <v>0</v>
      </c>
      <c r="G18" s="3"/>
      <c r="H18" s="3"/>
      <c r="I18" s="3"/>
      <c r="J18" s="3">
        <f t="shared" si="1"/>
        <v>0</v>
      </c>
      <c r="K18" s="4"/>
      <c r="L18" s="4"/>
    </row>
    <row r="19" spans="4:12" x14ac:dyDescent="0.25">
      <c r="D19" s="34" t="s">
        <v>148</v>
      </c>
      <c r="E19" s="10"/>
      <c r="F19" s="3">
        <v>1000</v>
      </c>
      <c r="G19" s="3"/>
      <c r="H19" s="3"/>
      <c r="I19" s="3"/>
      <c r="J19" s="3">
        <f t="shared" si="1"/>
        <v>1000</v>
      </c>
      <c r="K19" s="4"/>
      <c r="L19" s="4"/>
    </row>
    <row r="20" spans="4:12" x14ac:dyDescent="0.25">
      <c r="D20" s="34" t="s">
        <v>149</v>
      </c>
      <c r="E20" s="10"/>
      <c r="F20" s="3">
        <v>5200</v>
      </c>
      <c r="G20" s="3"/>
      <c r="H20" s="3"/>
      <c r="I20" s="3"/>
      <c r="J20" s="3">
        <f t="shared" si="1"/>
        <v>5200</v>
      </c>
      <c r="K20" s="4"/>
      <c r="L20" s="4"/>
    </row>
    <row r="21" spans="4:12" x14ac:dyDescent="0.25">
      <c r="D21" s="34" t="s">
        <v>203</v>
      </c>
      <c r="E21" s="10"/>
      <c r="F21" s="3">
        <v>0</v>
      </c>
      <c r="G21" s="3"/>
      <c r="H21" s="3"/>
      <c r="I21" s="3"/>
      <c r="J21" s="3">
        <f t="shared" si="1"/>
        <v>0</v>
      </c>
      <c r="K21" s="4"/>
      <c r="L21" s="4"/>
    </row>
    <row r="22" spans="4:12" x14ac:dyDescent="0.25">
      <c r="D22" s="34" t="s">
        <v>150</v>
      </c>
      <c r="E22" s="10"/>
      <c r="F22" s="3">
        <v>0</v>
      </c>
      <c r="G22" s="3"/>
      <c r="H22" s="3"/>
      <c r="I22" s="3"/>
      <c r="J22" s="3">
        <f t="shared" si="1"/>
        <v>0</v>
      </c>
      <c r="K22" s="4"/>
      <c r="L22" s="4"/>
    </row>
    <row r="23" spans="4:12" x14ac:dyDescent="0.25">
      <c r="D23" s="34" t="s">
        <v>151</v>
      </c>
      <c r="E23" s="10"/>
      <c r="F23" s="3">
        <v>80000</v>
      </c>
      <c r="G23" s="3"/>
      <c r="H23" s="3"/>
      <c r="I23" s="3"/>
      <c r="J23" s="3">
        <f t="shared" si="1"/>
        <v>80000</v>
      </c>
      <c r="K23" s="4"/>
      <c r="L23" s="4"/>
    </row>
    <row r="24" spans="4:12" x14ac:dyDescent="0.25">
      <c r="D24" s="34" t="s">
        <v>62</v>
      </c>
      <c r="E24" s="10"/>
      <c r="F24" s="3">
        <v>0</v>
      </c>
      <c r="G24" s="3"/>
      <c r="H24" s="3"/>
      <c r="I24" s="3"/>
      <c r="J24" s="3">
        <f t="shared" si="1"/>
        <v>0</v>
      </c>
      <c r="K24" s="4"/>
      <c r="L24" s="4"/>
    </row>
    <row r="25" spans="4:12" x14ac:dyDescent="0.25">
      <c r="D25" s="34" t="s">
        <v>204</v>
      </c>
      <c r="E25" s="10"/>
      <c r="F25" s="3">
        <v>0</v>
      </c>
      <c r="G25" s="3"/>
      <c r="H25" s="3"/>
      <c r="I25" s="3"/>
      <c r="J25" s="3">
        <f t="shared" si="1"/>
        <v>0</v>
      </c>
      <c r="K25" s="4"/>
      <c r="L25" s="4"/>
    </row>
    <row r="26" spans="4:12" x14ac:dyDescent="0.25">
      <c r="D26" s="34" t="s">
        <v>152</v>
      </c>
      <c r="E26" s="10"/>
      <c r="F26" s="3">
        <v>0</v>
      </c>
      <c r="G26" s="3"/>
      <c r="H26" s="3"/>
      <c r="I26" s="3"/>
      <c r="J26" s="3">
        <f t="shared" si="1"/>
        <v>0</v>
      </c>
      <c r="K26" s="4"/>
      <c r="L26" s="4"/>
    </row>
    <row r="27" spans="4:12" x14ac:dyDescent="0.25">
      <c r="D27" s="34" t="s">
        <v>153</v>
      </c>
      <c r="E27" s="10"/>
      <c r="F27" s="3">
        <v>0</v>
      </c>
      <c r="G27" s="3"/>
      <c r="H27" s="3"/>
      <c r="I27" s="3"/>
      <c r="J27" s="3">
        <f t="shared" si="1"/>
        <v>0</v>
      </c>
      <c r="K27" s="4"/>
      <c r="L27" s="4"/>
    </row>
    <row r="28" spans="4:12" x14ac:dyDescent="0.25">
      <c r="D28" s="34" t="s">
        <v>205</v>
      </c>
      <c r="E28" s="10"/>
      <c r="F28" s="3">
        <v>0</v>
      </c>
      <c r="G28" s="3"/>
      <c r="H28" s="3"/>
      <c r="I28" s="3"/>
      <c r="J28" s="3">
        <f t="shared" si="1"/>
        <v>0</v>
      </c>
      <c r="K28" s="4"/>
      <c r="L28" s="4"/>
    </row>
    <row r="29" spans="4:12" x14ac:dyDescent="0.25">
      <c r="D29" s="34" t="s">
        <v>154</v>
      </c>
      <c r="E29" s="10"/>
      <c r="F29" s="3">
        <v>0</v>
      </c>
      <c r="G29" s="3"/>
      <c r="H29" s="3"/>
      <c r="I29" s="3"/>
      <c r="J29" s="3">
        <f t="shared" si="1"/>
        <v>0</v>
      </c>
      <c r="K29" s="4"/>
      <c r="L29" s="4"/>
    </row>
    <row r="30" spans="4:12" x14ac:dyDescent="0.25">
      <c r="D30" s="34" t="s">
        <v>155</v>
      </c>
      <c r="E30" s="10"/>
      <c r="F30" s="3">
        <v>0</v>
      </c>
      <c r="G30" s="3"/>
      <c r="H30" s="3"/>
      <c r="J30" s="3">
        <f t="shared" si="1"/>
        <v>0</v>
      </c>
      <c r="K30" s="4"/>
      <c r="L30" s="4"/>
    </row>
    <row r="31" spans="4:12" x14ac:dyDescent="0.25">
      <c r="D31" s="34" t="s">
        <v>156</v>
      </c>
      <c r="E31" s="10"/>
      <c r="F31" s="3">
        <v>0</v>
      </c>
      <c r="G31" s="3"/>
      <c r="H31" s="3"/>
      <c r="J31" s="3">
        <f t="shared" si="1"/>
        <v>0</v>
      </c>
      <c r="K31" s="4"/>
      <c r="L31" s="4"/>
    </row>
    <row r="32" spans="4:12" x14ac:dyDescent="0.25">
      <c r="D32" s="34" t="s">
        <v>206</v>
      </c>
      <c r="E32" s="10"/>
      <c r="F32" s="6">
        <v>0</v>
      </c>
      <c r="G32" s="3"/>
      <c r="H32" s="6"/>
      <c r="J32" s="6">
        <f t="shared" si="1"/>
        <v>0</v>
      </c>
      <c r="K32" s="4"/>
      <c r="L32" s="4"/>
    </row>
    <row r="33" spans="1:12" x14ac:dyDescent="0.25">
      <c r="C33" s="34" t="s">
        <v>85</v>
      </c>
      <c r="E33" s="10"/>
      <c r="F33" s="6">
        <f>ROUND(SUM(F13:F32),5)</f>
        <v>86200</v>
      </c>
      <c r="G33" s="3"/>
      <c r="H33" s="6">
        <f>ROUND(SUM(H13:H32),5)</f>
        <v>0</v>
      </c>
      <c r="J33" s="6">
        <f>ROUND(SUM(J13:J32),5)</f>
        <v>86200</v>
      </c>
      <c r="K33" s="4"/>
      <c r="L33" s="4"/>
    </row>
    <row r="34" spans="1:12" ht="30" customHeight="1" x14ac:dyDescent="0.25">
      <c r="B34" s="5"/>
      <c r="C34" s="34" t="s">
        <v>157</v>
      </c>
      <c r="E34" s="3">
        <f>+E16-E33</f>
        <v>0</v>
      </c>
      <c r="F34" s="3">
        <f>+F12-F33</f>
        <v>119305</v>
      </c>
      <c r="G34" s="3">
        <f>+G16-G33</f>
        <v>0</v>
      </c>
      <c r="H34" s="3">
        <f>+H12-H33</f>
        <v>0</v>
      </c>
      <c r="I34" s="3">
        <f>+I16-I33</f>
        <v>0</v>
      </c>
      <c r="J34" s="3">
        <f>+J12-J33</f>
        <v>119305</v>
      </c>
      <c r="K34" s="4"/>
      <c r="L34" s="4"/>
    </row>
    <row r="35" spans="1:12" x14ac:dyDescent="0.25">
      <c r="A35" s="46"/>
      <c r="B35" s="5"/>
      <c r="C35" s="46"/>
      <c r="D35" s="46"/>
      <c r="E35" s="4"/>
      <c r="F35" s="4"/>
      <c r="G35" s="4"/>
      <c r="H35" s="4"/>
      <c r="J35" s="4"/>
      <c r="K35" s="4"/>
      <c r="L35" s="4"/>
    </row>
    <row r="36" spans="1:12" x14ac:dyDescent="0.25">
      <c r="A36" s="46"/>
      <c r="B36" s="5"/>
      <c r="C36" s="46" t="s">
        <v>322</v>
      </c>
      <c r="D36" s="46"/>
      <c r="E36" s="4"/>
      <c r="F36" s="47">
        <v>228586.73</v>
      </c>
      <c r="G36" s="4"/>
      <c r="H36" s="47"/>
      <c r="J36" s="47">
        <f>SUM(F36:H36)</f>
        <v>228586.73</v>
      </c>
      <c r="K36" s="4"/>
      <c r="L36" s="4"/>
    </row>
    <row r="37" spans="1:12" x14ac:dyDescent="0.25">
      <c r="A37" s="46"/>
      <c r="B37" s="5"/>
      <c r="C37" s="46"/>
      <c r="D37" s="46"/>
      <c r="E37" s="4"/>
      <c r="F37" s="4"/>
      <c r="G37" s="4"/>
      <c r="H37" s="4"/>
      <c r="J37" s="4"/>
      <c r="K37" s="4"/>
      <c r="L37" s="4"/>
    </row>
    <row r="38" spans="1:12" ht="16.5" thickBot="1" x14ac:dyDescent="0.3">
      <c r="A38" s="46"/>
      <c r="B38" s="5"/>
      <c r="C38" s="46" t="s">
        <v>159</v>
      </c>
      <c r="D38" s="46"/>
      <c r="E38" s="4"/>
      <c r="F38" s="48">
        <f>SUM(F34:F36)</f>
        <v>347891.73</v>
      </c>
      <c r="G38" s="4"/>
      <c r="H38" s="48">
        <f>SUM(H34:H36)</f>
        <v>0</v>
      </c>
      <c r="J38" s="48">
        <f>SUM(J34:J36)</f>
        <v>347891.73</v>
      </c>
      <c r="K38" s="4"/>
      <c r="L38" s="4"/>
    </row>
    <row r="39" spans="1:12" ht="16.5" thickTop="1" x14ac:dyDescent="0.25">
      <c r="A39" s="46"/>
      <c r="B39" s="46"/>
      <c r="C39" s="46"/>
      <c r="D39" s="46"/>
      <c r="E39" s="5"/>
      <c r="F39" s="4"/>
      <c r="G39" s="4"/>
      <c r="H39" s="4"/>
      <c r="J39" s="4"/>
      <c r="K39" s="4"/>
      <c r="L39" s="4"/>
    </row>
    <row r="40" spans="1:12" x14ac:dyDescent="0.25">
      <c r="A40" s="46"/>
      <c r="B40" s="46"/>
      <c r="C40" s="46"/>
      <c r="D40" s="46"/>
      <c r="E40" s="5"/>
      <c r="F40" s="4"/>
      <c r="G40" s="4"/>
      <c r="H40" s="4"/>
      <c r="J40" s="4"/>
      <c r="K40" s="4"/>
      <c r="L40" s="4"/>
    </row>
    <row r="41" spans="1:12" x14ac:dyDescent="0.25">
      <c r="A41" s="46"/>
      <c r="B41" s="46"/>
      <c r="C41" s="46"/>
      <c r="D41" s="46"/>
      <c r="E41" s="5"/>
      <c r="F41" s="4"/>
      <c r="G41" s="4"/>
      <c r="H41" s="4"/>
      <c r="J41" s="4"/>
      <c r="K41" s="4"/>
      <c r="L41" s="4"/>
    </row>
  </sheetData>
  <phoneticPr fontId="0" type="noConversion"/>
  <printOptions horizontalCentered="1"/>
  <pageMargins left="0.7" right="0.7" top="0.75" bottom="0.75" header="0.25" footer="0.3"/>
  <pageSetup scale="72" fitToHeight="0" orientation="landscape" r:id="rId1"/>
  <headerFooter>
    <oddHeader xml:space="preserve">&amp;C&amp;"Times New Roman,Bold"&amp;12 Flagler Estates Road and Water Control District
&amp;14 Proposed Budget Amendment - Capital Projects Fund 
Fiscal 2018-19
</oddHeader>
    <oddFooter>&amp;L&amp;F
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28"/>
  <sheetViews>
    <sheetView view="pageLayout" topLeftCell="A7" zoomScaleNormal="100" workbookViewId="0">
      <selection activeCell="E14" sqref="E14"/>
    </sheetView>
  </sheetViews>
  <sheetFormatPr defaultRowHeight="15" x14ac:dyDescent="0.25"/>
  <cols>
    <col min="1" max="1" width="3.5703125" customWidth="1"/>
    <col min="2" max="2" width="34.7109375" customWidth="1"/>
    <col min="4" max="4" width="14.28515625" customWidth="1"/>
    <col min="5" max="5" width="14" customWidth="1"/>
    <col min="6" max="6" width="15.5703125" customWidth="1"/>
    <col min="7" max="7" width="13.85546875" customWidth="1"/>
    <col min="8" max="8" width="16.5703125" customWidth="1"/>
    <col min="9" max="9" width="3.5703125" customWidth="1"/>
  </cols>
  <sheetData>
    <row r="1" spans="1:11" ht="15.75" x14ac:dyDescent="0.25">
      <c r="A1" s="51" t="s">
        <v>100</v>
      </c>
      <c r="B1" s="51"/>
      <c r="C1" s="51"/>
      <c r="D1" s="51"/>
      <c r="E1" s="51"/>
      <c r="F1" s="51"/>
      <c r="G1" s="51"/>
      <c r="H1" s="51"/>
      <c r="I1" s="51"/>
    </row>
    <row r="2" spans="1:11" ht="15.75" x14ac:dyDescent="0.25">
      <c r="A2" s="51" t="s">
        <v>332</v>
      </c>
      <c r="B2" s="51"/>
      <c r="C2" s="51"/>
      <c r="D2" s="51"/>
      <c r="E2" s="51"/>
      <c r="F2" s="51"/>
      <c r="G2" s="51"/>
      <c r="H2" s="51"/>
      <c r="I2" s="51"/>
    </row>
    <row r="3" spans="1:11" ht="15.75" x14ac:dyDescent="0.25">
      <c r="A3" s="51" t="s">
        <v>340</v>
      </c>
      <c r="B3" s="51"/>
      <c r="C3" s="51"/>
      <c r="D3" s="51"/>
      <c r="E3" s="51"/>
      <c r="F3" s="51"/>
      <c r="G3" s="51"/>
      <c r="H3" s="51"/>
      <c r="I3" s="51"/>
    </row>
    <row r="4" spans="1:11" ht="15.75" x14ac:dyDescent="0.25">
      <c r="A4" s="51"/>
      <c r="B4" s="53"/>
      <c r="C4" s="53"/>
      <c r="D4" s="53"/>
      <c r="E4" s="53"/>
      <c r="F4" s="53"/>
      <c r="G4" s="53"/>
      <c r="H4" s="53"/>
      <c r="I4" s="51"/>
    </row>
    <row r="5" spans="1:11" ht="15.75" x14ac:dyDescent="0.25">
      <c r="A5" s="51"/>
      <c r="B5" s="53"/>
      <c r="C5" s="53"/>
      <c r="D5" s="53"/>
      <c r="E5" s="53"/>
      <c r="F5" s="53"/>
      <c r="G5" s="53"/>
      <c r="H5" s="53"/>
      <c r="I5" s="51"/>
    </row>
    <row r="6" spans="1:11" ht="16.5" thickBot="1" x14ac:dyDescent="0.3">
      <c r="A6" s="54" t="s">
        <v>160</v>
      </c>
      <c r="B6" s="54"/>
      <c r="C6" s="54"/>
      <c r="D6" s="54"/>
      <c r="E6" s="54"/>
      <c r="F6" s="54"/>
      <c r="G6" s="54"/>
      <c r="H6" s="54"/>
      <c r="I6" s="54"/>
    </row>
    <row r="7" spans="1:11" ht="31.5" x14ac:dyDescent="0.25">
      <c r="A7" s="52"/>
      <c r="B7" s="55" t="s">
        <v>161</v>
      </c>
      <c r="C7" s="55"/>
      <c r="D7" s="56" t="s">
        <v>162</v>
      </c>
      <c r="E7" s="56" t="s">
        <v>163</v>
      </c>
      <c r="F7" s="57" t="s">
        <v>164</v>
      </c>
      <c r="G7" s="56" t="s">
        <v>165</v>
      </c>
      <c r="H7" s="56" t="s">
        <v>166</v>
      </c>
      <c r="I7" s="52"/>
    </row>
    <row r="8" spans="1:11" ht="15.75" x14ac:dyDescent="0.25">
      <c r="A8" s="52"/>
      <c r="B8" s="52"/>
      <c r="C8" s="52"/>
      <c r="D8" s="52"/>
      <c r="E8" s="52"/>
      <c r="F8" s="52"/>
      <c r="G8" s="52"/>
      <c r="H8" s="52"/>
      <c r="I8" s="52"/>
    </row>
    <row r="9" spans="1:11" ht="15.75" x14ac:dyDescent="0.25">
      <c r="A9" s="52"/>
      <c r="B9" s="58" t="s">
        <v>167</v>
      </c>
      <c r="C9" s="52"/>
      <c r="D9" s="52">
        <v>6180.61</v>
      </c>
      <c r="E9" s="59">
        <v>275</v>
      </c>
      <c r="F9" s="60">
        <f>ROUND((E9*D9),0)</f>
        <v>1699668</v>
      </c>
      <c r="G9" s="61">
        <v>0.95</v>
      </c>
      <c r="H9" s="60">
        <f>ROUND((F9*G9),0)</f>
        <v>1614685</v>
      </c>
      <c r="I9" s="52"/>
      <c r="K9" s="123"/>
    </row>
    <row r="10" spans="1:11" ht="15.75" x14ac:dyDescent="0.25">
      <c r="A10" s="52"/>
      <c r="B10" s="52"/>
      <c r="C10" s="52"/>
      <c r="D10" s="52"/>
      <c r="E10" s="59"/>
      <c r="F10" s="60"/>
      <c r="G10" s="61"/>
      <c r="H10" s="60"/>
      <c r="I10" s="52"/>
    </row>
    <row r="11" spans="1:11" ht="15.75" x14ac:dyDescent="0.25">
      <c r="A11" s="52"/>
      <c r="B11" s="58"/>
      <c r="C11" s="52"/>
      <c r="D11" s="55"/>
      <c r="E11" s="62"/>
      <c r="F11" s="63"/>
      <c r="G11" s="64"/>
      <c r="H11" s="63"/>
      <c r="I11" s="52"/>
    </row>
    <row r="12" spans="1:11" ht="15.75" x14ac:dyDescent="0.25">
      <c r="A12" s="52"/>
      <c r="B12" s="52"/>
      <c r="C12" s="52"/>
      <c r="D12" s="52"/>
      <c r="E12" s="59"/>
      <c r="F12" s="60"/>
      <c r="G12" s="60"/>
      <c r="H12" s="60"/>
      <c r="I12" s="52"/>
    </row>
    <row r="13" spans="1:11" ht="16.5" thickBot="1" x14ac:dyDescent="0.3">
      <c r="A13" s="52"/>
      <c r="B13" s="52" t="s">
        <v>168</v>
      </c>
      <c r="C13" s="52"/>
      <c r="D13" s="52"/>
      <c r="E13" s="59">
        <f>SUM(E9:E11)</f>
        <v>275</v>
      </c>
      <c r="F13" s="65">
        <f>SUM(F9:F11)</f>
        <v>1699668</v>
      </c>
      <c r="G13" s="60"/>
      <c r="H13" s="65">
        <f>SUM(H9:H11)</f>
        <v>1614685</v>
      </c>
      <c r="I13" s="52"/>
    </row>
    <row r="14" spans="1:11" ht="16.5" thickTop="1" x14ac:dyDescent="0.25">
      <c r="A14" s="52"/>
      <c r="B14" s="52"/>
      <c r="C14" s="52"/>
      <c r="D14" s="52"/>
      <c r="E14" s="52"/>
      <c r="F14" s="60"/>
      <c r="G14" s="60"/>
      <c r="H14" s="60"/>
      <c r="I14" s="52"/>
    </row>
    <row r="15" spans="1:11" ht="15.75" x14ac:dyDescent="0.25">
      <c r="A15" s="52"/>
      <c r="B15" s="52"/>
      <c r="C15" s="52"/>
      <c r="D15" s="52"/>
      <c r="E15" s="52"/>
      <c r="F15" s="60"/>
      <c r="G15" s="60"/>
      <c r="H15" s="60"/>
      <c r="I15" s="52"/>
    </row>
    <row r="16" spans="1:11" ht="15.75" x14ac:dyDescent="0.25">
      <c r="A16" s="52"/>
      <c r="B16" s="52"/>
      <c r="C16" s="52"/>
      <c r="D16" s="52"/>
      <c r="E16" s="52"/>
      <c r="F16" s="60"/>
      <c r="G16" s="60"/>
      <c r="H16" s="60"/>
      <c r="I16" s="52"/>
    </row>
    <row r="17" spans="1:9" ht="16.5" thickBot="1" x14ac:dyDescent="0.3">
      <c r="A17" s="54" t="s">
        <v>169</v>
      </c>
      <c r="B17" s="54"/>
      <c r="C17" s="54"/>
      <c r="D17" s="54"/>
      <c r="E17" s="54"/>
      <c r="F17" s="54"/>
      <c r="G17" s="54"/>
      <c r="H17" s="54"/>
      <c r="I17" s="54"/>
    </row>
    <row r="18" spans="1:9" ht="31.5" x14ac:dyDescent="0.25">
      <c r="A18" s="52"/>
      <c r="B18" s="55" t="s">
        <v>161</v>
      </c>
      <c r="C18" s="55"/>
      <c r="D18" s="56" t="s">
        <v>162</v>
      </c>
      <c r="E18" s="56" t="s">
        <v>163</v>
      </c>
      <c r="F18" s="57" t="s">
        <v>164</v>
      </c>
      <c r="G18" s="56" t="s">
        <v>165</v>
      </c>
      <c r="H18" s="56" t="s">
        <v>166</v>
      </c>
      <c r="I18" s="52"/>
    </row>
    <row r="19" spans="1:9" ht="15.75" x14ac:dyDescent="0.25">
      <c r="A19" s="52"/>
      <c r="B19" s="52"/>
      <c r="C19" s="52"/>
      <c r="D19" s="52"/>
      <c r="E19" s="52"/>
      <c r="F19" s="52"/>
      <c r="G19" s="52"/>
      <c r="H19" s="52"/>
      <c r="I19" s="52"/>
    </row>
    <row r="20" spans="1:9" ht="16.5" thickBot="1" x14ac:dyDescent="0.3">
      <c r="A20" s="52"/>
      <c r="B20" s="52" t="s">
        <v>169</v>
      </c>
      <c r="C20" s="52"/>
      <c r="D20" s="66">
        <v>6180.61</v>
      </c>
      <c r="E20" s="67">
        <v>25</v>
      </c>
      <c r="F20" s="65">
        <f>ROUND((E20*D20),0)</f>
        <v>154515</v>
      </c>
      <c r="G20" s="68">
        <v>0.95</v>
      </c>
      <c r="H20" s="65">
        <f>ROUND((F20*G20),0)</f>
        <v>146789</v>
      </c>
      <c r="I20" s="52"/>
    </row>
    <row r="21" spans="1:9" ht="16.5" thickTop="1" x14ac:dyDescent="0.25">
      <c r="A21" s="52"/>
      <c r="B21" s="52"/>
      <c r="C21" s="52"/>
      <c r="D21" s="52"/>
      <c r="E21" s="52"/>
      <c r="F21" s="52"/>
      <c r="G21" s="52"/>
      <c r="H21" s="52"/>
      <c r="I21" s="52"/>
    </row>
    <row r="22" spans="1:9" ht="15.75" x14ac:dyDescent="0.25">
      <c r="A22" s="52"/>
      <c r="B22" s="52"/>
      <c r="C22" s="52"/>
      <c r="D22" s="52"/>
      <c r="E22" s="52"/>
      <c r="F22" s="52"/>
      <c r="G22" s="52"/>
      <c r="H22" s="52"/>
      <c r="I22" s="52"/>
    </row>
    <row r="23" spans="1:9" ht="16.5" thickBot="1" x14ac:dyDescent="0.3">
      <c r="A23" s="52"/>
      <c r="B23" s="52" t="s">
        <v>170</v>
      </c>
      <c r="C23" s="52"/>
      <c r="D23" s="52"/>
      <c r="E23" s="67">
        <f>+E20+E13</f>
        <v>300</v>
      </c>
      <c r="F23" s="52"/>
      <c r="G23" s="52"/>
      <c r="H23" s="52"/>
      <c r="I23" s="52"/>
    </row>
    <row r="24" spans="1:9" ht="16.5" thickTop="1" x14ac:dyDescent="0.25">
      <c r="A24" s="52"/>
      <c r="B24" s="52"/>
      <c r="C24" s="52"/>
      <c r="D24" s="52"/>
      <c r="E24" s="52"/>
      <c r="F24" s="52"/>
      <c r="G24" s="52"/>
      <c r="H24" s="52"/>
      <c r="I24" s="52"/>
    </row>
    <row r="27" spans="1:9" x14ac:dyDescent="0.25">
      <c r="E27" s="20"/>
    </row>
    <row r="28" spans="1:9" x14ac:dyDescent="0.25">
      <c r="H28" s="20"/>
    </row>
  </sheetData>
  <phoneticPr fontId="0" type="noConversion"/>
  <printOptions horizontalCentered="1"/>
  <pageMargins left="0.7" right="0.7" top="0.75" bottom="0.75" header="0.25" footer="0.3"/>
  <pageSetup scale="97" orientation="landscape" r:id="rId1"/>
  <headerFooter>
    <oddHeader xml:space="preserve">&amp;C&amp;"Times New Roman,Bold"&amp;12 </oddHeader>
    <oddFooter xml:space="preserve">&amp;C2025-2026 Budget/Assessment 5-15-2025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2:AG160"/>
  <sheetViews>
    <sheetView view="pageLayout" topLeftCell="B37" zoomScaleNormal="100" workbookViewId="0">
      <selection activeCell="G3" sqref="G3"/>
    </sheetView>
  </sheetViews>
  <sheetFormatPr defaultRowHeight="15.75" x14ac:dyDescent="0.25"/>
  <cols>
    <col min="1" max="5" width="3" style="11" customWidth="1"/>
    <col min="6" max="6" width="39.7109375" style="11" customWidth="1"/>
    <col min="7" max="7" width="16.85546875" style="4" customWidth="1"/>
    <col min="8" max="8" width="3.7109375" style="4" customWidth="1"/>
    <col min="9" max="9" width="16.85546875" style="4" customWidth="1"/>
    <col min="10" max="10" width="3.7109375" style="4" customWidth="1"/>
    <col min="11" max="11" width="16.28515625" style="5" customWidth="1"/>
    <col min="12" max="12" width="3.7109375" style="4" customWidth="1"/>
    <col min="13" max="13" width="14.7109375" style="5" customWidth="1"/>
    <col min="14" max="14" width="3" style="5" customWidth="1"/>
    <col min="15" max="15" width="16.85546875" style="4" customWidth="1"/>
    <col min="16" max="16" width="3.7109375" style="5" customWidth="1"/>
    <col min="17" max="17" width="16.85546875" style="4" customWidth="1"/>
    <col min="18" max="18" width="3" style="5" customWidth="1"/>
    <col min="19" max="19" width="31.7109375" style="5" customWidth="1"/>
    <col min="20" max="30" width="13.42578125" style="5" customWidth="1"/>
    <col min="31" max="31" width="4" style="5" customWidth="1"/>
    <col min="32" max="32" width="12.7109375" style="5" bestFit="1" customWidth="1"/>
    <col min="33" max="16384" width="9.140625" style="5"/>
  </cols>
  <sheetData>
    <row r="2" spans="1:33" s="2" customFormat="1" ht="35.25" customHeight="1" x14ac:dyDescent="0.25">
      <c r="A2" s="9"/>
      <c r="B2" s="9"/>
      <c r="C2" s="9"/>
      <c r="D2" s="9"/>
      <c r="E2" s="9"/>
      <c r="F2" s="9"/>
      <c r="G2" s="97" t="s">
        <v>349</v>
      </c>
      <c r="H2" s="1"/>
      <c r="I2" s="97" t="s">
        <v>347</v>
      </c>
      <c r="J2" s="1"/>
      <c r="K2" s="13" t="s">
        <v>97</v>
      </c>
      <c r="L2" s="14"/>
      <c r="M2" s="13"/>
      <c r="O2" s="70" t="s">
        <v>171</v>
      </c>
      <c r="P2" s="69"/>
      <c r="Q2" s="70"/>
      <c r="S2" s="2" t="s">
        <v>234</v>
      </c>
    </row>
    <row r="3" spans="1:33" x14ac:dyDescent="0.25">
      <c r="A3" s="83" t="s">
        <v>335</v>
      </c>
      <c r="B3" s="10"/>
      <c r="C3" s="10"/>
      <c r="D3" s="10"/>
      <c r="E3" s="10"/>
      <c r="F3" s="10"/>
      <c r="G3" s="3"/>
      <c r="I3" s="3"/>
      <c r="K3" s="2" t="s">
        <v>98</v>
      </c>
      <c r="L3" s="1"/>
      <c r="M3" s="2" t="s">
        <v>99</v>
      </c>
      <c r="O3" s="1" t="s">
        <v>330</v>
      </c>
      <c r="P3" s="2"/>
      <c r="Q3" s="1" t="s">
        <v>337</v>
      </c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</row>
    <row r="4" spans="1:33" x14ac:dyDescent="0.25">
      <c r="A4" s="10"/>
      <c r="B4" s="10" t="s">
        <v>71</v>
      </c>
      <c r="D4" s="10"/>
      <c r="E4" s="10"/>
      <c r="F4" s="10"/>
      <c r="G4" s="3"/>
      <c r="I4" s="3"/>
      <c r="O4" s="3"/>
      <c r="Q4" s="3"/>
    </row>
    <row r="5" spans="1:33" x14ac:dyDescent="0.25">
      <c r="A5" s="10"/>
      <c r="B5" s="10"/>
      <c r="C5" s="11" t="s">
        <v>72</v>
      </c>
      <c r="D5" s="10"/>
      <c r="E5" s="10"/>
      <c r="F5" s="10"/>
      <c r="G5" s="3"/>
      <c r="I5" s="3"/>
      <c r="O5" s="3"/>
      <c r="Q5" s="3"/>
    </row>
    <row r="6" spans="1:33" x14ac:dyDescent="0.25">
      <c r="A6" s="10"/>
      <c r="B6" s="10"/>
      <c r="D6" s="10" t="s">
        <v>0</v>
      </c>
      <c r="E6" s="10"/>
      <c r="F6" s="10"/>
      <c r="G6" s="3">
        <f>+'Budget Amendment 2019'!K5</f>
        <v>822021</v>
      </c>
      <c r="I6" s="3">
        <f>+'Assessment Schedule'!H13</f>
        <v>1614685</v>
      </c>
      <c r="K6" s="3">
        <f>+I6-G6</f>
        <v>792664</v>
      </c>
      <c r="M6" s="15">
        <f>IF(K6=0,0,ROUND((K6/G6),4))</f>
        <v>0.96430000000000005</v>
      </c>
      <c r="O6" s="3">
        <f>ROUND((G6/'Assessment Schedule'!$D$9),2)</f>
        <v>133</v>
      </c>
      <c r="P6" s="4"/>
      <c r="Q6" s="3">
        <f>ROUND((I6/'Assessment Schedule'!$D$9),2)</f>
        <v>261.25</v>
      </c>
      <c r="S6" s="95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F6" s="4"/>
      <c r="AG6" s="4"/>
    </row>
    <row r="7" spans="1:33" x14ac:dyDescent="0.25">
      <c r="A7" s="10"/>
      <c r="B7" s="10"/>
      <c r="D7" s="10" t="s">
        <v>1</v>
      </c>
      <c r="E7" s="10"/>
      <c r="F7" s="10"/>
      <c r="G7" s="3">
        <f>+'Budget Amendment 2019'!K6</f>
        <v>0</v>
      </c>
      <c r="I7" s="3"/>
      <c r="K7" s="3">
        <f>+I7-G7</f>
        <v>0</v>
      </c>
      <c r="M7" s="15">
        <f>IF(K7=0,0,ROUND((K7/G7),4))</f>
        <v>0</v>
      </c>
      <c r="O7" s="3">
        <f>ROUND((G7/'Assessment Schedule'!$D$9),2)</f>
        <v>0</v>
      </c>
      <c r="P7" s="4"/>
      <c r="Q7" s="3">
        <f>ROUND((I7/'Assessment Schedule'!$D$9),2)</f>
        <v>0</v>
      </c>
      <c r="S7" s="4"/>
    </row>
    <row r="8" spans="1:33" x14ac:dyDescent="0.25">
      <c r="A8" s="10"/>
      <c r="B8" s="10"/>
      <c r="D8" s="10" t="s">
        <v>2</v>
      </c>
      <c r="E8" s="10"/>
      <c r="F8" s="10"/>
      <c r="G8" s="6">
        <f>+'Budget Amendment 2019'!K7</f>
        <v>0</v>
      </c>
      <c r="I8" s="6">
        <v>0</v>
      </c>
      <c r="K8" s="6">
        <f>+I8-G8</f>
        <v>0</v>
      </c>
      <c r="M8" s="49">
        <f>IF(K8=0,0,ROUND((K8/G8),4))</f>
        <v>0</v>
      </c>
      <c r="O8" s="6">
        <f>ROUND((G8/'Assessment Schedule'!$D$9),2)</f>
        <v>0</v>
      </c>
      <c r="P8" s="4"/>
      <c r="Q8" s="6">
        <f>ROUND((I8/'Assessment Schedule'!$D$9),2)</f>
        <v>0</v>
      </c>
    </row>
    <row r="9" spans="1:33" x14ac:dyDescent="0.25">
      <c r="A9" s="10"/>
      <c r="B9" s="10"/>
      <c r="C9" s="11" t="s">
        <v>73</v>
      </c>
      <c r="D9" s="10"/>
      <c r="E9" s="10"/>
      <c r="F9" s="10"/>
      <c r="G9" s="3">
        <f>SUM(G6:G8)</f>
        <v>822021</v>
      </c>
      <c r="I9" s="3">
        <f>SUM(I6:I8)</f>
        <v>1614685</v>
      </c>
      <c r="K9" s="3">
        <f>SUM(K6:K8)</f>
        <v>792664</v>
      </c>
      <c r="M9" s="15">
        <f>IF(K9=0,0,ROUND((K9/G9),4))</f>
        <v>0.96430000000000005</v>
      </c>
      <c r="O9" s="3">
        <f>690.1+8.65</f>
        <v>698.75</v>
      </c>
      <c r="P9" s="4"/>
      <c r="Q9" s="3">
        <f>SUM(Q6:Q8)</f>
        <v>261.25</v>
      </c>
    </row>
    <row r="10" spans="1:33" x14ac:dyDescent="0.25">
      <c r="A10" s="10"/>
      <c r="B10" s="10"/>
      <c r="D10" s="10"/>
      <c r="E10" s="10"/>
      <c r="F10" s="10"/>
      <c r="G10" s="3"/>
      <c r="I10" s="3"/>
      <c r="K10" s="3"/>
      <c r="O10" s="3"/>
      <c r="P10" s="4"/>
      <c r="Q10" s="3"/>
    </row>
    <row r="11" spans="1:33" x14ac:dyDescent="0.25">
      <c r="A11" s="10"/>
      <c r="B11" s="10"/>
      <c r="C11" s="11" t="s">
        <v>74</v>
      </c>
      <c r="D11" s="10"/>
      <c r="E11" s="10"/>
      <c r="F11" s="10"/>
      <c r="G11" s="3"/>
      <c r="I11" s="3"/>
      <c r="K11" s="3"/>
      <c r="O11" s="3"/>
      <c r="P11" s="4"/>
      <c r="Q11" s="3"/>
    </row>
    <row r="12" spans="1:33" x14ac:dyDescent="0.25">
      <c r="A12" s="10"/>
      <c r="B12" s="10"/>
      <c r="D12" s="10" t="s">
        <v>3</v>
      </c>
      <c r="E12" s="10"/>
      <c r="F12" s="10"/>
      <c r="G12" s="3">
        <f>+'Budget Amendment 2019'!K11</f>
        <v>0</v>
      </c>
      <c r="I12" s="3"/>
      <c r="K12" s="3">
        <f>+I12-G12</f>
        <v>0</v>
      </c>
      <c r="M12" s="15">
        <f>IF(K12=0,0,ROUND((K12/G12),4))</f>
        <v>0</v>
      </c>
      <c r="O12" s="3">
        <f>ROUND((G12/'Assessment Schedule'!$D$9),2)</f>
        <v>0</v>
      </c>
      <c r="P12" s="4"/>
      <c r="Q12" s="3">
        <f>ROUND((I12/'Assessment Schedule'!$D$9),2)</f>
        <v>0</v>
      </c>
    </row>
    <row r="13" spans="1:33" x14ac:dyDescent="0.25">
      <c r="A13" s="10"/>
      <c r="B13" s="10"/>
      <c r="D13" s="10" t="s">
        <v>94</v>
      </c>
      <c r="E13" s="10"/>
      <c r="F13" s="10"/>
      <c r="G13" s="6">
        <f>+'Budget Amendment 2019'!K12</f>
        <v>0</v>
      </c>
      <c r="I13" s="6"/>
      <c r="K13" s="6">
        <f>+I13-G13</f>
        <v>0</v>
      </c>
      <c r="M13" s="49">
        <f>IF(K13=0,0,ROUND((K13/G13),4))</f>
        <v>0</v>
      </c>
      <c r="O13" s="6">
        <f>ROUND((G13/'Assessment Schedule'!$D$9),2)</f>
        <v>0</v>
      </c>
      <c r="P13" s="4"/>
      <c r="Q13" s="6">
        <f>ROUND((I13/'Assessment Schedule'!$D$9),2)</f>
        <v>0</v>
      </c>
    </row>
    <row r="14" spans="1:33" x14ac:dyDescent="0.25">
      <c r="A14" s="10"/>
      <c r="B14" s="10"/>
      <c r="C14" s="11" t="s">
        <v>75</v>
      </c>
      <c r="D14" s="10"/>
      <c r="E14" s="10"/>
      <c r="F14" s="10"/>
      <c r="G14" s="3">
        <f>SUM(G12:G13)</f>
        <v>0</v>
      </c>
      <c r="I14" s="3">
        <f>SUM(I12:I13)</f>
        <v>0</v>
      </c>
      <c r="K14" s="3">
        <f>SUM(K12:K13)</f>
        <v>0</v>
      </c>
      <c r="M14" s="15">
        <f>IF(K14=0,0,ROUND((K14/G14),4))</f>
        <v>0</v>
      </c>
      <c r="O14" s="3">
        <f>SUM(O12:O13)</f>
        <v>0</v>
      </c>
      <c r="P14" s="4"/>
      <c r="Q14" s="3">
        <f>SUM(Q12:Q13)</f>
        <v>0</v>
      </c>
    </row>
    <row r="15" spans="1:33" x14ac:dyDescent="0.25">
      <c r="A15" s="10"/>
      <c r="B15" s="10"/>
      <c r="D15" s="10"/>
      <c r="E15" s="10"/>
      <c r="F15" s="10"/>
      <c r="G15" s="3"/>
      <c r="I15" s="3"/>
      <c r="K15" s="3"/>
      <c r="O15" s="3"/>
      <c r="P15" s="4"/>
      <c r="Q15" s="3"/>
    </row>
    <row r="16" spans="1:33" x14ac:dyDescent="0.25">
      <c r="A16" s="10"/>
      <c r="B16" s="10"/>
      <c r="C16" s="11" t="s">
        <v>76</v>
      </c>
      <c r="D16" s="10"/>
      <c r="E16" s="10"/>
      <c r="F16" s="10"/>
      <c r="G16" s="3"/>
      <c r="I16" s="3"/>
      <c r="K16" s="3"/>
      <c r="O16" s="3"/>
      <c r="P16" s="4"/>
      <c r="Q16" s="3"/>
    </row>
    <row r="17" spans="1:17" x14ac:dyDescent="0.25">
      <c r="A17" s="10"/>
      <c r="B17" s="10"/>
      <c r="D17" s="10" t="s">
        <v>4</v>
      </c>
      <c r="E17" s="10"/>
      <c r="F17" s="10"/>
      <c r="G17" s="3">
        <f>+'Budget Amendment 2019'!K16</f>
        <v>750</v>
      </c>
      <c r="I17" s="3">
        <v>2000</v>
      </c>
      <c r="K17" s="3">
        <f>+I17-G17</f>
        <v>1250</v>
      </c>
      <c r="M17" s="15">
        <f t="shared" ref="M17:M22" si="0">IF(K17=0,0,ROUND((K17/G17),4))</f>
        <v>1.6667000000000001</v>
      </c>
      <c r="O17" s="3">
        <f>ROUND((G17/'Assessment Schedule'!$D$9),2)</f>
        <v>0.12</v>
      </c>
      <c r="P17" s="4"/>
      <c r="Q17" s="3">
        <f>ROUND((I17/'Assessment Schedule'!$D$9),2)</f>
        <v>0.32</v>
      </c>
    </row>
    <row r="18" spans="1:17" x14ac:dyDescent="0.25">
      <c r="A18" s="10"/>
      <c r="B18" s="10"/>
      <c r="D18" s="10" t="s">
        <v>5</v>
      </c>
      <c r="E18" s="10"/>
      <c r="F18" s="10"/>
      <c r="G18" s="3">
        <f>+'Budget Amendment 2019'!K17</f>
        <v>44500</v>
      </c>
      <c r="I18" s="3">
        <v>100000</v>
      </c>
      <c r="K18" s="3">
        <f>+I18-G18</f>
        <v>55500</v>
      </c>
      <c r="M18" s="15">
        <f t="shared" si="0"/>
        <v>1.2472000000000001</v>
      </c>
      <c r="O18" s="3">
        <f>ROUND((G18/'Assessment Schedule'!$D$9),2)</f>
        <v>7.2</v>
      </c>
      <c r="P18" s="4"/>
      <c r="Q18" s="3">
        <f>ROUND((I18/'Assessment Schedule'!$D$9),2)</f>
        <v>16.18</v>
      </c>
    </row>
    <row r="19" spans="1:17" x14ac:dyDescent="0.25">
      <c r="A19" s="10"/>
      <c r="B19" s="10"/>
      <c r="D19" s="10" t="s">
        <v>6</v>
      </c>
      <c r="E19" s="10"/>
      <c r="F19" s="10"/>
      <c r="G19" s="3">
        <f>+'Budget Amendment 2019'!K18</f>
        <v>675</v>
      </c>
      <c r="I19" s="3">
        <v>675</v>
      </c>
      <c r="K19" s="3">
        <f>+I19-G19</f>
        <v>0</v>
      </c>
      <c r="M19" s="15">
        <f t="shared" si="0"/>
        <v>0</v>
      </c>
      <c r="O19" s="3">
        <f>ROUND((G19/'Assessment Schedule'!$D$9),2)</f>
        <v>0.11</v>
      </c>
      <c r="P19" s="4"/>
      <c r="Q19" s="3">
        <f>ROUND((I19/'Assessment Schedule'!$D$9),2)</f>
        <v>0.11</v>
      </c>
    </row>
    <row r="20" spans="1:17" x14ac:dyDescent="0.25">
      <c r="A20" s="10"/>
      <c r="B20" s="10"/>
      <c r="D20" s="10" t="s">
        <v>7</v>
      </c>
      <c r="E20" s="10"/>
      <c r="F20" s="10"/>
      <c r="G20" s="3">
        <f>+'Budget Amendment 2019'!K19</f>
        <v>100</v>
      </c>
      <c r="I20" s="3">
        <v>100</v>
      </c>
      <c r="K20" s="3">
        <f>+I20-G20</f>
        <v>0</v>
      </c>
      <c r="M20" s="15">
        <f t="shared" si="0"/>
        <v>0</v>
      </c>
      <c r="O20" s="3">
        <f>ROUND((G20/'Assessment Schedule'!$D$9),2)</f>
        <v>0.02</v>
      </c>
      <c r="P20" s="4"/>
      <c r="Q20" s="3">
        <f>ROUND((I20/'Assessment Schedule'!$D$9),2)</f>
        <v>0.02</v>
      </c>
    </row>
    <row r="21" spans="1:17" x14ac:dyDescent="0.25">
      <c r="A21" s="10"/>
      <c r="B21" s="10"/>
      <c r="D21" s="10" t="s">
        <v>8</v>
      </c>
      <c r="E21" s="10"/>
      <c r="F21" s="10"/>
      <c r="G21" s="6">
        <f>+'Budget Amendment 2019'!K20</f>
        <v>850</v>
      </c>
      <c r="I21" s="6">
        <v>850</v>
      </c>
      <c r="K21" s="6">
        <f>+I21-G21</f>
        <v>0</v>
      </c>
      <c r="M21" s="49">
        <f t="shared" si="0"/>
        <v>0</v>
      </c>
      <c r="O21" s="6">
        <f>ROUND((G21/'Assessment Schedule'!$D$9),2)</f>
        <v>0.14000000000000001</v>
      </c>
      <c r="P21" s="4"/>
      <c r="Q21" s="6">
        <f>ROUND((I21/'Assessment Schedule'!$D$9),2)</f>
        <v>0.14000000000000001</v>
      </c>
    </row>
    <row r="22" spans="1:17" x14ac:dyDescent="0.25">
      <c r="A22" s="10"/>
      <c r="B22" s="10"/>
      <c r="C22" s="11" t="s">
        <v>77</v>
      </c>
      <c r="D22" s="10"/>
      <c r="E22" s="10"/>
      <c r="F22" s="10"/>
      <c r="G22" s="3">
        <f>SUM(G17:G21)</f>
        <v>46875</v>
      </c>
      <c r="I22" s="3">
        <f>SUM(I17:I21)</f>
        <v>103625</v>
      </c>
      <c r="K22" s="3">
        <f>SUM(K17:K21)</f>
        <v>56750</v>
      </c>
      <c r="M22" s="15">
        <f t="shared" si="0"/>
        <v>1.2107000000000001</v>
      </c>
      <c r="O22" s="3">
        <f>SUM(O17:O21)</f>
        <v>7.59</v>
      </c>
      <c r="P22" s="4"/>
      <c r="Q22" s="3">
        <f>SUM(Q17:Q21)</f>
        <v>16.77</v>
      </c>
    </row>
    <row r="23" spans="1:17" x14ac:dyDescent="0.25">
      <c r="A23" s="10"/>
      <c r="B23" s="10"/>
      <c r="D23" s="10"/>
      <c r="E23" s="10"/>
      <c r="F23" s="10"/>
      <c r="G23" s="3"/>
      <c r="I23" s="3"/>
      <c r="K23" s="3"/>
      <c r="O23" s="3"/>
      <c r="P23" s="4"/>
      <c r="Q23" s="3"/>
    </row>
    <row r="24" spans="1:17" x14ac:dyDescent="0.25">
      <c r="A24" s="10"/>
      <c r="B24" s="10"/>
      <c r="C24" s="11" t="s">
        <v>78</v>
      </c>
      <c r="D24" s="10"/>
      <c r="E24" s="10"/>
      <c r="F24" s="10"/>
      <c r="G24" s="3"/>
      <c r="I24" s="3"/>
      <c r="K24" s="3"/>
      <c r="O24" s="3"/>
      <c r="P24" s="4"/>
      <c r="Q24" s="3"/>
    </row>
    <row r="25" spans="1:17" x14ac:dyDescent="0.25">
      <c r="A25" s="10"/>
      <c r="B25" s="10"/>
      <c r="D25" s="10" t="s">
        <v>249</v>
      </c>
      <c r="E25" s="10"/>
      <c r="F25" s="10"/>
      <c r="G25" s="3">
        <f>+'Budget Amendment 2019'!K24</f>
        <v>2000</v>
      </c>
      <c r="I25" s="3">
        <v>2000</v>
      </c>
      <c r="K25" s="3">
        <f>+I25-G25</f>
        <v>0</v>
      </c>
      <c r="M25" s="15">
        <f t="shared" ref="M25:M32" si="1">IF(K25=0,0,ROUND((K25/G25),4))</f>
        <v>0</v>
      </c>
      <c r="O25" s="3">
        <f>ROUND((G25/'Assessment Schedule'!$D$9),2)</f>
        <v>0.32</v>
      </c>
      <c r="P25" s="4"/>
      <c r="Q25" s="3">
        <f>ROUND((I25/'Assessment Schedule'!$D$9),2)</f>
        <v>0.32</v>
      </c>
    </row>
    <row r="26" spans="1:17" x14ac:dyDescent="0.25">
      <c r="A26" s="10"/>
      <c r="B26" s="10"/>
      <c r="D26" s="10" t="s">
        <v>250</v>
      </c>
      <c r="E26" s="10"/>
      <c r="F26" s="10"/>
      <c r="G26" s="3">
        <f>+'Budget Amendment 2019'!K25</f>
        <v>0</v>
      </c>
      <c r="I26" s="3"/>
      <c r="K26" s="3">
        <f>+I26-G26</f>
        <v>0</v>
      </c>
      <c r="M26" s="15">
        <f t="shared" si="1"/>
        <v>0</v>
      </c>
      <c r="O26" s="3">
        <f>ROUND((G26/'Assessment Schedule'!$D$9),2)</f>
        <v>0</v>
      </c>
      <c r="P26" s="4"/>
      <c r="Q26" s="3">
        <f>ROUND((I26/'Assessment Schedule'!$D$9),2)</f>
        <v>0</v>
      </c>
    </row>
    <row r="27" spans="1:17" x14ac:dyDescent="0.25">
      <c r="A27" s="10"/>
      <c r="B27" s="10"/>
      <c r="D27" s="10" t="s">
        <v>10</v>
      </c>
      <c r="E27" s="10"/>
      <c r="F27" s="10"/>
      <c r="G27" s="3">
        <f>+'Budget Amendment 2019'!K26</f>
        <v>1300</v>
      </c>
      <c r="I27" s="3">
        <v>1300</v>
      </c>
      <c r="K27" s="3">
        <f>+I27-G27</f>
        <v>0</v>
      </c>
      <c r="M27" s="15">
        <f t="shared" si="1"/>
        <v>0</v>
      </c>
      <c r="O27" s="3">
        <f>ROUND((G27/'Assessment Schedule'!$D$9),2)</f>
        <v>0.21</v>
      </c>
      <c r="P27" s="4"/>
      <c r="Q27" s="3">
        <f>ROUND((I27/'Assessment Schedule'!$D$9),2)</f>
        <v>0.21</v>
      </c>
    </row>
    <row r="28" spans="1:17" x14ac:dyDescent="0.25">
      <c r="A28" s="10"/>
      <c r="B28" s="10"/>
      <c r="D28" s="10" t="s">
        <v>11</v>
      </c>
      <c r="E28" s="10"/>
      <c r="F28" s="10"/>
      <c r="G28" s="3">
        <f>+'Budget Amendment 2019'!K27</f>
        <v>100</v>
      </c>
      <c r="I28" s="3">
        <v>100</v>
      </c>
      <c r="K28" s="3">
        <f>+I28-G28</f>
        <v>0</v>
      </c>
      <c r="M28" s="15">
        <f t="shared" si="1"/>
        <v>0</v>
      </c>
      <c r="O28" s="3">
        <f>ROUND((G28/'Assessment Schedule'!$D$9),2)</f>
        <v>0.02</v>
      </c>
      <c r="P28" s="4"/>
      <c r="Q28" s="3">
        <f>ROUND((I28/'Assessment Schedule'!$D$9),2)</f>
        <v>0.02</v>
      </c>
    </row>
    <row r="29" spans="1:17" x14ac:dyDescent="0.25">
      <c r="A29" s="10"/>
      <c r="B29" s="10"/>
      <c r="D29" s="10" t="s">
        <v>12</v>
      </c>
      <c r="E29" s="10"/>
      <c r="F29" s="10"/>
      <c r="G29" s="6">
        <f>+'Budget Amendment 2019'!K28</f>
        <v>200</v>
      </c>
      <c r="I29" s="6">
        <v>200</v>
      </c>
      <c r="K29" s="6">
        <f>+I29-G29</f>
        <v>0</v>
      </c>
      <c r="M29" s="49">
        <f t="shared" si="1"/>
        <v>0</v>
      </c>
      <c r="O29" s="6">
        <f>ROUND((G29/'Assessment Schedule'!$D$9),2)</f>
        <v>0.03</v>
      </c>
      <c r="P29" s="4"/>
      <c r="Q29" s="6">
        <f>ROUND((I29/'Assessment Schedule'!$D$9),2)</f>
        <v>0.03</v>
      </c>
    </row>
    <row r="30" spans="1:17" x14ac:dyDescent="0.25">
      <c r="A30" s="10"/>
      <c r="B30" s="10"/>
      <c r="C30" s="11" t="s">
        <v>79</v>
      </c>
      <c r="D30" s="10"/>
      <c r="E30" s="10"/>
      <c r="F30" s="10"/>
      <c r="G30" s="3">
        <f>SUM(G25:G29)</f>
        <v>3600</v>
      </c>
      <c r="I30" s="3">
        <f>SUM(I25:I29)</f>
        <v>3600</v>
      </c>
      <c r="K30" s="3">
        <f>SUM(K25:K29)</f>
        <v>0</v>
      </c>
      <c r="M30" s="15">
        <f t="shared" si="1"/>
        <v>0</v>
      </c>
      <c r="O30" s="3">
        <f>SUM(O25:O29)</f>
        <v>0.58000000000000007</v>
      </c>
      <c r="P30" s="4"/>
      <c r="Q30" s="3">
        <f>SUM(Q25:Q29)</f>
        <v>0.58000000000000007</v>
      </c>
    </row>
    <row r="31" spans="1:17" x14ac:dyDescent="0.25">
      <c r="A31" s="10"/>
      <c r="B31" s="10"/>
      <c r="D31" s="10"/>
      <c r="E31" s="10"/>
      <c r="F31" s="10"/>
      <c r="G31" s="3"/>
      <c r="I31" s="3"/>
      <c r="K31" s="3"/>
      <c r="O31" s="3"/>
      <c r="P31" s="4"/>
      <c r="Q31" s="3"/>
    </row>
    <row r="32" spans="1:17" x14ac:dyDescent="0.25">
      <c r="A32" s="10"/>
      <c r="B32" s="10" t="s">
        <v>80</v>
      </c>
      <c r="D32" s="10"/>
      <c r="E32" s="10"/>
      <c r="F32" s="10"/>
      <c r="G32" s="3">
        <f>+G9+G14+G22+G30</f>
        <v>872496</v>
      </c>
      <c r="I32" s="3">
        <f>+I9+I14+I22+I30</f>
        <v>1721910</v>
      </c>
      <c r="K32" s="3">
        <f>+K9+K14+K22+K30</f>
        <v>849414</v>
      </c>
      <c r="M32" s="15">
        <f t="shared" si="1"/>
        <v>0.97350000000000003</v>
      </c>
      <c r="O32" s="3">
        <f>ROUND((G32/'Assessment Schedule'!$D$9),2)</f>
        <v>141.16999999999999</v>
      </c>
      <c r="P32" s="4"/>
      <c r="Q32" s="3">
        <f>ROUND((I32/'Assessment Schedule'!$D$9),2)</f>
        <v>278.60000000000002</v>
      </c>
    </row>
    <row r="33" spans="1:19" ht="30" customHeight="1" x14ac:dyDescent="0.25">
      <c r="A33" s="10"/>
      <c r="B33" s="10" t="s">
        <v>81</v>
      </c>
      <c r="D33" s="10"/>
      <c r="E33" s="10"/>
      <c r="F33" s="10"/>
      <c r="G33" s="3"/>
      <c r="I33" s="3"/>
      <c r="K33" s="3"/>
      <c r="O33" s="3"/>
      <c r="P33" s="4"/>
      <c r="Q33" s="3"/>
    </row>
    <row r="34" spans="1:19" x14ac:dyDescent="0.25">
      <c r="A34" s="10"/>
      <c r="B34" s="10"/>
      <c r="D34" s="10" t="s">
        <v>13</v>
      </c>
      <c r="E34" s="10"/>
      <c r="F34" s="10"/>
      <c r="G34" s="3"/>
      <c r="I34" s="3"/>
      <c r="K34" s="3"/>
      <c r="O34" s="3"/>
      <c r="P34" s="4"/>
      <c r="Q34" s="3"/>
    </row>
    <row r="35" spans="1:19" x14ac:dyDescent="0.25">
      <c r="A35" s="10"/>
      <c r="B35" s="10"/>
      <c r="D35" s="10"/>
      <c r="E35" s="10" t="s">
        <v>14</v>
      </c>
      <c r="F35" s="10"/>
      <c r="G35" s="3">
        <f>+'Budget Amendment 2019'!K34</f>
        <v>1575</v>
      </c>
      <c r="I35" s="3">
        <f>SUM('Staffing and Personel'!I18:I20)</f>
        <v>1875</v>
      </c>
      <c r="K35" s="3">
        <f t="shared" ref="K35:K46" si="2">+I35-G35</f>
        <v>300</v>
      </c>
      <c r="M35" s="15">
        <v>1</v>
      </c>
      <c r="O35" s="3">
        <f>ROUND((G35/'Assessment Schedule'!$D$9),2)</f>
        <v>0.25</v>
      </c>
      <c r="P35" s="4"/>
      <c r="Q35" s="3">
        <f>ROUND((I35/'Assessment Schedule'!$D$9),2)</f>
        <v>0.3</v>
      </c>
      <c r="S35" s="96"/>
    </row>
    <row r="36" spans="1:19" x14ac:dyDescent="0.25">
      <c r="A36" s="10"/>
      <c r="B36" s="10"/>
      <c r="D36" s="10"/>
      <c r="E36" s="10" t="s">
        <v>15</v>
      </c>
      <c r="F36" s="10"/>
      <c r="G36" s="3">
        <f>+'Budget Amendment 2019'!K35</f>
        <v>328504.92</v>
      </c>
      <c r="I36" s="3">
        <f>+'Staffing and Personel'!E30-I35</f>
        <v>419886.44</v>
      </c>
      <c r="K36" s="3">
        <f t="shared" si="2"/>
        <v>91381.520000000019</v>
      </c>
      <c r="M36" s="15">
        <f t="shared" ref="M36:M47" si="3">IF(K36=0,0,ROUND((K36/G36),4))</f>
        <v>0.2782</v>
      </c>
      <c r="O36" s="3">
        <f>ROUND((G36/'Assessment Schedule'!$D$9),2)</f>
        <v>53.15</v>
      </c>
      <c r="P36" s="4"/>
      <c r="Q36" s="3">
        <f>ROUND((I36/'Assessment Schedule'!$D$9),2)</f>
        <v>67.94</v>
      </c>
      <c r="S36" s="96"/>
    </row>
    <row r="37" spans="1:19" x14ac:dyDescent="0.25">
      <c r="A37" s="10"/>
      <c r="B37" s="10"/>
      <c r="D37" s="10"/>
      <c r="E37" s="10" t="s">
        <v>16</v>
      </c>
      <c r="F37" s="10"/>
      <c r="G37" s="3">
        <f>+'Budget Amendment 2019'!K36</f>
        <v>28101.599999999999</v>
      </c>
      <c r="I37" s="3">
        <f>+'Staffing and Personel'!E31</f>
        <v>37960.97</v>
      </c>
      <c r="K37" s="3">
        <f t="shared" si="2"/>
        <v>9859.3700000000026</v>
      </c>
      <c r="M37" s="15">
        <f t="shared" si="3"/>
        <v>0.3508</v>
      </c>
      <c r="O37" s="3">
        <f>ROUND((G37/'Assessment Schedule'!$D$9),2)</f>
        <v>4.55</v>
      </c>
      <c r="P37" s="4"/>
      <c r="Q37" s="3">
        <f>ROUND((I37/'Assessment Schedule'!$D$9),2)</f>
        <v>6.14</v>
      </c>
    </row>
    <row r="38" spans="1:19" x14ac:dyDescent="0.25">
      <c r="A38" s="10"/>
      <c r="B38" s="10"/>
      <c r="D38" s="10"/>
      <c r="E38" s="10" t="s">
        <v>17</v>
      </c>
      <c r="F38" s="10"/>
      <c r="G38" s="3">
        <f>+'Budget Amendment 2019'!K37</f>
        <v>7405.15</v>
      </c>
      <c r="I38" s="3">
        <f>+'Staffing and Personel'!E32</f>
        <v>9063.85</v>
      </c>
      <c r="K38" s="3">
        <f t="shared" si="2"/>
        <v>1658.7000000000007</v>
      </c>
      <c r="M38" s="15">
        <f t="shared" si="3"/>
        <v>0.224</v>
      </c>
      <c r="O38" s="3">
        <f>ROUND((G38/'Assessment Schedule'!$D$9),2)</f>
        <v>1.2</v>
      </c>
      <c r="P38" s="4"/>
      <c r="Q38" s="3">
        <f>ROUND((I38/'Assessment Schedule'!$D$9),2)</f>
        <v>1.47</v>
      </c>
    </row>
    <row r="39" spans="1:19" x14ac:dyDescent="0.25">
      <c r="A39" s="10"/>
      <c r="B39" s="10"/>
      <c r="D39" s="10"/>
      <c r="E39" s="10" t="s">
        <v>18</v>
      </c>
      <c r="F39" s="10"/>
      <c r="G39" s="3">
        <f>+'Budget Amendment 2019'!K38</f>
        <v>14164.73</v>
      </c>
      <c r="I39" s="3">
        <f>+'Staffing and Personel'!E33</f>
        <v>18517.54</v>
      </c>
      <c r="K39" s="3">
        <f t="shared" si="2"/>
        <v>4352.8100000000013</v>
      </c>
      <c r="M39" s="15">
        <f t="shared" si="3"/>
        <v>0.30730000000000002</v>
      </c>
      <c r="O39" s="3">
        <f>ROUND((G39/'Assessment Schedule'!$D$9),2)</f>
        <v>2.29</v>
      </c>
      <c r="P39" s="4"/>
      <c r="Q39" s="3">
        <f>ROUND((I39/'Assessment Schedule'!$D$9),2)</f>
        <v>3</v>
      </c>
    </row>
    <row r="40" spans="1:19" x14ac:dyDescent="0.25">
      <c r="A40" s="10"/>
      <c r="B40" s="10"/>
      <c r="D40" s="10"/>
      <c r="E40" s="10" t="s">
        <v>19</v>
      </c>
      <c r="F40" s="10"/>
      <c r="G40" s="3">
        <f>+'Budget Amendment 2019'!K39</f>
        <v>0</v>
      </c>
      <c r="I40" s="3">
        <f>+'Staffing and Personel'!E34</f>
        <v>0</v>
      </c>
      <c r="K40" s="3">
        <f t="shared" si="2"/>
        <v>0</v>
      </c>
      <c r="M40" s="15">
        <v>1</v>
      </c>
      <c r="O40" s="3">
        <f>ROUND((G40/'Assessment Schedule'!$D$9),2)</f>
        <v>0</v>
      </c>
      <c r="P40" s="4"/>
      <c r="Q40" s="3">
        <f>ROUND((I40/'Assessment Schedule'!$D$9),2)</f>
        <v>0</v>
      </c>
    </row>
    <row r="41" spans="1:19" x14ac:dyDescent="0.25">
      <c r="A41" s="10"/>
      <c r="B41" s="10"/>
      <c r="D41" s="10"/>
      <c r="E41" s="10" t="s">
        <v>20</v>
      </c>
      <c r="F41" s="10"/>
      <c r="G41" s="3">
        <f>+'Budget Amendment 2019'!K40</f>
        <v>23544.58</v>
      </c>
      <c r="I41" s="3">
        <f>+'Staffing and Personel'!J23</f>
        <v>30212.84</v>
      </c>
      <c r="K41" s="3">
        <f t="shared" si="2"/>
        <v>6668.2599999999984</v>
      </c>
      <c r="M41" s="15">
        <f t="shared" si="3"/>
        <v>0.28320000000000001</v>
      </c>
      <c r="O41" s="3">
        <f>ROUND((G41/'Assessment Schedule'!$D$9),2)</f>
        <v>3.81</v>
      </c>
      <c r="P41" s="4"/>
      <c r="Q41" s="3">
        <f>ROUND((I41/'Assessment Schedule'!$D$9),2)</f>
        <v>4.8899999999999997</v>
      </c>
    </row>
    <row r="42" spans="1:19" x14ac:dyDescent="0.25">
      <c r="A42" s="10"/>
      <c r="B42" s="10"/>
      <c r="D42" s="10"/>
      <c r="E42" s="10" t="s">
        <v>21</v>
      </c>
      <c r="F42" s="10"/>
      <c r="G42" s="3">
        <f>+'Budget Amendment 2019'!K41</f>
        <v>5506.4099999999989</v>
      </c>
      <c r="I42" s="3">
        <f>+'Staffing and Personel'!K23</f>
        <v>7065.9000000000005</v>
      </c>
      <c r="K42" s="3">
        <f t="shared" si="2"/>
        <v>1559.4900000000016</v>
      </c>
      <c r="M42" s="15">
        <f t="shared" si="3"/>
        <v>0.28320000000000001</v>
      </c>
      <c r="O42" s="3">
        <f>ROUND((G42/'Assessment Schedule'!$D$9),2)</f>
        <v>0.89</v>
      </c>
      <c r="P42" s="4"/>
      <c r="Q42" s="3">
        <f>ROUND((I42/'Assessment Schedule'!$D$9),2)</f>
        <v>1.1399999999999999</v>
      </c>
    </row>
    <row r="43" spans="1:19" x14ac:dyDescent="0.25">
      <c r="A43" s="10"/>
      <c r="B43" s="10"/>
      <c r="D43" s="10"/>
      <c r="E43" s="10" t="s">
        <v>22</v>
      </c>
      <c r="F43" s="10"/>
      <c r="G43" s="3">
        <f>+'Budget Amendment 2019'!K42</f>
        <v>18000</v>
      </c>
      <c r="I43" s="3">
        <f>+'Staffing and Personel'!M41</f>
        <v>40000</v>
      </c>
      <c r="K43" s="3">
        <f t="shared" si="2"/>
        <v>22000</v>
      </c>
      <c r="M43" s="15">
        <f t="shared" si="3"/>
        <v>1.2222</v>
      </c>
      <c r="O43" s="3">
        <f>ROUND((G43/'Assessment Schedule'!$D$9),2)</f>
        <v>2.91</v>
      </c>
      <c r="P43" s="4"/>
      <c r="Q43" s="3">
        <f>ROUND((I43/'Assessment Schedule'!$D$9),2)</f>
        <v>6.47</v>
      </c>
    </row>
    <row r="44" spans="1:19" x14ac:dyDescent="0.25">
      <c r="A44" s="10"/>
      <c r="B44" s="10"/>
      <c r="D44" s="10"/>
      <c r="E44" s="10" t="s">
        <v>23</v>
      </c>
      <c r="F44" s="10"/>
      <c r="G44" s="3"/>
      <c r="I44" s="3"/>
      <c r="K44" s="3">
        <f t="shared" si="2"/>
        <v>0</v>
      </c>
      <c r="M44" s="15">
        <f t="shared" si="3"/>
        <v>0</v>
      </c>
      <c r="O44" s="3">
        <f>ROUND((G44/'Assessment Schedule'!$D$9),2)</f>
        <v>0</v>
      </c>
      <c r="P44" s="4"/>
      <c r="Q44" s="3">
        <f>ROUND((I44/'Assessment Schedule'!$D$9),2)</f>
        <v>0</v>
      </c>
    </row>
    <row r="45" spans="1:19" x14ac:dyDescent="0.25">
      <c r="A45" s="10"/>
      <c r="B45" s="10"/>
      <c r="D45" s="10"/>
      <c r="E45" s="10"/>
      <c r="F45" s="10" t="s">
        <v>24</v>
      </c>
      <c r="G45" s="3">
        <f>+'Budget Amendment 2019'!K44</f>
        <v>0</v>
      </c>
      <c r="I45" s="3"/>
      <c r="K45" s="3">
        <f t="shared" si="2"/>
        <v>0</v>
      </c>
      <c r="M45" s="15">
        <f t="shared" si="3"/>
        <v>0</v>
      </c>
      <c r="O45" s="3">
        <f>ROUND((G45/'Assessment Schedule'!$D$9),2)</f>
        <v>0</v>
      </c>
      <c r="P45" s="4"/>
      <c r="Q45" s="3">
        <f>ROUND((I45/'Assessment Schedule'!$D$9),2)</f>
        <v>0</v>
      </c>
    </row>
    <row r="46" spans="1:19" x14ac:dyDescent="0.25">
      <c r="A46" s="10"/>
      <c r="B46" s="10"/>
      <c r="D46" s="10"/>
      <c r="E46" s="10"/>
      <c r="F46" s="10" t="s">
        <v>25</v>
      </c>
      <c r="G46" s="6">
        <f>+'Budget Amendment 2019'!K45</f>
        <v>95474.4</v>
      </c>
      <c r="I46" s="6">
        <f>+'Staffing and Personel'!M23</f>
        <v>92184</v>
      </c>
      <c r="K46" s="6">
        <f t="shared" si="2"/>
        <v>-3290.3999999999942</v>
      </c>
      <c r="M46" s="49">
        <f t="shared" si="3"/>
        <v>-3.4500000000000003E-2</v>
      </c>
      <c r="O46" s="6">
        <f>ROUND((G46/'Assessment Schedule'!$D$9),2)</f>
        <v>15.45</v>
      </c>
      <c r="P46" s="4"/>
      <c r="Q46" s="6">
        <f>ROUND((I46/'Assessment Schedule'!$D$9),2)</f>
        <v>14.92</v>
      </c>
    </row>
    <row r="47" spans="1:19" x14ac:dyDescent="0.25">
      <c r="A47" s="10"/>
      <c r="B47" s="10"/>
      <c r="D47" s="10"/>
      <c r="E47" s="10" t="s">
        <v>26</v>
      </c>
      <c r="F47" s="10"/>
      <c r="G47" s="3">
        <f>SUM(G45:G46)</f>
        <v>95474.4</v>
      </c>
      <c r="I47" s="3">
        <f>SUM(I45:I46)</f>
        <v>92184</v>
      </c>
      <c r="K47" s="3">
        <f>SUM(K45:K46)</f>
        <v>-3290.3999999999942</v>
      </c>
      <c r="M47" s="15">
        <f t="shared" si="3"/>
        <v>-3.4500000000000003E-2</v>
      </c>
      <c r="O47" s="3">
        <f>SUM(O45:O46)</f>
        <v>15.45</v>
      </c>
      <c r="P47" s="4"/>
      <c r="Q47" s="3">
        <f>SUM(Q45:Q46)</f>
        <v>14.92</v>
      </c>
    </row>
    <row r="48" spans="1:19" ht="30" customHeight="1" x14ac:dyDescent="0.25">
      <c r="A48" s="10"/>
      <c r="B48" s="10"/>
      <c r="D48" s="10"/>
      <c r="E48" s="10" t="s">
        <v>27</v>
      </c>
      <c r="F48" s="10"/>
      <c r="G48" s="3">
        <f>+'Budget Amendment 2019'!K47</f>
        <v>3873.48</v>
      </c>
      <c r="I48" s="3">
        <f>+'Staffing and Personel'!L23</f>
        <v>4970.5199999999995</v>
      </c>
      <c r="K48" s="3">
        <f>+I48-G48</f>
        <v>1097.0399999999995</v>
      </c>
      <c r="M48" s="15">
        <f>IF(K48=0,0,ROUND((K48/G48),4))</f>
        <v>0.28320000000000001</v>
      </c>
      <c r="O48" s="3">
        <f>ROUND((G48/'Assessment Schedule'!$D$9),2)</f>
        <v>0.63</v>
      </c>
      <c r="P48" s="4"/>
      <c r="Q48" s="3">
        <f>ROUND((I48/'Assessment Schedule'!$D$9),2)</f>
        <v>0.8</v>
      </c>
    </row>
    <row r="49" spans="1:17" x14ac:dyDescent="0.25">
      <c r="A49" s="10"/>
      <c r="B49" s="10"/>
      <c r="D49" s="10"/>
      <c r="E49" s="10" t="s">
        <v>28</v>
      </c>
      <c r="F49" s="10"/>
      <c r="G49" s="3">
        <f>+'Budget Amendment 2019'!K48</f>
        <v>22218</v>
      </c>
      <c r="I49" s="3">
        <f>+'Staffing and Personel'!E42</f>
        <v>26000</v>
      </c>
      <c r="K49" s="3">
        <f>+I49-G49</f>
        <v>3782</v>
      </c>
      <c r="M49" s="15">
        <f>IF(K49=0,0,ROUND((K49/G49),4))</f>
        <v>0.17019999999999999</v>
      </c>
      <c r="O49" s="3">
        <f>ROUND((G49/'Assessment Schedule'!$D$9),2)</f>
        <v>3.59</v>
      </c>
      <c r="P49" s="4"/>
      <c r="Q49" s="3">
        <f>ROUND((I49/'Assessment Schedule'!$D$9),2)</f>
        <v>4.21</v>
      </c>
    </row>
    <row r="50" spans="1:17" x14ac:dyDescent="0.25">
      <c r="A50" s="10"/>
      <c r="B50" s="10"/>
      <c r="D50" s="10"/>
      <c r="E50" s="10" t="s">
        <v>29</v>
      </c>
      <c r="F50" s="10"/>
      <c r="G50" s="6">
        <f>+'Budget Amendment 2019'!K49</f>
        <v>0</v>
      </c>
      <c r="I50" s="6">
        <v>0</v>
      </c>
      <c r="K50" s="6">
        <f>+I50-G50</f>
        <v>0</v>
      </c>
      <c r="M50" s="49">
        <f>IF(K50=0,0,ROUND((K50/G50),4))</f>
        <v>0</v>
      </c>
      <c r="O50" s="6">
        <f>ROUND((G50/'Assessment Schedule'!$D$9),2)</f>
        <v>0</v>
      </c>
      <c r="P50" s="4"/>
      <c r="Q50" s="6">
        <f>ROUND((I50/'Assessment Schedule'!$D$9),2)</f>
        <v>0</v>
      </c>
    </row>
    <row r="51" spans="1:17" x14ac:dyDescent="0.25">
      <c r="A51" s="10"/>
      <c r="B51" s="10"/>
      <c r="D51" s="10" t="s">
        <v>30</v>
      </c>
      <c r="E51" s="10"/>
      <c r="F51" s="10"/>
      <c r="G51" s="3">
        <f>SUM(G47:G50)+SUM(G35:G43)</f>
        <v>548368.2699999999</v>
      </c>
      <c r="I51" s="3">
        <f>SUM(I47:I50)+SUM(I35:I43)</f>
        <v>687737.06</v>
      </c>
      <c r="K51" s="3">
        <f>SUM(K47:K50)+SUM(K35:K43)</f>
        <v>139368.79000000004</v>
      </c>
      <c r="M51" s="15">
        <f>IF(K51=0,0,ROUND((K51/G51),4))</f>
        <v>0.25419999999999998</v>
      </c>
      <c r="O51" s="3">
        <f>SUM(O47:O50)+SUM(O35:O43)</f>
        <v>88.72</v>
      </c>
      <c r="P51" s="4"/>
      <c r="Q51" s="3">
        <f>SUM(Q47:Q50)+SUM(Q35:Q43)</f>
        <v>111.28</v>
      </c>
    </row>
    <row r="52" spans="1:17" ht="30" customHeight="1" x14ac:dyDescent="0.25">
      <c r="A52" s="10"/>
      <c r="B52" s="10"/>
      <c r="D52" s="10" t="s">
        <v>31</v>
      </c>
      <c r="E52" s="10"/>
      <c r="F52" s="10"/>
      <c r="G52" s="3"/>
      <c r="I52" s="3"/>
      <c r="K52" s="3"/>
      <c r="O52" s="3"/>
      <c r="P52" s="4"/>
      <c r="Q52" s="3"/>
    </row>
    <row r="53" spans="1:17" x14ac:dyDescent="0.25">
      <c r="A53" s="10"/>
      <c r="B53" s="10"/>
      <c r="D53" s="10"/>
      <c r="E53" s="10" t="s">
        <v>32</v>
      </c>
      <c r="F53" s="10"/>
      <c r="G53" s="3">
        <f>+'Budget Amendment 2019'!K52</f>
        <v>5000</v>
      </c>
      <c r="I53" s="3">
        <f>+'Operating Expenses'!AB8</f>
        <v>3000</v>
      </c>
      <c r="K53" s="3">
        <f t="shared" ref="K53:K72" si="4">+I53-G53</f>
        <v>-2000</v>
      </c>
      <c r="M53" s="15">
        <f t="shared" ref="M53:M73" si="5">IF(K53=0,0,ROUND((K53/G53),4))</f>
        <v>-0.4</v>
      </c>
      <c r="O53" s="3">
        <f>ROUND((G53/'Assessment Schedule'!$D$9),2)</f>
        <v>0.81</v>
      </c>
      <c r="P53" s="4"/>
      <c r="Q53" s="3">
        <f>ROUND((I53/'Assessment Schedule'!$D$9),2)</f>
        <v>0.49</v>
      </c>
    </row>
    <row r="54" spans="1:17" x14ac:dyDescent="0.25">
      <c r="A54" s="10"/>
      <c r="B54" s="10"/>
      <c r="D54" s="10"/>
      <c r="E54" s="10" t="s">
        <v>33</v>
      </c>
      <c r="F54" s="10"/>
      <c r="G54" s="3">
        <f>+'Budget Amendment 2019'!K53</f>
        <v>30000</v>
      </c>
      <c r="I54" s="3">
        <f>+'Operating Expenses'!AB9</f>
        <v>40000</v>
      </c>
      <c r="K54" s="3">
        <f t="shared" si="4"/>
        <v>10000</v>
      </c>
      <c r="M54" s="15">
        <f t="shared" si="5"/>
        <v>0.33329999999999999</v>
      </c>
      <c r="O54" s="3">
        <f>ROUND((G54/'Assessment Schedule'!$D$9),2)</f>
        <v>4.8499999999999996</v>
      </c>
      <c r="P54" s="4"/>
      <c r="Q54" s="3">
        <f>ROUND((I54/'Assessment Schedule'!$D$9),2)</f>
        <v>6.47</v>
      </c>
    </row>
    <row r="55" spans="1:17" x14ac:dyDescent="0.25">
      <c r="A55" s="10"/>
      <c r="B55" s="10"/>
      <c r="D55" s="10"/>
      <c r="E55" s="10" t="s">
        <v>34</v>
      </c>
      <c r="F55" s="10"/>
      <c r="G55" s="3">
        <f>+'Budget Amendment 2019'!K54</f>
        <v>0</v>
      </c>
      <c r="I55" s="3">
        <f>+'Operating Expenses'!AB10</f>
        <v>0</v>
      </c>
      <c r="K55" s="3">
        <f t="shared" si="4"/>
        <v>0</v>
      </c>
      <c r="M55" s="15">
        <v>1</v>
      </c>
      <c r="O55" s="3">
        <f>ROUND((G55/'Assessment Schedule'!$D$9),2)</f>
        <v>0</v>
      </c>
      <c r="P55" s="4"/>
      <c r="Q55" s="3">
        <f>ROUND((I55/'Assessment Schedule'!$D$9),2)</f>
        <v>0</v>
      </c>
    </row>
    <row r="56" spans="1:17" x14ac:dyDescent="0.25">
      <c r="A56" s="10"/>
      <c r="B56" s="10"/>
      <c r="D56" s="10"/>
      <c r="E56" s="10" t="s">
        <v>147</v>
      </c>
      <c r="F56" s="10"/>
      <c r="G56" s="3">
        <f>+'Budget Amendment 2019'!K55</f>
        <v>0</v>
      </c>
      <c r="I56" s="3">
        <f>+'Operating Expenses'!AB11</f>
        <v>0</v>
      </c>
      <c r="K56" s="3">
        <f>+I56-G56</f>
        <v>0</v>
      </c>
      <c r="M56" s="15">
        <f t="shared" si="5"/>
        <v>0</v>
      </c>
      <c r="O56" s="3">
        <f>ROUND((G56/'Assessment Schedule'!$D$9),2)</f>
        <v>0</v>
      </c>
      <c r="P56" s="4"/>
      <c r="Q56" s="3">
        <f>ROUND((I56/'Assessment Schedule'!$D$9),2)</f>
        <v>0</v>
      </c>
    </row>
    <row r="57" spans="1:17" x14ac:dyDescent="0.25">
      <c r="A57" s="10"/>
      <c r="B57" s="10"/>
      <c r="D57" s="10"/>
      <c r="E57" s="10" t="s">
        <v>35</v>
      </c>
      <c r="F57" s="10"/>
      <c r="G57" s="3">
        <f>+'Budget Amendment 2019'!K56</f>
        <v>28000</v>
      </c>
      <c r="I57" s="3">
        <f>+'Operating Expenses'!AB12</f>
        <v>28000</v>
      </c>
      <c r="K57" s="3">
        <f t="shared" si="4"/>
        <v>0</v>
      </c>
      <c r="M57" s="15">
        <f t="shared" si="5"/>
        <v>0</v>
      </c>
      <c r="O57" s="3">
        <f>ROUND((G57/'Assessment Schedule'!$D$9),2)</f>
        <v>4.53</v>
      </c>
      <c r="P57" s="4"/>
      <c r="Q57" s="3">
        <f>ROUND((I57/'Assessment Schedule'!$D$9),2)</f>
        <v>4.53</v>
      </c>
    </row>
    <row r="58" spans="1:17" x14ac:dyDescent="0.25">
      <c r="A58" s="10"/>
      <c r="B58" s="10"/>
      <c r="D58" s="10"/>
      <c r="E58" s="10" t="s">
        <v>36</v>
      </c>
      <c r="F58" s="10"/>
      <c r="G58" s="3">
        <f>+'Budget Amendment 2019'!K57</f>
        <v>700</v>
      </c>
      <c r="I58" s="3">
        <f>+'Operating Expenses'!AB13</f>
        <v>500</v>
      </c>
      <c r="K58" s="3">
        <f t="shared" si="4"/>
        <v>-200</v>
      </c>
      <c r="M58" s="15">
        <f t="shared" si="5"/>
        <v>-0.28570000000000001</v>
      </c>
      <c r="O58" s="3">
        <f>ROUND((G58/'Assessment Schedule'!$D$9),2)</f>
        <v>0.11</v>
      </c>
      <c r="P58" s="4"/>
      <c r="Q58" s="3">
        <f>ROUND((I58/'Assessment Schedule'!$D$9),2)</f>
        <v>0.08</v>
      </c>
    </row>
    <row r="59" spans="1:17" x14ac:dyDescent="0.25">
      <c r="A59" s="10"/>
      <c r="B59" s="10"/>
      <c r="D59" s="10"/>
      <c r="E59" s="10" t="s">
        <v>37</v>
      </c>
      <c r="F59" s="10"/>
      <c r="G59" s="3">
        <f>+'Budget Amendment 2019'!K58</f>
        <v>17000</v>
      </c>
      <c r="I59" s="3">
        <f>+'Operating Expenses'!AB14</f>
        <v>10000</v>
      </c>
      <c r="K59" s="3">
        <f t="shared" si="4"/>
        <v>-7000</v>
      </c>
      <c r="M59" s="15">
        <f t="shared" si="5"/>
        <v>-0.4118</v>
      </c>
      <c r="O59" s="3">
        <f>ROUND((G59/'Assessment Schedule'!$D$9),2)</f>
        <v>2.75</v>
      </c>
      <c r="P59" s="4"/>
      <c r="Q59" s="3">
        <f>ROUND((I59/'Assessment Schedule'!$D$9),2)</f>
        <v>1.62</v>
      </c>
    </row>
    <row r="60" spans="1:17" x14ac:dyDescent="0.25">
      <c r="A60" s="10"/>
      <c r="B60" s="10"/>
      <c r="D60" s="10"/>
      <c r="E60" s="10" t="s">
        <v>38</v>
      </c>
      <c r="F60" s="10"/>
      <c r="G60" s="3">
        <f>+'Budget Amendment 2019'!K59</f>
        <v>10000</v>
      </c>
      <c r="I60" s="3">
        <f>+'Operating Expenses'!AB15</f>
        <v>11000</v>
      </c>
      <c r="K60" s="3">
        <f t="shared" si="4"/>
        <v>1000</v>
      </c>
      <c r="M60" s="15">
        <f t="shared" si="5"/>
        <v>0.1</v>
      </c>
      <c r="O60" s="3">
        <f>ROUND((G60/'Assessment Schedule'!$D$9),2)</f>
        <v>1.62</v>
      </c>
      <c r="P60" s="4"/>
      <c r="Q60" s="3">
        <f>ROUND((I60/'Assessment Schedule'!$D$9),2)</f>
        <v>1.78</v>
      </c>
    </row>
    <row r="61" spans="1:17" x14ac:dyDescent="0.25">
      <c r="A61" s="10"/>
      <c r="B61" s="10"/>
      <c r="D61" s="10"/>
      <c r="E61" s="10" t="s">
        <v>39</v>
      </c>
      <c r="F61" s="10"/>
      <c r="G61" s="3">
        <f>+'Budget Amendment 2019'!K60</f>
        <v>1200</v>
      </c>
      <c r="I61" s="3">
        <f>+'Operating Expenses'!AB16</f>
        <v>1500</v>
      </c>
      <c r="K61" s="3">
        <f t="shared" si="4"/>
        <v>300</v>
      </c>
      <c r="M61" s="15">
        <f t="shared" si="5"/>
        <v>0.25</v>
      </c>
      <c r="O61" s="3">
        <f>ROUND((G61/'Assessment Schedule'!$D$9),2)</f>
        <v>0.19</v>
      </c>
      <c r="P61" s="4"/>
      <c r="Q61" s="3">
        <f>ROUND((I61/'Assessment Schedule'!$D$9),2)</f>
        <v>0.24</v>
      </c>
    </row>
    <row r="62" spans="1:17" x14ac:dyDescent="0.25">
      <c r="A62" s="10"/>
      <c r="B62" s="10"/>
      <c r="D62" s="10"/>
      <c r="E62" s="10" t="s">
        <v>40</v>
      </c>
      <c r="F62" s="10"/>
      <c r="G62" s="3">
        <f>+'Budget Amendment 2019'!K61</f>
        <v>200</v>
      </c>
      <c r="I62" s="3">
        <f>+'Operating Expenses'!AB17</f>
        <v>500</v>
      </c>
      <c r="K62" s="3">
        <f t="shared" si="4"/>
        <v>300</v>
      </c>
      <c r="M62" s="15">
        <f t="shared" si="5"/>
        <v>1.5</v>
      </c>
      <c r="O62" s="3">
        <f>ROUND((G62/'Assessment Schedule'!$D$9),2)</f>
        <v>0.03</v>
      </c>
      <c r="P62" s="4"/>
      <c r="Q62" s="3">
        <f>ROUND((I62/'Assessment Schedule'!$D$9),2)</f>
        <v>0.08</v>
      </c>
    </row>
    <row r="63" spans="1:17" x14ac:dyDescent="0.25">
      <c r="A63" s="10"/>
      <c r="B63" s="10"/>
      <c r="D63" s="10"/>
      <c r="E63" s="10" t="s">
        <v>41</v>
      </c>
      <c r="F63" s="10"/>
      <c r="G63" s="3">
        <f>+'Budget Amendment 2019'!K62</f>
        <v>4000</v>
      </c>
      <c r="I63" s="3">
        <f>+'Operating Expenses'!AB18</f>
        <v>3500</v>
      </c>
      <c r="K63" s="3">
        <f t="shared" si="4"/>
        <v>-500</v>
      </c>
      <c r="M63" s="15">
        <f t="shared" si="5"/>
        <v>-0.125</v>
      </c>
      <c r="O63" s="3">
        <f>ROUND((G63/'Assessment Schedule'!$D$9),2)</f>
        <v>0.65</v>
      </c>
      <c r="P63" s="4"/>
      <c r="Q63" s="3">
        <f>ROUND((I63/'Assessment Schedule'!$D$9),2)</f>
        <v>0.56999999999999995</v>
      </c>
    </row>
    <row r="64" spans="1:17" x14ac:dyDescent="0.25">
      <c r="A64" s="10"/>
      <c r="B64" s="10"/>
      <c r="D64" s="10"/>
      <c r="E64" s="10" t="s">
        <v>42</v>
      </c>
      <c r="F64" s="10"/>
      <c r="G64" s="3">
        <f>+'Budget Amendment 2019'!K63</f>
        <v>250</v>
      </c>
      <c r="I64" s="3">
        <f>+'Operating Expenses'!AB19</f>
        <v>3000</v>
      </c>
      <c r="K64" s="3">
        <f t="shared" si="4"/>
        <v>2750</v>
      </c>
      <c r="M64" s="15">
        <f t="shared" si="5"/>
        <v>11</v>
      </c>
      <c r="O64" s="3">
        <f>ROUND((G64/'Assessment Schedule'!$D$9),2)</f>
        <v>0.04</v>
      </c>
      <c r="P64" s="4"/>
      <c r="Q64" s="3">
        <f>ROUND((I64/'Assessment Schedule'!$D$9),2)</f>
        <v>0.49</v>
      </c>
    </row>
    <row r="65" spans="1:17" x14ac:dyDescent="0.25">
      <c r="A65" s="10"/>
      <c r="B65" s="10"/>
      <c r="D65" s="10"/>
      <c r="E65" s="10" t="s">
        <v>43</v>
      </c>
      <c r="F65" s="10"/>
      <c r="G65" s="3">
        <f>+'Budget Amendment 2019'!K64</f>
        <v>50000</v>
      </c>
      <c r="I65" s="3">
        <f>+'Operating Expenses'!AB20</f>
        <v>85000</v>
      </c>
      <c r="K65" s="3">
        <f t="shared" si="4"/>
        <v>35000</v>
      </c>
      <c r="M65" s="15">
        <f t="shared" si="5"/>
        <v>0.7</v>
      </c>
      <c r="O65" s="3">
        <f>ROUND((G65/'Assessment Schedule'!$D$9),2)</f>
        <v>8.09</v>
      </c>
      <c r="P65" s="4"/>
      <c r="Q65" s="3">
        <f>ROUND((I65/'Assessment Schedule'!$D$9),2)</f>
        <v>13.75</v>
      </c>
    </row>
    <row r="66" spans="1:17" x14ac:dyDescent="0.25">
      <c r="A66" s="10"/>
      <c r="B66" s="10"/>
      <c r="D66" s="10"/>
      <c r="E66" s="10" t="s">
        <v>44</v>
      </c>
      <c r="F66" s="10"/>
      <c r="G66" s="3">
        <f>+'Budget Amendment 2019'!K65</f>
        <v>5000</v>
      </c>
      <c r="I66" s="3">
        <f>+'Operating Expenses'!AB21</f>
        <v>4500</v>
      </c>
      <c r="K66" s="3">
        <f t="shared" si="4"/>
        <v>-500</v>
      </c>
      <c r="M66" s="15">
        <f t="shared" si="5"/>
        <v>-0.1</v>
      </c>
      <c r="O66" s="3">
        <f>ROUND((G66/'Assessment Schedule'!$D$9),2)</f>
        <v>0.81</v>
      </c>
      <c r="P66" s="4"/>
      <c r="Q66" s="3">
        <f>ROUND((I66/'Assessment Schedule'!$D$9),2)</f>
        <v>0.73</v>
      </c>
    </row>
    <row r="67" spans="1:17" x14ac:dyDescent="0.25">
      <c r="A67" s="10"/>
      <c r="B67" s="10"/>
      <c r="D67" s="10"/>
      <c r="E67" s="10" t="s">
        <v>45</v>
      </c>
      <c r="F67" s="10"/>
      <c r="G67" s="3">
        <f>+'Budget Amendment 2019'!K66</f>
        <v>35000</v>
      </c>
      <c r="I67" s="3">
        <f>+'Operating Expenses'!AB22</f>
        <v>65000</v>
      </c>
      <c r="K67" s="3">
        <f t="shared" si="4"/>
        <v>30000</v>
      </c>
      <c r="M67" s="15">
        <f t="shared" si="5"/>
        <v>0.85709999999999997</v>
      </c>
      <c r="O67" s="3">
        <f>ROUND((G67/'Assessment Schedule'!$D$9),2)</f>
        <v>5.66</v>
      </c>
      <c r="P67" s="4"/>
      <c r="Q67" s="3">
        <f>ROUND((I67/'Assessment Schedule'!$D$9),2)</f>
        <v>10.52</v>
      </c>
    </row>
    <row r="68" spans="1:17" x14ac:dyDescent="0.25">
      <c r="A68" s="10"/>
      <c r="B68" s="10"/>
      <c r="D68" s="10"/>
      <c r="E68" s="10" t="s">
        <v>46</v>
      </c>
      <c r="F68" s="10"/>
      <c r="G68" s="3">
        <f>+'Budget Amendment 2019'!K67</f>
        <v>15800</v>
      </c>
      <c r="I68" s="3">
        <f>+'Operating Expenses'!AB23</f>
        <v>15000</v>
      </c>
      <c r="K68" s="3">
        <f t="shared" si="4"/>
        <v>-800</v>
      </c>
      <c r="M68" s="15">
        <f t="shared" si="5"/>
        <v>-5.0599999999999999E-2</v>
      </c>
      <c r="O68" s="3">
        <f>ROUND((G68/'Assessment Schedule'!$D$9),2)</f>
        <v>2.56</v>
      </c>
      <c r="P68" s="4"/>
      <c r="Q68" s="3">
        <f>ROUND((I68/'Assessment Schedule'!$D$9),2)</f>
        <v>2.4300000000000002</v>
      </c>
    </row>
    <row r="69" spans="1:17" x14ac:dyDescent="0.25">
      <c r="A69" s="10"/>
      <c r="B69" s="10"/>
      <c r="D69" s="10"/>
      <c r="E69" s="10" t="s">
        <v>47</v>
      </c>
      <c r="F69" s="10"/>
      <c r="G69" s="3">
        <f>+'Budget Amendment 2019'!K68</f>
        <v>0</v>
      </c>
      <c r="I69" s="3">
        <f>+'Operating Expenses'!AB24</f>
        <v>0</v>
      </c>
      <c r="K69" s="3">
        <f t="shared" si="4"/>
        <v>0</v>
      </c>
      <c r="M69" s="15">
        <f t="shared" si="5"/>
        <v>0</v>
      </c>
      <c r="O69" s="3">
        <f>ROUND((G69/'Assessment Schedule'!$D$9),2)</f>
        <v>0</v>
      </c>
      <c r="P69" s="4"/>
      <c r="Q69" s="3">
        <f>ROUND((I69/'Assessment Schedule'!$D$9),2)</f>
        <v>0</v>
      </c>
    </row>
    <row r="70" spans="1:17" x14ac:dyDescent="0.25">
      <c r="A70" s="10"/>
      <c r="B70" s="10"/>
      <c r="D70" s="10"/>
      <c r="E70" s="10" t="s">
        <v>48</v>
      </c>
      <c r="F70" s="10"/>
      <c r="G70" s="3"/>
      <c r="I70" s="3"/>
      <c r="K70" s="3">
        <f t="shared" si="4"/>
        <v>0</v>
      </c>
      <c r="M70" s="15"/>
      <c r="O70" s="3"/>
      <c r="P70" s="4"/>
      <c r="Q70" s="3"/>
    </row>
    <row r="71" spans="1:17" x14ac:dyDescent="0.25">
      <c r="A71" s="10"/>
      <c r="B71" s="10"/>
      <c r="D71" s="10"/>
      <c r="E71" s="10"/>
      <c r="F71" s="10" t="s">
        <v>49</v>
      </c>
      <c r="G71" s="3">
        <f>+'Budget Amendment 2019'!K70</f>
        <v>0</v>
      </c>
      <c r="I71" s="3">
        <f>+'Operating Expenses'!AB25</f>
        <v>500</v>
      </c>
      <c r="K71" s="3">
        <f t="shared" si="4"/>
        <v>500</v>
      </c>
      <c r="M71" s="15">
        <v>1</v>
      </c>
      <c r="O71" s="3">
        <f>ROUND((G71/'Assessment Schedule'!$D$9),2)</f>
        <v>0</v>
      </c>
      <c r="P71" s="4"/>
      <c r="Q71" s="3">
        <f>ROUND((I71/'Assessment Schedule'!$D$9),2)</f>
        <v>0.08</v>
      </c>
    </row>
    <row r="72" spans="1:17" x14ac:dyDescent="0.25">
      <c r="A72" s="10"/>
      <c r="B72" s="10"/>
      <c r="D72" s="10"/>
      <c r="E72" s="10"/>
      <c r="F72" s="10" t="s">
        <v>50</v>
      </c>
      <c r="G72" s="6">
        <f>+'Budget Amendment 2019'!K71</f>
        <v>62000</v>
      </c>
      <c r="I72" s="6">
        <f>+'Operating Expenses'!AB26</f>
        <v>25000</v>
      </c>
      <c r="K72" s="6">
        <f t="shared" si="4"/>
        <v>-37000</v>
      </c>
      <c r="M72" s="49">
        <f t="shared" si="5"/>
        <v>-0.5968</v>
      </c>
      <c r="O72" s="6">
        <f>ROUND((G72/'Assessment Schedule'!$D$9),2)</f>
        <v>10.029999999999999</v>
      </c>
      <c r="P72" s="4"/>
      <c r="Q72" s="6">
        <f>ROUND((I72/'Assessment Schedule'!$D$9),2)</f>
        <v>4.04</v>
      </c>
    </row>
    <row r="73" spans="1:17" x14ac:dyDescent="0.25">
      <c r="A73" s="10"/>
      <c r="B73" s="10"/>
      <c r="D73" s="10"/>
      <c r="E73" s="10" t="s">
        <v>51</v>
      </c>
      <c r="F73" s="10"/>
      <c r="G73" s="3">
        <f>SUM(G71:G72)</f>
        <v>62000</v>
      </c>
      <c r="I73" s="3">
        <f>SUM(I71:I72)</f>
        <v>25500</v>
      </c>
      <c r="K73" s="3">
        <f>SUM(K71:K72)</f>
        <v>-36500</v>
      </c>
      <c r="M73" s="15">
        <f t="shared" si="5"/>
        <v>-0.5887</v>
      </c>
      <c r="O73" s="3">
        <f>SUM(O71:O72)</f>
        <v>10.029999999999999</v>
      </c>
      <c r="P73" s="4"/>
      <c r="Q73" s="3">
        <f>SUM(Q71:Q72)</f>
        <v>4.12</v>
      </c>
    </row>
    <row r="74" spans="1:17" ht="30" customHeight="1" x14ac:dyDescent="0.25">
      <c r="A74" s="10"/>
      <c r="B74" s="10"/>
      <c r="D74" s="10"/>
      <c r="E74" s="10" t="s">
        <v>52</v>
      </c>
      <c r="F74" s="10"/>
      <c r="G74" s="3">
        <f>+'Budget Amendment 2019'!K73</f>
        <v>2000</v>
      </c>
      <c r="I74" s="3">
        <f>+'Operating Expenses'!AB27</f>
        <v>500</v>
      </c>
      <c r="K74" s="3">
        <f t="shared" ref="K74:K81" si="6">+I74-G74</f>
        <v>-1500</v>
      </c>
      <c r="M74" s="15">
        <f t="shared" ref="M74:M82" si="7">IF(K74=0,0,ROUND((K74/G74),4))</f>
        <v>-0.75</v>
      </c>
      <c r="O74" s="3">
        <f>ROUND((G74/'Assessment Schedule'!$D$9),2)</f>
        <v>0.32</v>
      </c>
      <c r="P74" s="4"/>
      <c r="Q74" s="3">
        <f>ROUND((I74/'Assessment Schedule'!$D$9),2)</f>
        <v>0.08</v>
      </c>
    </row>
    <row r="75" spans="1:17" x14ac:dyDescent="0.25">
      <c r="A75" s="10"/>
      <c r="B75" s="10"/>
      <c r="D75" s="10"/>
      <c r="E75" s="10" t="s">
        <v>53</v>
      </c>
      <c r="F75" s="10"/>
      <c r="G75" s="3">
        <f>+'Budget Amendment 2019'!K74</f>
        <v>2000</v>
      </c>
      <c r="I75" s="3">
        <f>+'Operating Expenses'!AB28</f>
        <v>500</v>
      </c>
      <c r="K75" s="3">
        <f t="shared" si="6"/>
        <v>-1500</v>
      </c>
      <c r="M75" s="15">
        <f t="shared" si="7"/>
        <v>-0.75</v>
      </c>
      <c r="O75" s="3">
        <f>ROUND((G75/'Assessment Schedule'!$D$9),2)</f>
        <v>0.32</v>
      </c>
      <c r="P75" s="4"/>
      <c r="Q75" s="3">
        <f>ROUND((I75/'Assessment Schedule'!$D$9),2)</f>
        <v>0.08</v>
      </c>
    </row>
    <row r="76" spans="1:17" x14ac:dyDescent="0.25">
      <c r="A76" s="10"/>
      <c r="B76" s="10"/>
      <c r="D76" s="10"/>
      <c r="E76" s="10" t="s">
        <v>54</v>
      </c>
      <c r="F76" s="10"/>
      <c r="G76" s="3">
        <f>+'Budget Amendment 2019'!K75</f>
        <v>4500</v>
      </c>
      <c r="I76" s="3">
        <f>+'Operating Expenses'!AB29</f>
        <v>2000</v>
      </c>
      <c r="K76" s="3">
        <f t="shared" si="6"/>
        <v>-2500</v>
      </c>
      <c r="M76" s="15">
        <f t="shared" si="7"/>
        <v>-0.55559999999999998</v>
      </c>
      <c r="O76" s="3">
        <f>ROUND((G76/'Assessment Schedule'!$D$9),2)</f>
        <v>0.73</v>
      </c>
      <c r="P76" s="4"/>
      <c r="Q76" s="3">
        <f>ROUND((I76/'Assessment Schedule'!$D$9),2)</f>
        <v>0.32</v>
      </c>
    </row>
    <row r="77" spans="1:17" x14ac:dyDescent="0.25">
      <c r="A77" s="10"/>
      <c r="B77" s="10"/>
      <c r="D77" s="10"/>
      <c r="E77" s="83" t="s">
        <v>236</v>
      </c>
      <c r="F77" s="10"/>
      <c r="G77" s="3">
        <f>+'Budget Amendment 2019'!K76</f>
        <v>4800</v>
      </c>
      <c r="I77" s="3">
        <f>+'Operating Expenses'!AB30</f>
        <v>7500</v>
      </c>
      <c r="K77" s="3">
        <f t="shared" si="6"/>
        <v>2700</v>
      </c>
      <c r="M77" s="15">
        <f t="shared" si="7"/>
        <v>0.5625</v>
      </c>
      <c r="O77" s="3">
        <f>ROUND((G77/'Assessment Schedule'!$D$9),2)</f>
        <v>0.78</v>
      </c>
      <c r="P77" s="4"/>
      <c r="Q77" s="3">
        <f>ROUND((I77/'Assessment Schedule'!$D$9),2)</f>
        <v>1.21</v>
      </c>
    </row>
    <row r="78" spans="1:17" x14ac:dyDescent="0.25">
      <c r="A78" s="10"/>
      <c r="B78" s="10"/>
      <c r="D78" s="10"/>
      <c r="E78" s="10" t="s">
        <v>55</v>
      </c>
      <c r="F78" s="10"/>
      <c r="G78" s="3">
        <f>+'Budget Amendment 2019'!K77</f>
        <v>8650</v>
      </c>
      <c r="I78" s="3">
        <f>+'Operating Expenses'!AB31</f>
        <v>15500</v>
      </c>
      <c r="K78" s="3">
        <f t="shared" si="6"/>
        <v>6850</v>
      </c>
      <c r="M78" s="15">
        <f t="shared" si="7"/>
        <v>0.79190000000000005</v>
      </c>
      <c r="O78" s="3">
        <f>ROUND((G78/'Assessment Schedule'!$D$9),2)</f>
        <v>1.4</v>
      </c>
      <c r="P78" s="4"/>
      <c r="Q78" s="3">
        <f>ROUND((I78/'Assessment Schedule'!$D$9),2)</f>
        <v>2.5099999999999998</v>
      </c>
    </row>
    <row r="79" spans="1:17" x14ac:dyDescent="0.25">
      <c r="A79" s="10"/>
      <c r="B79" s="10"/>
      <c r="D79" s="10"/>
      <c r="E79" s="10" t="s">
        <v>56</v>
      </c>
      <c r="F79" s="10"/>
      <c r="G79" s="3">
        <f>+'Budget Amendment 2019'!K78</f>
        <v>21000</v>
      </c>
      <c r="I79" s="3">
        <f>+'Operating Expenses'!AB32</f>
        <v>10000</v>
      </c>
      <c r="K79" s="3">
        <f t="shared" si="6"/>
        <v>-11000</v>
      </c>
      <c r="M79" s="15">
        <f t="shared" si="7"/>
        <v>-0.52380000000000004</v>
      </c>
      <c r="O79" s="3">
        <f>ROUND((G79/'Assessment Schedule'!$D$9),2)</f>
        <v>3.4</v>
      </c>
      <c r="P79" s="4"/>
      <c r="Q79" s="3">
        <f>ROUND((I79/'Assessment Schedule'!$D$9),2)</f>
        <v>1.62</v>
      </c>
    </row>
    <row r="80" spans="1:17" x14ac:dyDescent="0.25">
      <c r="A80" s="10"/>
      <c r="B80" s="10"/>
      <c r="D80" s="10"/>
      <c r="E80" s="10" t="s">
        <v>57</v>
      </c>
      <c r="F80" s="10"/>
      <c r="G80" s="3">
        <f>+'Budget Amendment 2019'!K79</f>
        <v>11000</v>
      </c>
      <c r="I80" s="3">
        <f>+'Operating Expenses'!AB33</f>
        <v>11000</v>
      </c>
      <c r="K80" s="3">
        <f t="shared" si="6"/>
        <v>0</v>
      </c>
      <c r="M80" s="15">
        <f t="shared" si="7"/>
        <v>0</v>
      </c>
      <c r="O80" s="3">
        <f>ROUND((G80/'Assessment Schedule'!$D$9),2)</f>
        <v>1.78</v>
      </c>
      <c r="P80" s="4"/>
      <c r="Q80" s="3">
        <f>ROUND((I80/'Assessment Schedule'!$D$9),2)</f>
        <v>1.78</v>
      </c>
    </row>
    <row r="81" spans="1:17" x14ac:dyDescent="0.25">
      <c r="A81" s="10"/>
      <c r="B81" s="10"/>
      <c r="D81" s="10"/>
      <c r="E81" s="10" t="s">
        <v>58</v>
      </c>
      <c r="F81" s="10"/>
      <c r="G81" s="6">
        <f>+'Budget Amendment 2019'!K80</f>
        <v>2500</v>
      </c>
      <c r="I81" s="6">
        <f>+'Operating Expenses'!AB34</f>
        <v>1500</v>
      </c>
      <c r="K81" s="6">
        <f t="shared" si="6"/>
        <v>-1000</v>
      </c>
      <c r="M81" s="49">
        <v>-1</v>
      </c>
      <c r="O81" s="6">
        <f>ROUND((G81/'Assessment Schedule'!$D$9),2)</f>
        <v>0.4</v>
      </c>
      <c r="P81" s="4"/>
      <c r="Q81" s="6">
        <f>ROUND((I81/'Assessment Schedule'!$D$9),2)</f>
        <v>0.24</v>
      </c>
    </row>
    <row r="82" spans="1:17" x14ac:dyDescent="0.25">
      <c r="A82" s="10"/>
      <c r="B82" s="10"/>
      <c r="D82" s="10" t="s">
        <v>59</v>
      </c>
      <c r="E82" s="10"/>
      <c r="F82" s="10"/>
      <c r="G82" s="3">
        <f>SUM(G73:G81)+SUM(G53:G69)</f>
        <v>320600</v>
      </c>
      <c r="I82" s="3">
        <f>SUM(I73:I81)+SUM(I53:I69)</f>
        <v>344500</v>
      </c>
      <c r="K82" s="3">
        <f>SUM(K73:K81)+SUM(K53:K69)</f>
        <v>23900</v>
      </c>
      <c r="M82" s="15">
        <f t="shared" si="7"/>
        <v>7.4499999999999997E-2</v>
      </c>
      <c r="O82" s="3">
        <f>SUM(O73:O81)+SUM(O53:O69)</f>
        <v>51.86</v>
      </c>
      <c r="P82" s="4"/>
      <c r="Q82" s="3">
        <f>SUM(Q73:Q81)+SUM(Q53:Q69)</f>
        <v>55.74</v>
      </c>
    </row>
    <row r="83" spans="1:17" ht="30" customHeight="1" x14ac:dyDescent="0.25">
      <c r="A83" s="10"/>
      <c r="B83" s="10"/>
      <c r="D83" s="10" t="s">
        <v>60</v>
      </c>
      <c r="E83" s="10"/>
      <c r="F83" s="10"/>
      <c r="G83" s="3"/>
      <c r="I83" s="3"/>
      <c r="K83" s="3"/>
      <c r="O83" s="3"/>
      <c r="P83" s="4"/>
      <c r="Q83" s="3"/>
    </row>
    <row r="84" spans="1:17" x14ac:dyDescent="0.25">
      <c r="A84" s="10"/>
      <c r="B84" s="10"/>
      <c r="D84" s="10"/>
      <c r="E84" s="10" t="s">
        <v>61</v>
      </c>
      <c r="F84" s="10"/>
      <c r="G84" s="3">
        <f>+'Budget Amendment 2019'!K83</f>
        <v>0</v>
      </c>
      <c r="I84" s="3">
        <f>+'Capital Outlay'!AC8</f>
        <v>0</v>
      </c>
      <c r="K84" s="3">
        <f t="shared" ref="K84:K89" si="8">+I84-G84</f>
        <v>0</v>
      </c>
      <c r="M84" s="15">
        <v>1</v>
      </c>
      <c r="O84" s="3">
        <f>ROUND((G84/'Assessment Schedule'!$D$9),2)</f>
        <v>0</v>
      </c>
      <c r="P84" s="4"/>
      <c r="Q84" s="3">
        <f>ROUND((I84/'Assessment Schedule'!$D$9),2)</f>
        <v>0</v>
      </c>
    </row>
    <row r="85" spans="1:17" x14ac:dyDescent="0.25">
      <c r="A85" s="10"/>
      <c r="B85" s="10"/>
      <c r="D85" s="10"/>
      <c r="E85" s="10" t="s">
        <v>96</v>
      </c>
      <c r="F85" s="10"/>
      <c r="G85" s="3">
        <f>+'Budget Amendment 2019'!K84</f>
        <v>0</v>
      </c>
      <c r="I85" s="3" t="str">
        <f>+'Capital Outlay'!AC9</f>
        <v xml:space="preserve"> </v>
      </c>
      <c r="K85" s="3" t="e">
        <f t="shared" si="8"/>
        <v>#VALUE!</v>
      </c>
      <c r="M85" s="15" t="e">
        <f t="shared" ref="M85:M90" si="9">IF(K85=0,0,ROUND((K85/G85),4))</f>
        <v>#VALUE!</v>
      </c>
      <c r="O85" s="3">
        <f>ROUND((G85/'Assessment Schedule'!$D$9),2)</f>
        <v>0</v>
      </c>
      <c r="P85" s="4"/>
      <c r="Q85" s="3" t="e">
        <f>ROUND((I85/'Assessment Schedule'!$D$9),2)</f>
        <v>#VALUE!</v>
      </c>
    </row>
    <row r="86" spans="1:17" x14ac:dyDescent="0.25">
      <c r="A86" s="10"/>
      <c r="B86" s="10"/>
      <c r="D86" s="10"/>
      <c r="E86" s="10" t="s">
        <v>62</v>
      </c>
      <c r="F86" s="10"/>
      <c r="G86" s="3">
        <f>+'Budget Amendment 2019'!K85</f>
        <v>25000</v>
      </c>
      <c r="I86" s="3">
        <f>+'Capital Outlay'!AC10</f>
        <v>0</v>
      </c>
      <c r="K86" s="3">
        <f t="shared" si="8"/>
        <v>-25000</v>
      </c>
      <c r="M86" s="15">
        <f t="shared" si="9"/>
        <v>-1</v>
      </c>
      <c r="O86" s="3">
        <f>ROUND((G86/'Assessment Schedule'!$D$9),2)</f>
        <v>4.04</v>
      </c>
      <c r="P86" s="4"/>
      <c r="Q86" s="3">
        <f>ROUND((I86/'Assessment Schedule'!$D$9),2)</f>
        <v>0</v>
      </c>
    </row>
    <row r="87" spans="1:17" x14ac:dyDescent="0.25">
      <c r="A87" s="10"/>
      <c r="B87" s="10"/>
      <c r="D87" s="10"/>
      <c r="E87" s="10" t="s">
        <v>63</v>
      </c>
      <c r="F87" s="10"/>
      <c r="G87" s="3">
        <v>5000</v>
      </c>
      <c r="I87" s="3">
        <f>+'Capital Outlay'!AC11</f>
        <v>5000</v>
      </c>
      <c r="K87" s="3">
        <f t="shared" si="8"/>
        <v>0</v>
      </c>
      <c r="M87" s="15">
        <f t="shared" si="9"/>
        <v>0</v>
      </c>
      <c r="O87" s="3">
        <f>ROUND((G87/'Assessment Schedule'!$D$9),2)</f>
        <v>0.81</v>
      </c>
      <c r="P87" s="4"/>
      <c r="Q87" s="3">
        <f>ROUND((I87/'Assessment Schedule'!$D$9),2)</f>
        <v>0.81</v>
      </c>
    </row>
    <row r="88" spans="1:17" x14ac:dyDescent="0.25">
      <c r="A88" s="10"/>
      <c r="B88" s="10"/>
      <c r="D88" s="10"/>
      <c r="E88" s="10" t="s">
        <v>64</v>
      </c>
      <c r="F88" s="10"/>
      <c r="G88" s="6">
        <f>+'Budget Amendment 2019'!K87</f>
        <v>4500</v>
      </c>
      <c r="I88" s="6">
        <f>+'Capital Outlay'!AC12</f>
        <v>4500</v>
      </c>
      <c r="K88" s="6">
        <f t="shared" si="8"/>
        <v>0</v>
      </c>
      <c r="M88" s="49">
        <f t="shared" si="9"/>
        <v>0</v>
      </c>
      <c r="O88" s="6">
        <f>ROUND((G88/'Assessment Schedule'!$D$9),2)</f>
        <v>0.73</v>
      </c>
      <c r="P88" s="4"/>
      <c r="Q88" s="6">
        <f>ROUND((I88/'Assessment Schedule'!$D$9),2)</f>
        <v>0.73</v>
      </c>
    </row>
    <row r="89" spans="1:17" hidden="1" x14ac:dyDescent="0.25">
      <c r="A89" s="10"/>
      <c r="B89" s="10"/>
      <c r="D89" s="10"/>
      <c r="E89" s="10" t="s">
        <v>111</v>
      </c>
      <c r="F89" s="10"/>
      <c r="G89" s="6">
        <f>+'Budget Amendment 2019'!K88</f>
        <v>0</v>
      </c>
      <c r="I89" s="6">
        <f>+'Capital Outlay'!AC13</f>
        <v>0</v>
      </c>
      <c r="K89" s="6">
        <f t="shared" si="8"/>
        <v>0</v>
      </c>
      <c r="M89" s="49">
        <f t="shared" si="9"/>
        <v>0</v>
      </c>
      <c r="O89" s="6">
        <f>ROUND((G89/'Assessment Schedule'!$D$9),2)</f>
        <v>0</v>
      </c>
      <c r="P89" s="4"/>
      <c r="Q89" s="6">
        <f>ROUND((I89/'Assessment Schedule'!$D$9),2)</f>
        <v>0</v>
      </c>
    </row>
    <row r="90" spans="1:17" x14ac:dyDescent="0.25">
      <c r="A90" s="10"/>
      <c r="B90" s="10"/>
      <c r="D90" s="10" t="s">
        <v>65</v>
      </c>
      <c r="E90" s="10"/>
      <c r="F90" s="10"/>
      <c r="G90" s="3">
        <f>SUM(G84:G89)</f>
        <v>34500</v>
      </c>
      <c r="I90" s="3">
        <f>SUM(I84:I89)</f>
        <v>9500</v>
      </c>
      <c r="K90" s="3" t="e">
        <f>SUM(K84:K89)</f>
        <v>#VALUE!</v>
      </c>
      <c r="M90" s="15" t="e">
        <f t="shared" si="9"/>
        <v>#VALUE!</v>
      </c>
      <c r="O90" s="3">
        <f>SUM(O84:O89)</f>
        <v>5.58</v>
      </c>
      <c r="P90" s="4"/>
      <c r="Q90" s="3" t="e">
        <f>SUM(Q84:Q89)</f>
        <v>#VALUE!</v>
      </c>
    </row>
    <row r="91" spans="1:17" ht="30" customHeight="1" x14ac:dyDescent="0.25">
      <c r="A91" s="10"/>
      <c r="B91" s="10"/>
      <c r="D91" s="10" t="s">
        <v>66</v>
      </c>
      <c r="E91" s="10"/>
      <c r="F91" s="10"/>
      <c r="G91" s="3"/>
      <c r="I91" s="3"/>
      <c r="K91" s="3"/>
      <c r="O91" s="3"/>
      <c r="P91" s="4"/>
      <c r="Q91" s="3"/>
    </row>
    <row r="92" spans="1:17" x14ac:dyDescent="0.25">
      <c r="A92" s="10"/>
      <c r="B92" s="10"/>
      <c r="D92" s="10"/>
      <c r="E92" s="10" t="s">
        <v>67</v>
      </c>
      <c r="F92" s="10"/>
      <c r="G92" s="3">
        <f>+'Budget Amendment 2019'!K91</f>
        <v>0</v>
      </c>
      <c r="I92" s="3">
        <v>0</v>
      </c>
      <c r="K92" s="3">
        <f>+I92-G92</f>
        <v>0</v>
      </c>
      <c r="M92" s="15">
        <f t="shared" ref="M92:M98" si="10">IF(K92=0,0,ROUND((K92/G92),4))</f>
        <v>0</v>
      </c>
      <c r="O92" s="3">
        <f>ROUND((G92/'Assessment Schedule'!$D$9),2)</f>
        <v>0</v>
      </c>
      <c r="P92" s="4"/>
      <c r="Q92" s="3">
        <f>ROUND((I92/'Assessment Schedule'!$D$9),2)</f>
        <v>0</v>
      </c>
    </row>
    <row r="93" spans="1:17" x14ac:dyDescent="0.25">
      <c r="A93" s="10"/>
      <c r="B93" s="10"/>
      <c r="D93" s="10"/>
      <c r="E93" s="10" t="s">
        <v>68</v>
      </c>
      <c r="F93" s="10"/>
      <c r="G93" s="6">
        <f>+'Budget Amendment 2019'!K92</f>
        <v>0</v>
      </c>
      <c r="I93" s="6">
        <v>0</v>
      </c>
      <c r="K93" s="6">
        <f>+I93-G93</f>
        <v>0</v>
      </c>
      <c r="M93" s="49">
        <f t="shared" si="10"/>
        <v>0</v>
      </c>
      <c r="O93" s="6">
        <f>ROUND((G93/'Assessment Schedule'!$D$9),2)</f>
        <v>0</v>
      </c>
      <c r="P93" s="4"/>
      <c r="Q93" s="6">
        <f>ROUND((I93/'Assessment Schedule'!$D$9),2)</f>
        <v>0</v>
      </c>
    </row>
    <row r="94" spans="1:17" x14ac:dyDescent="0.25">
      <c r="A94" s="10"/>
      <c r="B94" s="10"/>
      <c r="D94" s="10" t="s">
        <v>69</v>
      </c>
      <c r="E94" s="10"/>
      <c r="F94" s="10"/>
      <c r="G94" s="3">
        <f>SUM(G92:G93)</f>
        <v>0</v>
      </c>
      <c r="I94" s="3">
        <f>SUM(I92:I93)</f>
        <v>0</v>
      </c>
      <c r="K94" s="3">
        <f>SUM(K92:K93)</f>
        <v>0</v>
      </c>
      <c r="M94" s="15">
        <f t="shared" si="10"/>
        <v>0</v>
      </c>
      <c r="O94" s="3">
        <f>SUM(O92:O93)</f>
        <v>0</v>
      </c>
      <c r="P94" s="4"/>
      <c r="Q94" s="3">
        <f>SUM(Q92:Q93)</f>
        <v>0</v>
      </c>
    </row>
    <row r="95" spans="1:17" x14ac:dyDescent="0.25">
      <c r="A95" s="10"/>
      <c r="B95" s="10"/>
      <c r="D95" s="10"/>
      <c r="E95" s="10"/>
      <c r="F95" s="10"/>
      <c r="G95" s="3"/>
      <c r="I95" s="3"/>
      <c r="K95" s="3"/>
      <c r="O95" s="3"/>
      <c r="P95" s="4"/>
      <c r="Q95" s="3"/>
    </row>
    <row r="96" spans="1:17" ht="30" customHeight="1" x14ac:dyDescent="0.25">
      <c r="A96" s="10"/>
      <c r="B96" s="10" t="s">
        <v>85</v>
      </c>
      <c r="D96" s="10"/>
      <c r="E96" s="10"/>
      <c r="F96" s="10"/>
      <c r="G96" s="3">
        <f>+G94+G90+G82+G51</f>
        <v>903468.2699999999</v>
      </c>
      <c r="I96" s="3">
        <f>+I94+I90+I82+I51</f>
        <v>1041737.06</v>
      </c>
      <c r="K96" s="3" t="e">
        <f>+K94+K90+K82+K51</f>
        <v>#VALUE!</v>
      </c>
      <c r="M96" s="15" t="e">
        <f t="shared" si="10"/>
        <v>#VALUE!</v>
      </c>
      <c r="O96" s="3">
        <f>+O94+O90+O82+O51</f>
        <v>146.16</v>
      </c>
      <c r="P96" s="4"/>
      <c r="Q96" s="3" t="e">
        <f>+Q94+Q90+Q82+Q51</f>
        <v>#VALUE!</v>
      </c>
    </row>
    <row r="97" spans="1:17" ht="15" customHeight="1" x14ac:dyDescent="0.25">
      <c r="A97" s="10"/>
      <c r="B97" s="10"/>
      <c r="D97" s="10"/>
      <c r="E97" s="10"/>
      <c r="F97" s="10"/>
      <c r="G97" s="3"/>
      <c r="I97" s="3"/>
      <c r="K97" s="3"/>
      <c r="O97" s="3"/>
      <c r="P97" s="4"/>
      <c r="Q97" s="3"/>
    </row>
    <row r="98" spans="1:17" ht="15" customHeight="1" x14ac:dyDescent="0.25">
      <c r="A98" s="10"/>
      <c r="B98" s="10" t="s">
        <v>90</v>
      </c>
      <c r="D98" s="10"/>
      <c r="E98" s="10"/>
      <c r="F98" s="10"/>
      <c r="G98" s="3">
        <f>+G32-G96</f>
        <v>-30972.269999999902</v>
      </c>
      <c r="I98" s="3">
        <f>+I32-I96</f>
        <v>680172.94</v>
      </c>
      <c r="K98" s="3" t="e">
        <f>+K32-K96</f>
        <v>#VALUE!</v>
      </c>
      <c r="M98" s="15" t="e">
        <f t="shared" si="10"/>
        <v>#VALUE!</v>
      </c>
      <c r="O98" s="3">
        <f>+O32-O96</f>
        <v>-4.9900000000000091</v>
      </c>
      <c r="P98" s="4"/>
      <c r="Q98" s="3" t="e">
        <f>+Q32-Q96</f>
        <v>#VALUE!</v>
      </c>
    </row>
    <row r="99" spans="1:17" ht="15" customHeight="1" x14ac:dyDescent="0.25">
      <c r="A99" s="10"/>
      <c r="B99" s="10"/>
      <c r="D99" s="10"/>
      <c r="E99" s="10"/>
      <c r="F99" s="10"/>
      <c r="G99" s="3"/>
      <c r="I99" s="3"/>
      <c r="K99" s="3"/>
      <c r="O99" s="3"/>
      <c r="P99" s="4"/>
      <c r="Q99" s="3"/>
    </row>
    <row r="100" spans="1:17" ht="15" customHeight="1" x14ac:dyDescent="0.25">
      <c r="A100" s="10"/>
      <c r="B100" s="10" t="s">
        <v>91</v>
      </c>
      <c r="D100" s="10"/>
      <c r="E100" s="10"/>
      <c r="F100" s="10"/>
      <c r="G100" s="3"/>
      <c r="I100" s="3"/>
      <c r="K100" s="3"/>
      <c r="O100" s="3"/>
      <c r="P100" s="4"/>
      <c r="Q100" s="3"/>
    </row>
    <row r="101" spans="1:17" ht="15" customHeight="1" x14ac:dyDescent="0.25">
      <c r="A101" s="10"/>
      <c r="B101" s="10"/>
      <c r="D101" s="10" t="s">
        <v>70</v>
      </c>
      <c r="E101" s="10"/>
      <c r="F101" s="10"/>
      <c r="G101" s="3"/>
      <c r="I101" s="3"/>
      <c r="K101" s="3"/>
      <c r="O101" s="3"/>
      <c r="P101" s="4"/>
      <c r="Q101" s="3"/>
    </row>
    <row r="102" spans="1:17" x14ac:dyDescent="0.25">
      <c r="A102" s="10"/>
      <c r="B102" s="10"/>
      <c r="D102" s="10"/>
      <c r="E102" s="10" t="s">
        <v>172</v>
      </c>
      <c r="F102" s="10"/>
      <c r="G102" s="3">
        <f>+'Budget Amendment 2019'!K101</f>
        <v>0</v>
      </c>
      <c r="I102" s="3">
        <v>0</v>
      </c>
      <c r="K102" s="3">
        <f>+I102-G102</f>
        <v>0</v>
      </c>
      <c r="M102" s="15">
        <v>0</v>
      </c>
      <c r="O102" s="3">
        <f>ROUND((G102/'Assessment Schedule'!$D$9),2)</f>
        <v>0</v>
      </c>
      <c r="P102" s="4"/>
      <c r="Q102" s="3">
        <f>ROUND((I102/'Assessment Schedule'!$D$9),2)</f>
        <v>0</v>
      </c>
    </row>
    <row r="103" spans="1:17" x14ac:dyDescent="0.25">
      <c r="A103" s="10"/>
      <c r="B103" s="10"/>
      <c r="D103" s="10"/>
      <c r="E103" s="10" t="s">
        <v>83</v>
      </c>
      <c r="F103" s="10"/>
      <c r="G103" s="6">
        <f>+'Budget Amendment 2019'!K102</f>
        <v>0</v>
      </c>
      <c r="I103" s="6"/>
      <c r="K103" s="6">
        <f>+I103-G103</f>
        <v>0</v>
      </c>
      <c r="M103" s="49">
        <f>IF(K103=0,0,ROUND((K103/G103),4))</f>
        <v>0</v>
      </c>
      <c r="O103" s="6">
        <f>ROUND((G103/'Assessment Schedule'!$D$9),2)</f>
        <v>0</v>
      </c>
      <c r="P103" s="4"/>
      <c r="Q103" s="6">
        <f>ROUND((I103/'Assessment Schedule'!$D$9),2)</f>
        <v>0</v>
      </c>
    </row>
    <row r="104" spans="1:17" x14ac:dyDescent="0.25">
      <c r="A104" s="10"/>
      <c r="B104" s="10"/>
      <c r="D104" s="10" t="s">
        <v>84</v>
      </c>
      <c r="E104" s="10"/>
      <c r="F104" s="10"/>
      <c r="G104" s="3">
        <f>SUM(G102:G103)</f>
        <v>0</v>
      </c>
      <c r="I104" s="3">
        <f>SUM(I102:I103)</f>
        <v>0</v>
      </c>
      <c r="K104" s="3">
        <f>SUM(K102:K103)</f>
        <v>0</v>
      </c>
      <c r="M104" s="15">
        <v>0</v>
      </c>
      <c r="O104" s="3">
        <f>SUM(O102:O103)</f>
        <v>0</v>
      </c>
      <c r="P104" s="4"/>
      <c r="Q104" s="3">
        <f>SUM(Q102:Q103)</f>
        <v>0</v>
      </c>
    </row>
    <row r="105" spans="1:17" x14ac:dyDescent="0.25">
      <c r="A105" s="10"/>
      <c r="B105" s="10"/>
      <c r="D105" s="10"/>
      <c r="E105" s="10"/>
      <c r="F105" s="10"/>
      <c r="G105" s="3"/>
      <c r="I105" s="3"/>
      <c r="K105" s="3"/>
      <c r="O105" s="3"/>
      <c r="P105" s="4"/>
      <c r="Q105" s="3"/>
    </row>
    <row r="106" spans="1:17" x14ac:dyDescent="0.25">
      <c r="A106" s="10"/>
      <c r="D106" s="10" t="s">
        <v>86</v>
      </c>
      <c r="E106" s="10"/>
      <c r="F106" s="10"/>
      <c r="G106" s="3"/>
      <c r="I106" s="3"/>
      <c r="K106" s="3"/>
      <c r="O106" s="3"/>
      <c r="P106" s="4"/>
      <c r="Q106" s="3"/>
    </row>
    <row r="107" spans="1:17" x14ac:dyDescent="0.25">
      <c r="A107" s="10"/>
      <c r="D107" s="10"/>
      <c r="E107" s="10" t="s">
        <v>87</v>
      </c>
      <c r="F107" s="10"/>
      <c r="G107" s="3">
        <f>+'Budget Amendment 2019'!K106</f>
        <v>0</v>
      </c>
      <c r="I107" s="3"/>
      <c r="K107" s="3">
        <f>+I107-G107</f>
        <v>0</v>
      </c>
      <c r="M107" s="15">
        <f t="shared" ref="M107:M112" si="11">IF(K107=0,0,ROUND((K107/G107),4))</f>
        <v>0</v>
      </c>
      <c r="O107" s="3">
        <f>ROUND((G107/'Assessment Schedule'!$D$9),2)</f>
        <v>0</v>
      </c>
      <c r="P107" s="4"/>
      <c r="Q107" s="3">
        <f>ROUND((I107/'Assessment Schedule'!$D$9),2)</f>
        <v>0</v>
      </c>
    </row>
    <row r="108" spans="1:17" x14ac:dyDescent="0.25">
      <c r="A108" s="10"/>
      <c r="D108" s="10"/>
      <c r="E108" s="10" t="s">
        <v>88</v>
      </c>
      <c r="F108" s="10"/>
      <c r="G108" s="6">
        <f>+'Budget Amendment 2019'!K107</f>
        <v>0</v>
      </c>
      <c r="I108" s="6"/>
      <c r="K108" s="3">
        <f>+I108-G108</f>
        <v>0</v>
      </c>
      <c r="M108" s="49">
        <f t="shared" si="11"/>
        <v>0</v>
      </c>
      <c r="O108" s="6">
        <f>ROUND((G108/'Assessment Schedule'!$D$9),2)</f>
        <v>0</v>
      </c>
      <c r="P108" s="4"/>
      <c r="Q108" s="6">
        <f>ROUND((I108/'Assessment Schedule'!$D$9),2)</f>
        <v>0</v>
      </c>
    </row>
    <row r="109" spans="1:17" x14ac:dyDescent="0.25">
      <c r="A109" s="10"/>
      <c r="D109" s="10" t="s">
        <v>89</v>
      </c>
      <c r="E109" s="10"/>
      <c r="F109" s="10"/>
      <c r="G109" s="7">
        <f>SUM(G107:G108)</f>
        <v>0</v>
      </c>
      <c r="I109" s="7">
        <f>SUM(I107:I108)</f>
        <v>0</v>
      </c>
      <c r="K109" s="7">
        <f>SUM(K107:K108)</f>
        <v>0</v>
      </c>
      <c r="M109" s="50">
        <f t="shared" si="11"/>
        <v>0</v>
      </c>
      <c r="O109" s="7">
        <f>SUM(O107:O108)</f>
        <v>0</v>
      </c>
      <c r="P109" s="4"/>
      <c r="Q109" s="7">
        <f>SUM(Q107:Q108)</f>
        <v>0</v>
      </c>
    </row>
    <row r="110" spans="1:17" ht="23.25" customHeight="1" x14ac:dyDescent="0.25">
      <c r="A110" s="10"/>
      <c r="B110" s="10" t="s">
        <v>92</v>
      </c>
      <c r="D110" s="10"/>
      <c r="E110" s="10"/>
      <c r="F110" s="10"/>
      <c r="G110" s="7">
        <f>+G109+G104</f>
        <v>0</v>
      </c>
      <c r="I110" s="7">
        <f>+I109+I104</f>
        <v>0</v>
      </c>
      <c r="K110" s="7">
        <f>+K109+K104</f>
        <v>0</v>
      </c>
      <c r="M110" s="50">
        <v>0</v>
      </c>
      <c r="O110" s="7">
        <f>+O109+O104</f>
        <v>0</v>
      </c>
      <c r="P110" s="4"/>
      <c r="Q110" s="7">
        <f>+Q109+Q104</f>
        <v>0</v>
      </c>
    </row>
    <row r="111" spans="1:17" x14ac:dyDescent="0.25">
      <c r="A111" s="10"/>
      <c r="D111" s="10"/>
      <c r="E111" s="10"/>
      <c r="F111" s="10"/>
      <c r="G111" s="3"/>
      <c r="I111" s="3"/>
      <c r="K111" s="3"/>
      <c r="O111" s="3"/>
      <c r="P111" s="4"/>
      <c r="Q111" s="3"/>
    </row>
    <row r="112" spans="1:17" x14ac:dyDescent="0.25">
      <c r="A112" s="10"/>
      <c r="B112" s="11" t="s">
        <v>93</v>
      </c>
      <c r="D112" s="10"/>
      <c r="E112" s="10"/>
      <c r="F112" s="10"/>
      <c r="G112" s="6">
        <f>+G98+G110</f>
        <v>-30972.269999999902</v>
      </c>
      <c r="I112" s="6">
        <f>+I98+I110</f>
        <v>680172.94</v>
      </c>
      <c r="K112" s="6" t="e">
        <f>+K98+K110</f>
        <v>#VALUE!</v>
      </c>
      <c r="M112" s="49" t="e">
        <f t="shared" si="11"/>
        <v>#VALUE!</v>
      </c>
      <c r="O112" s="6">
        <f>+O98+O110</f>
        <v>-4.9900000000000091</v>
      </c>
      <c r="P112" s="4"/>
      <c r="Q112" s="6" t="e">
        <f>+Q98+Q110</f>
        <v>#VALUE!</v>
      </c>
    </row>
    <row r="113" spans="2:17" x14ac:dyDescent="0.25">
      <c r="K113" s="3"/>
      <c r="P113" s="4"/>
    </row>
    <row r="114" spans="2:17" x14ac:dyDescent="0.25">
      <c r="B114" s="5" t="s">
        <v>317</v>
      </c>
      <c r="G114" s="6">
        <f>+'Budget Amendment 2019'!G113</f>
        <v>1640984.61</v>
      </c>
      <c r="I114" s="6">
        <f>+G116</f>
        <v>1610012.3400000003</v>
      </c>
      <c r="K114" s="71"/>
      <c r="L114" s="72"/>
      <c r="M114" s="73"/>
      <c r="N114" s="75"/>
      <c r="O114" s="6">
        <f>ROUND((G114/'Assessment Schedule'!$D$9),2)</f>
        <v>265.51</v>
      </c>
      <c r="P114" s="74"/>
      <c r="Q114" s="6">
        <f>ROUND((I114/'Assessment Schedule'!$D$9),2)</f>
        <v>260.49</v>
      </c>
    </row>
    <row r="115" spans="2:17" x14ac:dyDescent="0.25">
      <c r="K115" s="72"/>
      <c r="L115" s="72"/>
      <c r="M115" s="73"/>
      <c r="N115" s="75"/>
      <c r="P115" s="74"/>
    </row>
    <row r="116" spans="2:17" ht="16.5" thickBot="1" x14ac:dyDescent="0.3">
      <c r="B116" s="11" t="s">
        <v>139</v>
      </c>
      <c r="G116" s="8">
        <f>SUM(G112:G115)</f>
        <v>1610012.3400000003</v>
      </c>
      <c r="I116" s="8">
        <f>SUM(I112:I115)</f>
        <v>2290185.2800000003</v>
      </c>
      <c r="K116" s="71"/>
      <c r="L116" s="72"/>
      <c r="M116" s="73"/>
      <c r="N116" s="75"/>
      <c r="O116" s="8">
        <f>ROUND((G116/'Assessment Schedule'!$D$9),2)</f>
        <v>260.49</v>
      </c>
      <c r="P116" s="74"/>
      <c r="Q116" s="8">
        <f>ROUND((I116/'Assessment Schedule'!$D$9),2)</f>
        <v>370.54</v>
      </c>
    </row>
    <row r="117" spans="2:17" ht="16.5" thickTop="1" x14ac:dyDescent="0.25"/>
    <row r="120" spans="2:17" ht="31.5" x14ac:dyDescent="0.25">
      <c r="G120" s="12" t="str">
        <f>+G2</f>
        <v>2024-25 as Amended</v>
      </c>
      <c r="H120" s="1"/>
      <c r="I120" s="12" t="str">
        <f>+I2</f>
        <v>Proposed 2025-26 Budget</v>
      </c>
      <c r="O120" s="12" t="str">
        <f>+G120</f>
        <v>2024-25 as Amended</v>
      </c>
      <c r="P120" s="1"/>
      <c r="Q120" s="12" t="str">
        <f>+I120</f>
        <v>Proposed 2025-26 Budget</v>
      </c>
    </row>
    <row r="121" spans="2:17" x14ac:dyDescent="0.25">
      <c r="B121" s="11" t="s">
        <v>189</v>
      </c>
    </row>
    <row r="122" spans="2:17" x14ac:dyDescent="0.25">
      <c r="C122" s="11" t="s">
        <v>179</v>
      </c>
    </row>
    <row r="123" spans="2:17" ht="5.25" customHeight="1" x14ac:dyDescent="0.25"/>
    <row r="124" spans="2:17" x14ac:dyDescent="0.25">
      <c r="D124" s="11" t="s">
        <v>173</v>
      </c>
    </row>
    <row r="125" spans="2:17" ht="5.25" customHeight="1" x14ac:dyDescent="0.25"/>
    <row r="126" spans="2:17" x14ac:dyDescent="0.25">
      <c r="E126" s="11" t="s">
        <v>174</v>
      </c>
      <c r="G126" s="4">
        <f>+G51</f>
        <v>548368.2699999999</v>
      </c>
      <c r="I126" s="4">
        <f>+I51</f>
        <v>687737.06</v>
      </c>
      <c r="K126" s="71"/>
      <c r="L126" s="72"/>
      <c r="M126" s="73"/>
      <c r="O126" s="4">
        <f>ROUND((G126/'Assessment Schedule'!$D$9),2)</f>
        <v>88.72</v>
      </c>
      <c r="P126" s="4"/>
      <c r="Q126" s="4">
        <f>ROUND((I126/'Assessment Schedule'!$D$9),2)</f>
        <v>111.27</v>
      </c>
    </row>
    <row r="127" spans="2:17" x14ac:dyDescent="0.25">
      <c r="E127" s="11" t="s">
        <v>175</v>
      </c>
      <c r="G127" s="47">
        <f>+G82</f>
        <v>320600</v>
      </c>
      <c r="I127" s="47">
        <f>+I82</f>
        <v>344500</v>
      </c>
      <c r="K127" s="71"/>
      <c r="L127" s="72"/>
      <c r="M127" s="73"/>
      <c r="O127" s="47">
        <f>ROUND((G127/'Assessment Schedule'!$D$9),2)</f>
        <v>51.87</v>
      </c>
      <c r="P127" s="4"/>
      <c r="Q127" s="47">
        <f>ROUND((I127/'Assessment Schedule'!$D$9),2)</f>
        <v>55.74</v>
      </c>
    </row>
    <row r="128" spans="2:17" x14ac:dyDescent="0.25">
      <c r="E128" s="11" t="s">
        <v>176</v>
      </c>
      <c r="G128" s="4">
        <f>SUM(G126:G127)</f>
        <v>868968.2699999999</v>
      </c>
      <c r="I128" s="4">
        <f>SUM(I126:I127)</f>
        <v>1032237.06</v>
      </c>
      <c r="K128" s="71"/>
      <c r="L128" s="72"/>
      <c r="M128" s="73"/>
      <c r="O128" s="4">
        <f>SUM(O126:O127)</f>
        <v>140.59</v>
      </c>
      <c r="P128" s="4"/>
      <c r="Q128" s="4">
        <f>SUM(Q126:Q127)</f>
        <v>167.01</v>
      </c>
    </row>
    <row r="129" spans="3:17" ht="5.25" customHeight="1" x14ac:dyDescent="0.25">
      <c r="K129" s="71"/>
      <c r="L129" s="72"/>
      <c r="M129" s="73"/>
      <c r="P129" s="4"/>
    </row>
    <row r="130" spans="3:17" x14ac:dyDescent="0.25">
      <c r="D130" s="11" t="s">
        <v>218</v>
      </c>
      <c r="G130" s="4">
        <f>ROUND((G128/2),0)</f>
        <v>434484</v>
      </c>
      <c r="I130" s="4">
        <f>ROUND((I128/2),0)</f>
        <v>516119</v>
      </c>
      <c r="K130" s="71"/>
      <c r="L130" s="72"/>
      <c r="M130" s="73"/>
      <c r="O130" s="4">
        <f>ROUND((G130/'Assessment Schedule'!$D$9),2)</f>
        <v>70.3</v>
      </c>
      <c r="P130" s="4"/>
      <c r="Q130" s="4">
        <f>ROUND((I130/'Assessment Schedule'!$D$9),2)</f>
        <v>83.51</v>
      </c>
    </row>
    <row r="131" spans="3:17" x14ac:dyDescent="0.25">
      <c r="D131" s="11" t="s">
        <v>221</v>
      </c>
      <c r="G131" s="47">
        <v>0</v>
      </c>
      <c r="I131" s="47">
        <f>+I94</f>
        <v>0</v>
      </c>
      <c r="K131" s="71"/>
      <c r="L131" s="72"/>
      <c r="M131" s="73"/>
      <c r="O131" s="47">
        <f>ROUND((G131/'Assessment Schedule'!$D$9),2)</f>
        <v>0</v>
      </c>
      <c r="P131" s="4"/>
      <c r="Q131" s="47">
        <f>ROUND((I131/'Assessment Schedule'!$D$9),2)</f>
        <v>0</v>
      </c>
    </row>
    <row r="132" spans="3:17" ht="5.25" customHeight="1" x14ac:dyDescent="0.25">
      <c r="K132" s="71"/>
      <c r="L132" s="72"/>
      <c r="M132" s="73"/>
      <c r="P132" s="4"/>
    </row>
    <row r="133" spans="3:17" x14ac:dyDescent="0.25">
      <c r="D133" s="11" t="s">
        <v>177</v>
      </c>
      <c r="G133" s="4">
        <f>SUM(G130:G131)</f>
        <v>434484</v>
      </c>
      <c r="I133" s="4">
        <f>SUM(I130:I131)</f>
        <v>516119</v>
      </c>
      <c r="K133" s="71"/>
      <c r="L133" s="72"/>
      <c r="M133" s="73"/>
      <c r="O133" s="4">
        <f>SUM(O130:O131)</f>
        <v>70.3</v>
      </c>
      <c r="P133" s="4"/>
      <c r="Q133" s="4">
        <f>SUM(Q130:Q131)</f>
        <v>83.51</v>
      </c>
    </row>
    <row r="134" spans="3:17" ht="5.25" customHeight="1" x14ac:dyDescent="0.25">
      <c r="K134" s="71"/>
      <c r="L134" s="72"/>
      <c r="M134" s="73"/>
      <c r="P134" s="4"/>
    </row>
    <row r="135" spans="3:17" x14ac:dyDescent="0.25">
      <c r="D135" s="5" t="s">
        <v>247</v>
      </c>
      <c r="K135" s="71"/>
      <c r="L135" s="72"/>
      <c r="M135" s="73"/>
      <c r="P135" s="4"/>
    </row>
    <row r="136" spans="3:17" x14ac:dyDescent="0.25">
      <c r="E136" s="5" t="s">
        <v>248</v>
      </c>
      <c r="G136" s="47">
        <f>452501.65+311352.89</f>
        <v>763854.54</v>
      </c>
      <c r="I136" s="47">
        <f>+G136</f>
        <v>763854.54</v>
      </c>
      <c r="K136" s="71"/>
      <c r="L136" s="72"/>
      <c r="M136" s="73"/>
      <c r="O136" s="47">
        <f>ROUND((G136/'Assessment Schedule'!$D$9),2)</f>
        <v>123.59</v>
      </c>
      <c r="P136" s="4"/>
      <c r="Q136" s="47">
        <f>ROUND((I136/'Assessment Schedule'!$D$9),2)</f>
        <v>123.59</v>
      </c>
    </row>
    <row r="137" spans="3:17" ht="5.25" customHeight="1" x14ac:dyDescent="0.25">
      <c r="K137" s="71"/>
      <c r="L137" s="72"/>
      <c r="M137" s="73"/>
      <c r="P137" s="4"/>
    </row>
    <row r="138" spans="3:17" ht="16.5" thickBot="1" x14ac:dyDescent="0.3">
      <c r="D138" s="11" t="s">
        <v>178</v>
      </c>
      <c r="G138" s="48">
        <f>+G136-G133</f>
        <v>329370.54000000004</v>
      </c>
      <c r="I138" s="48">
        <f>+I136-I133</f>
        <v>247735.54000000004</v>
      </c>
      <c r="K138" s="71"/>
      <c r="L138" s="72"/>
      <c r="M138" s="73"/>
      <c r="O138" s="48">
        <f>+O136-O133</f>
        <v>53.290000000000006</v>
      </c>
      <c r="P138" s="4"/>
      <c r="Q138" s="48">
        <f>+Q136-Q133</f>
        <v>40.08</v>
      </c>
    </row>
    <row r="139" spans="3:17" ht="16.5" thickTop="1" x14ac:dyDescent="0.25">
      <c r="K139" s="71"/>
      <c r="L139" s="72"/>
      <c r="M139" s="73"/>
    </row>
    <row r="140" spans="3:17" x14ac:dyDescent="0.25">
      <c r="C140" s="11" t="s">
        <v>180</v>
      </c>
      <c r="K140" s="71"/>
      <c r="L140" s="72"/>
      <c r="M140" s="73"/>
    </row>
    <row r="141" spans="3:17" ht="5.25" customHeight="1" x14ac:dyDescent="0.25">
      <c r="K141" s="71"/>
      <c r="L141" s="72"/>
      <c r="M141" s="73"/>
    </row>
    <row r="142" spans="3:17" x14ac:dyDescent="0.25">
      <c r="D142" s="11" t="s">
        <v>190</v>
      </c>
      <c r="G142" s="4">
        <f>+G116</f>
        <v>1610012.3400000003</v>
      </c>
      <c r="I142" s="4">
        <f>+G142+I112</f>
        <v>2290185.2800000003</v>
      </c>
      <c r="K142" s="71"/>
      <c r="L142" s="72"/>
      <c r="M142" s="73"/>
      <c r="O142" s="4">
        <f>ROUND((G142/'Assessment Schedule'!$D$9),2)</f>
        <v>260.49</v>
      </c>
      <c r="P142" s="4"/>
      <c r="Q142" s="4">
        <f>ROUND((I142/'Assessment Schedule'!$D$9),2)</f>
        <v>370.54</v>
      </c>
    </row>
    <row r="143" spans="3:17" ht="5.25" customHeight="1" x14ac:dyDescent="0.25">
      <c r="K143" s="71"/>
      <c r="L143" s="72"/>
      <c r="M143" s="73"/>
      <c r="P143" s="4"/>
    </row>
    <row r="144" spans="3:17" x14ac:dyDescent="0.25">
      <c r="E144" s="11" t="s">
        <v>181</v>
      </c>
      <c r="K144" s="71"/>
      <c r="L144" s="72"/>
      <c r="M144" s="73"/>
      <c r="P144" s="4"/>
    </row>
    <row r="145" spans="4:17" x14ac:dyDescent="0.25">
      <c r="F145" s="11" t="s">
        <v>182</v>
      </c>
      <c r="G145" s="4">
        <f>-G133</f>
        <v>-434484</v>
      </c>
      <c r="I145" s="4">
        <f>-I133</f>
        <v>-516119</v>
      </c>
      <c r="K145" s="71"/>
      <c r="L145" s="72"/>
      <c r="M145" s="73"/>
      <c r="O145" s="4">
        <f>ROUND((G145/'Assessment Schedule'!$D$9),2)</f>
        <v>-70.3</v>
      </c>
      <c r="P145" s="4"/>
      <c r="Q145" s="4">
        <f>ROUND((I145/'Assessment Schedule'!$D$9),2)</f>
        <v>-83.51</v>
      </c>
    </row>
    <row r="146" spans="4:17" x14ac:dyDescent="0.25">
      <c r="F146" s="11" t="s">
        <v>199</v>
      </c>
      <c r="G146" s="4">
        <v>0</v>
      </c>
      <c r="I146" s="4">
        <v>0</v>
      </c>
      <c r="K146" s="71"/>
      <c r="L146" s="72"/>
      <c r="M146" s="73"/>
      <c r="O146" s="4">
        <f>ROUND((G146/'Assessment Schedule'!$D$9),2)</f>
        <v>0</v>
      </c>
      <c r="P146" s="4"/>
      <c r="Q146" s="4">
        <f>ROUND((I146/'Assessment Schedule'!$D$9),2)</f>
        <v>0</v>
      </c>
    </row>
    <row r="147" spans="4:17" x14ac:dyDescent="0.25">
      <c r="F147" s="11" t="s">
        <v>183</v>
      </c>
      <c r="G147" s="4">
        <v>-602</v>
      </c>
      <c r="I147" s="4">
        <f>+G147</f>
        <v>-602</v>
      </c>
      <c r="K147" s="71"/>
      <c r="L147" s="72"/>
      <c r="M147" s="73"/>
      <c r="O147" s="4">
        <f>ROUND((G147/'Assessment Schedule'!$D$9),2)</f>
        <v>-0.1</v>
      </c>
      <c r="P147" s="4"/>
      <c r="Q147" s="4">
        <f>ROUND((I147/'Assessment Schedule'!$D$9),2)</f>
        <v>-0.1</v>
      </c>
    </row>
    <row r="148" spans="4:17" x14ac:dyDescent="0.25">
      <c r="F148" s="11" t="s">
        <v>187</v>
      </c>
      <c r="G148" s="47">
        <v>0</v>
      </c>
      <c r="I148" s="47"/>
      <c r="K148" s="71"/>
      <c r="L148" s="72"/>
      <c r="M148" s="73"/>
      <c r="O148" s="47">
        <f>ROUND((G148/'Assessment Schedule'!$D$9),2)</f>
        <v>0</v>
      </c>
      <c r="P148" s="4"/>
      <c r="Q148" s="47">
        <f>ROUND((I148/'Assessment Schedule'!$D$9),2)</f>
        <v>0</v>
      </c>
    </row>
    <row r="149" spans="4:17" ht="5.25" customHeight="1" x14ac:dyDescent="0.25">
      <c r="K149" s="71"/>
      <c r="L149" s="72"/>
      <c r="M149" s="73"/>
      <c r="P149" s="4"/>
    </row>
    <row r="150" spans="4:17" x14ac:dyDescent="0.25">
      <c r="D150" s="11" t="s">
        <v>184</v>
      </c>
      <c r="G150" s="4">
        <f>SUM(G142:G148)</f>
        <v>1174926.3400000003</v>
      </c>
      <c r="I150" s="4">
        <f>SUM(I142:I148)</f>
        <v>1773464.2800000003</v>
      </c>
      <c r="K150" s="71"/>
      <c r="L150" s="72"/>
      <c r="M150" s="73"/>
      <c r="O150" s="4">
        <f>SUM(O142:O148)</f>
        <v>190.09</v>
      </c>
      <c r="P150" s="4"/>
      <c r="Q150" s="4">
        <f>SUM(Q142:Q148)</f>
        <v>286.93</v>
      </c>
    </row>
    <row r="151" spans="4:17" ht="5.25" customHeight="1" x14ac:dyDescent="0.25">
      <c r="K151" s="71"/>
      <c r="L151" s="72"/>
      <c r="M151" s="73"/>
      <c r="P151" s="4"/>
    </row>
    <row r="152" spans="4:17" x14ac:dyDescent="0.25">
      <c r="D152" s="11" t="s">
        <v>185</v>
      </c>
      <c r="K152" s="71"/>
      <c r="L152" s="72"/>
      <c r="M152" s="73"/>
      <c r="P152" s="4"/>
    </row>
    <row r="153" spans="4:17" x14ac:dyDescent="0.25">
      <c r="F153" s="11" t="s">
        <v>186</v>
      </c>
      <c r="G153" s="4">
        <v>0</v>
      </c>
      <c r="I153" s="4">
        <v>0</v>
      </c>
      <c r="K153" s="71"/>
      <c r="L153" s="72"/>
      <c r="M153" s="73"/>
      <c r="O153" s="4">
        <f>ROUND((G153/'Assessment Schedule'!$D$9),2)</f>
        <v>0</v>
      </c>
      <c r="P153" s="4"/>
      <c r="Q153" s="4">
        <f>ROUND((I153/'Assessment Schedule'!$D$9),2)</f>
        <v>0</v>
      </c>
    </row>
    <row r="154" spans="4:17" x14ac:dyDescent="0.25">
      <c r="F154" s="11" t="s">
        <v>219</v>
      </c>
      <c r="G154" s="4">
        <v>-452520.25</v>
      </c>
      <c r="I154" s="4">
        <v>-452520.25</v>
      </c>
      <c r="K154" s="71"/>
      <c r="L154" s="72"/>
      <c r="M154" s="73"/>
      <c r="O154" s="4">
        <f>ROUND((G154/'Assessment Schedule'!$D$9),2)</f>
        <v>-73.22</v>
      </c>
      <c r="P154" s="4"/>
      <c r="Q154" s="4">
        <f>ROUND((I154/'Assessment Schedule'!$D$9),2)</f>
        <v>-73.22</v>
      </c>
    </row>
    <row r="155" spans="4:17" x14ac:dyDescent="0.25">
      <c r="F155" s="11" t="s">
        <v>194</v>
      </c>
      <c r="G155" s="4">
        <v>-100000</v>
      </c>
      <c r="I155" s="4">
        <v>-100000</v>
      </c>
      <c r="K155" s="71"/>
      <c r="L155" s="72"/>
      <c r="M155" s="73"/>
      <c r="O155" s="4">
        <f>ROUND((G155/'Assessment Schedule'!$D$9),2)</f>
        <v>-16.18</v>
      </c>
      <c r="P155" s="4"/>
      <c r="Q155" s="4">
        <f>ROUND((I155/'Assessment Schedule'!$D$9),2)</f>
        <v>-16.18</v>
      </c>
    </row>
    <row r="156" spans="4:17" x14ac:dyDescent="0.25">
      <c r="F156" s="11" t="s">
        <v>187</v>
      </c>
      <c r="K156" s="71"/>
      <c r="L156" s="72"/>
      <c r="M156" s="73"/>
      <c r="O156" s="4">
        <f>ROUND((G156/'Assessment Schedule'!$D$9),2)</f>
        <v>0</v>
      </c>
      <c r="P156" s="4"/>
      <c r="Q156" s="4">
        <f>ROUND((I156/'Assessment Schedule'!$D$9),2)</f>
        <v>0</v>
      </c>
    </row>
    <row r="157" spans="4:17" x14ac:dyDescent="0.25">
      <c r="F157" s="11" t="s">
        <v>187</v>
      </c>
      <c r="G157" s="47"/>
      <c r="I157" s="47"/>
      <c r="K157" s="71"/>
      <c r="L157" s="72"/>
      <c r="M157" s="73"/>
      <c r="O157" s="47">
        <f>ROUND((G157/'Assessment Schedule'!$D$9),2)</f>
        <v>0</v>
      </c>
      <c r="P157" s="4"/>
      <c r="Q157" s="47">
        <f>ROUND((I157/'Assessment Schedule'!$D$9),2)</f>
        <v>0</v>
      </c>
    </row>
    <row r="158" spans="4:17" ht="5.25" customHeight="1" x14ac:dyDescent="0.25">
      <c r="K158" s="71"/>
      <c r="L158" s="72"/>
      <c r="M158" s="73"/>
      <c r="P158" s="4"/>
    </row>
    <row r="159" spans="4:17" ht="16.5" thickBot="1" x14ac:dyDescent="0.3">
      <c r="D159" s="11" t="s">
        <v>188</v>
      </c>
      <c r="G159" s="48">
        <f>SUM(G150:G157)</f>
        <v>622406.09000000032</v>
      </c>
      <c r="I159" s="48">
        <f>SUM(I150:I157)</f>
        <v>1220944.0300000003</v>
      </c>
      <c r="K159" s="71"/>
      <c r="L159" s="72"/>
      <c r="M159" s="73"/>
      <c r="O159" s="48">
        <f>SUM(O150:O157)</f>
        <v>100.69</v>
      </c>
      <c r="P159" s="4"/>
      <c r="Q159" s="48">
        <f>SUM(Q150:Q157)</f>
        <v>197.53</v>
      </c>
    </row>
    <row r="160" spans="4:17" ht="16.5" thickTop="1" x14ac:dyDescent="0.25">
      <c r="P160" s="4"/>
    </row>
  </sheetData>
  <phoneticPr fontId="0" type="noConversion"/>
  <printOptions horizontalCentered="1"/>
  <pageMargins left="0.7" right="0.7" top="0.75" bottom="0.75" header="0.25" footer="0.3"/>
  <pageSetup scale="59" fitToHeight="0" orientation="landscape" r:id="rId1"/>
  <headerFooter>
    <oddHeader xml:space="preserve">&amp;C&amp;"Times New Roman,Bold"&amp;12 Flagler Estates Road and Water Control District
&amp;14  Budget     
 General Fund 
Fiscal 2025-2026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pageSetUpPr fitToPage="1"/>
  </sheetPr>
  <dimension ref="A1:Z44"/>
  <sheetViews>
    <sheetView workbookViewId="0">
      <selection activeCell="X28" sqref="X28"/>
    </sheetView>
  </sheetViews>
  <sheetFormatPr defaultRowHeight="15.75" x14ac:dyDescent="0.25"/>
  <cols>
    <col min="1" max="3" width="3" style="34" customWidth="1"/>
    <col min="4" max="4" width="46" style="34" customWidth="1"/>
    <col min="5" max="5" width="2.28515625" style="83" customWidth="1"/>
    <col min="6" max="6" width="16.5703125" style="83" hidden="1" customWidth="1"/>
    <col min="7" max="7" width="2.28515625" style="83" hidden="1" customWidth="1"/>
    <col min="8" max="8" width="16.5703125" style="83" hidden="1" customWidth="1"/>
    <col min="9" max="9" width="2.28515625" style="83" hidden="1" customWidth="1"/>
    <col min="10" max="10" width="16.5703125" style="83" hidden="1" customWidth="1"/>
    <col min="11" max="11" width="2.28515625" style="83" hidden="1" customWidth="1"/>
    <col min="12" max="12" width="16.5703125" style="83" hidden="1" customWidth="1"/>
    <col min="13" max="13" width="2.28515625" style="83" hidden="1" customWidth="1"/>
    <col min="14" max="14" width="16.5703125" style="83" hidden="1" customWidth="1"/>
    <col min="15" max="15" width="2.28515625" style="83" hidden="1" customWidth="1"/>
    <col min="16" max="16" width="15.5703125" style="83" hidden="1" customWidth="1"/>
    <col min="17" max="17" width="2.28515625" style="83" hidden="1" customWidth="1"/>
    <col min="18" max="18" width="16" style="83" customWidth="1"/>
    <col min="19" max="19" width="2.28515625" style="83" customWidth="1"/>
    <col min="20" max="20" width="16" style="83" customWidth="1"/>
    <col min="21" max="21" width="2.28515625" style="83" customWidth="1"/>
    <col min="22" max="22" width="16" style="83" hidden="1" customWidth="1"/>
    <col min="23" max="23" width="2.28515625" style="83" hidden="1" customWidth="1"/>
    <col min="24" max="24" width="17.85546875" style="83" customWidth="1"/>
    <col min="25" max="25" width="2.28515625" style="4" customWidth="1"/>
    <col min="26" max="26" width="15.140625" style="5" customWidth="1"/>
    <col min="27" max="16384" width="9.140625" style="5"/>
  </cols>
  <sheetData>
    <row r="1" spans="1:26" x14ac:dyDescent="0.25"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26" s="2" customFormat="1" x14ac:dyDescent="0.25">
      <c r="A2" s="80"/>
      <c r="B2" s="80"/>
      <c r="C2" s="80"/>
      <c r="D2" s="80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0"/>
      <c r="Y2" s="4"/>
    </row>
    <row r="3" spans="1:26" ht="31.5" x14ac:dyDescent="0.25">
      <c r="E3" s="10"/>
      <c r="F3" s="89" t="s">
        <v>209</v>
      </c>
      <c r="G3" s="10"/>
      <c r="H3" s="89" t="s">
        <v>225</v>
      </c>
      <c r="I3" s="10"/>
      <c r="J3" s="89" t="s">
        <v>226</v>
      </c>
      <c r="K3" s="10"/>
      <c r="L3" s="89" t="s">
        <v>220</v>
      </c>
      <c r="M3" s="10"/>
      <c r="N3" s="89" t="s">
        <v>211</v>
      </c>
      <c r="O3" s="10"/>
      <c r="P3" s="89" t="s">
        <v>228</v>
      </c>
      <c r="Q3" s="10"/>
      <c r="R3" s="89" t="s">
        <v>210</v>
      </c>
      <c r="S3" s="10"/>
      <c r="T3" s="89" t="s">
        <v>227</v>
      </c>
      <c r="U3" s="10"/>
      <c r="V3" s="89" t="s">
        <v>222</v>
      </c>
      <c r="W3" s="10"/>
      <c r="X3" s="97" t="s">
        <v>310</v>
      </c>
      <c r="Y3" s="1"/>
    </row>
    <row r="4" spans="1:26" ht="23.25" customHeight="1" x14ac:dyDescent="0.25">
      <c r="C4" s="34" t="s">
        <v>71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82"/>
    </row>
    <row r="5" spans="1:26" ht="21" customHeight="1" x14ac:dyDescent="0.25">
      <c r="D5" s="34" t="s">
        <v>141</v>
      </c>
      <c r="E5" s="10"/>
      <c r="F5" s="3"/>
      <c r="G5" s="10"/>
      <c r="H5" s="3"/>
      <c r="I5" s="10"/>
      <c r="J5" s="3"/>
      <c r="K5" s="10"/>
      <c r="L5" s="3"/>
      <c r="M5" s="10"/>
      <c r="N5" s="3"/>
      <c r="O5" s="3"/>
      <c r="P5" s="3"/>
      <c r="Q5" s="3"/>
      <c r="R5" s="3">
        <f>ROUND(('Assessment Schedule'!H20*0.65),2)</f>
        <v>95412.85</v>
      </c>
      <c r="S5" s="3"/>
      <c r="T5" s="3">
        <f>+'Assessment Schedule'!H20-'CIP 2018 Summary'!R5</f>
        <v>51376.149999999994</v>
      </c>
      <c r="U5" s="3"/>
      <c r="V5" s="3"/>
      <c r="W5" s="3"/>
      <c r="X5" s="3">
        <f t="shared" ref="X5:X12" si="0">SUM(F5:V5)</f>
        <v>146789</v>
      </c>
      <c r="Y5" s="3"/>
      <c r="Z5" s="4"/>
    </row>
    <row r="6" spans="1:26" ht="21.75" customHeight="1" x14ac:dyDescent="0.25">
      <c r="D6" s="34" t="s">
        <v>142</v>
      </c>
      <c r="E6" s="10"/>
      <c r="F6" s="3"/>
      <c r="G6" s="10"/>
      <c r="H6" s="3"/>
      <c r="I6" s="10"/>
      <c r="J6" s="3"/>
      <c r="K6" s="10"/>
      <c r="L6" s="3"/>
      <c r="M6" s="10"/>
      <c r="N6" s="3"/>
      <c r="O6" s="3"/>
      <c r="P6" s="3"/>
      <c r="Q6" s="3"/>
      <c r="R6" s="3"/>
      <c r="S6" s="3"/>
      <c r="T6" s="3"/>
      <c r="U6" s="3"/>
      <c r="V6" s="3"/>
      <c r="W6" s="3"/>
      <c r="X6" s="3">
        <f t="shared" si="0"/>
        <v>0</v>
      </c>
      <c r="Y6" s="3"/>
    </row>
    <row r="7" spans="1:26" ht="21.75" customHeight="1" x14ac:dyDescent="0.25">
      <c r="D7" s="34" t="s">
        <v>191</v>
      </c>
      <c r="E7" s="10"/>
      <c r="F7" s="3"/>
      <c r="G7" s="10"/>
      <c r="H7" s="3"/>
      <c r="I7" s="10"/>
      <c r="J7" s="3"/>
      <c r="K7" s="10"/>
      <c r="L7" s="3"/>
      <c r="M7" s="10"/>
      <c r="N7" s="3"/>
      <c r="O7" s="3"/>
      <c r="P7" s="3"/>
      <c r="Q7" s="3"/>
      <c r="R7" s="3"/>
      <c r="S7" s="3"/>
      <c r="T7" s="3"/>
      <c r="U7" s="3"/>
      <c r="V7" s="3"/>
      <c r="W7" s="3"/>
      <c r="X7" s="3">
        <f t="shared" si="0"/>
        <v>0</v>
      </c>
      <c r="Y7" s="3"/>
    </row>
    <row r="8" spans="1:26" ht="21.75" customHeight="1" x14ac:dyDescent="0.25">
      <c r="D8" s="34" t="s">
        <v>200</v>
      </c>
      <c r="E8" s="10"/>
      <c r="F8" s="3"/>
      <c r="G8" s="10"/>
      <c r="H8" s="3"/>
      <c r="I8" s="10"/>
      <c r="J8" s="3"/>
      <c r="K8" s="10"/>
      <c r="L8" s="3"/>
      <c r="M8" s="10"/>
      <c r="N8" s="3"/>
      <c r="O8" s="3"/>
      <c r="P8" s="3"/>
      <c r="Q8" s="3"/>
      <c r="R8" s="3"/>
      <c r="S8" s="3"/>
      <c r="T8" s="3"/>
      <c r="U8" s="3"/>
      <c r="V8" s="3"/>
      <c r="W8" s="3"/>
      <c r="X8" s="3">
        <f t="shared" si="0"/>
        <v>0</v>
      </c>
      <c r="Y8" s="3"/>
      <c r="Z8" s="4"/>
    </row>
    <row r="9" spans="1:26" ht="21.75" customHeight="1" x14ac:dyDescent="0.25">
      <c r="D9" s="34" t="s">
        <v>201</v>
      </c>
      <c r="E9" s="10"/>
      <c r="F9" s="3"/>
      <c r="G9" s="10"/>
      <c r="H9" s="3"/>
      <c r="I9" s="10"/>
      <c r="J9" s="3"/>
      <c r="K9" s="10"/>
      <c r="L9" s="3"/>
      <c r="M9" s="10"/>
      <c r="N9" s="3"/>
      <c r="O9" s="3"/>
      <c r="P9" s="3"/>
      <c r="Q9" s="3"/>
      <c r="R9" s="3"/>
      <c r="S9" s="3"/>
      <c r="T9" s="3"/>
      <c r="U9" s="3"/>
      <c r="V9" s="3"/>
      <c r="W9" s="3"/>
      <c r="X9" s="3">
        <f t="shared" si="0"/>
        <v>0</v>
      </c>
      <c r="Y9" s="3"/>
    </row>
    <row r="10" spans="1:26" ht="21.75" customHeight="1" x14ac:dyDescent="0.25">
      <c r="D10" s="34" t="s">
        <v>202</v>
      </c>
      <c r="E10" s="10"/>
      <c r="F10" s="3"/>
      <c r="G10" s="10"/>
      <c r="H10" s="3"/>
      <c r="I10" s="10"/>
      <c r="J10" s="3"/>
      <c r="K10" s="10"/>
      <c r="L10" s="3"/>
      <c r="M10" s="10"/>
      <c r="N10" s="3"/>
      <c r="O10" s="3"/>
      <c r="P10" s="3"/>
      <c r="Q10" s="3"/>
      <c r="R10" s="3"/>
      <c r="S10" s="3"/>
      <c r="T10" s="3"/>
      <c r="U10" s="3"/>
      <c r="V10" s="3"/>
      <c r="W10" s="3"/>
      <c r="X10" s="3">
        <f t="shared" si="0"/>
        <v>0</v>
      </c>
      <c r="Y10" s="3"/>
    </row>
    <row r="11" spans="1:26" ht="21.75" customHeight="1" x14ac:dyDescent="0.25">
      <c r="D11" s="34" t="s">
        <v>216</v>
      </c>
      <c r="E11" s="10"/>
      <c r="F11" s="3"/>
      <c r="G11" s="10"/>
      <c r="H11" s="3"/>
      <c r="I11" s="10"/>
      <c r="J11" s="3"/>
      <c r="K11" s="10"/>
      <c r="L11" s="3"/>
      <c r="M11" s="10"/>
      <c r="N11" s="3"/>
      <c r="O11" s="3"/>
      <c r="P11" s="3"/>
      <c r="Q11" s="3"/>
      <c r="R11" s="3"/>
      <c r="S11" s="3"/>
      <c r="T11" s="3"/>
      <c r="U11" s="3"/>
      <c r="V11" s="3"/>
      <c r="W11" s="3"/>
      <c r="X11" s="3">
        <f t="shared" si="0"/>
        <v>0</v>
      </c>
      <c r="Y11" s="3"/>
    </row>
    <row r="12" spans="1:26" ht="21.75" customHeight="1" x14ac:dyDescent="0.25">
      <c r="D12" s="34" t="s">
        <v>212</v>
      </c>
      <c r="E12" s="10"/>
      <c r="F12" s="6"/>
      <c r="G12" s="10"/>
      <c r="H12" s="6"/>
      <c r="I12" s="10"/>
      <c r="J12" s="6"/>
      <c r="K12" s="10"/>
      <c r="L12" s="6"/>
      <c r="M12" s="10"/>
      <c r="N12" s="6"/>
      <c r="O12" s="3"/>
      <c r="P12" s="6"/>
      <c r="Q12" s="3"/>
      <c r="R12" s="6"/>
      <c r="S12" s="3"/>
      <c r="T12" s="6"/>
      <c r="U12" s="3"/>
      <c r="V12" s="6"/>
      <c r="W12" s="3"/>
      <c r="X12" s="6">
        <f t="shared" si="0"/>
        <v>0</v>
      </c>
      <c r="Y12" s="3"/>
    </row>
    <row r="13" spans="1:26" ht="23.25" customHeight="1" x14ac:dyDescent="0.25">
      <c r="C13" s="34" t="s">
        <v>80</v>
      </c>
      <c r="E13" s="10"/>
      <c r="F13" s="3">
        <f>ROUND(SUM(F4:F12),5)</f>
        <v>0</v>
      </c>
      <c r="G13" s="10"/>
      <c r="H13" s="3">
        <f>ROUND(SUM(H4:H12),5)</f>
        <v>0</v>
      </c>
      <c r="I13" s="10"/>
      <c r="J13" s="3">
        <f>ROUND(SUM(J4:J12),5)</f>
        <v>0</v>
      </c>
      <c r="K13" s="10"/>
      <c r="L13" s="3">
        <f>ROUND(SUM(L4:L12),5)</f>
        <v>0</v>
      </c>
      <c r="M13" s="10"/>
      <c r="N13" s="3">
        <f>ROUND(SUM(N4:N12),5)</f>
        <v>0</v>
      </c>
      <c r="O13" s="3"/>
      <c r="P13" s="3">
        <f>ROUND(SUM(P4:P12),5)</f>
        <v>0</v>
      </c>
      <c r="Q13" s="3"/>
      <c r="R13" s="3">
        <f>ROUND(SUM(R4:R12),5)</f>
        <v>95412.85</v>
      </c>
      <c r="S13" s="3"/>
      <c r="T13" s="3">
        <f>ROUND(SUM(T4:T12),5)</f>
        <v>51376.15</v>
      </c>
      <c r="U13" s="3"/>
      <c r="V13" s="3">
        <f>ROUND(SUM(V4:V12),5)</f>
        <v>0</v>
      </c>
      <c r="W13" s="3"/>
      <c r="X13" s="3">
        <f>ROUND(SUM(X4:X12),5)</f>
        <v>146789</v>
      </c>
      <c r="Y13" s="3"/>
    </row>
    <row r="14" spans="1:26" ht="24.75" customHeight="1" x14ac:dyDescent="0.25">
      <c r="C14" s="34" t="s">
        <v>81</v>
      </c>
      <c r="E14" s="10"/>
      <c r="F14" s="3"/>
      <c r="G14" s="10"/>
      <c r="H14" s="3"/>
      <c r="I14" s="10"/>
      <c r="J14" s="3"/>
      <c r="K14" s="10"/>
      <c r="L14" s="3"/>
      <c r="M14" s="10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6" ht="20.25" customHeight="1" x14ac:dyDescent="0.25">
      <c r="D15" s="34" t="s">
        <v>144</v>
      </c>
      <c r="E15" s="10"/>
      <c r="F15" s="3"/>
      <c r="G15" s="10"/>
      <c r="H15" s="3"/>
      <c r="I15" s="10"/>
      <c r="J15" s="3"/>
      <c r="K15" s="10"/>
      <c r="L15" s="3"/>
      <c r="M15" s="10"/>
      <c r="N15" s="3"/>
      <c r="O15" s="3"/>
      <c r="P15" s="3"/>
      <c r="Q15" s="3"/>
      <c r="R15" s="3"/>
      <c r="S15" s="3"/>
      <c r="T15" s="3"/>
      <c r="U15" s="3"/>
      <c r="V15" s="3"/>
      <c r="W15" s="3"/>
      <c r="X15" s="3">
        <f>SUM(F15:V15)</f>
        <v>0</v>
      </c>
      <c r="Y15" s="3"/>
    </row>
    <row r="16" spans="1:26" ht="19.5" customHeight="1" x14ac:dyDescent="0.25">
      <c r="D16" s="34" t="s">
        <v>145</v>
      </c>
      <c r="E16" s="10"/>
      <c r="F16" s="3"/>
      <c r="G16" s="10"/>
      <c r="H16" s="3"/>
      <c r="I16" s="10"/>
      <c r="J16" s="3"/>
      <c r="K16" s="10"/>
      <c r="L16" s="3"/>
      <c r="M16" s="10"/>
      <c r="N16" s="3"/>
      <c r="O16" s="3"/>
      <c r="P16" s="3"/>
      <c r="Q16" s="3"/>
      <c r="R16" s="3"/>
      <c r="S16" s="3"/>
      <c r="T16" s="3"/>
      <c r="U16" s="3"/>
      <c r="V16" s="3"/>
      <c r="W16" s="3"/>
      <c r="X16" s="3">
        <f t="shared" ref="X16:X32" si="1">SUM(F16:V16)</f>
        <v>0</v>
      </c>
      <c r="Y16" s="3"/>
    </row>
    <row r="17" spans="4:25" ht="19.5" customHeight="1" x14ac:dyDescent="0.25">
      <c r="D17" s="34" t="s">
        <v>146</v>
      </c>
      <c r="E17" s="10"/>
      <c r="F17" s="3"/>
      <c r="G17" s="10"/>
      <c r="H17" s="3"/>
      <c r="I17" s="10"/>
      <c r="J17" s="3"/>
      <c r="K17" s="10"/>
      <c r="L17" s="3"/>
      <c r="M17" s="10"/>
      <c r="N17" s="3"/>
      <c r="O17" s="3"/>
      <c r="P17" s="3"/>
      <c r="Q17" s="3"/>
      <c r="R17" s="3"/>
      <c r="S17" s="3"/>
      <c r="T17" s="3"/>
      <c r="U17" s="3"/>
      <c r="V17" s="3"/>
      <c r="W17" s="3"/>
      <c r="X17" s="3">
        <f t="shared" si="1"/>
        <v>0</v>
      </c>
      <c r="Y17" s="3"/>
    </row>
    <row r="18" spans="4:25" ht="19.5" customHeight="1" x14ac:dyDescent="0.25">
      <c r="D18" s="34" t="s">
        <v>147</v>
      </c>
      <c r="E18" s="10"/>
      <c r="F18" s="4"/>
      <c r="G18" s="10"/>
      <c r="H18" s="3"/>
      <c r="I18" s="10"/>
      <c r="J18" s="3"/>
      <c r="K18" s="10"/>
      <c r="L18" s="3"/>
      <c r="M18" s="10"/>
      <c r="N18" s="3"/>
      <c r="O18" s="3"/>
      <c r="P18" s="3"/>
      <c r="Q18" s="3"/>
      <c r="R18" s="3"/>
      <c r="S18" s="3"/>
      <c r="T18" s="3"/>
      <c r="U18" s="3"/>
      <c r="V18" s="3"/>
      <c r="W18" s="3"/>
      <c r="X18" s="3">
        <f t="shared" si="1"/>
        <v>0</v>
      </c>
      <c r="Y18" s="3"/>
    </row>
    <row r="19" spans="4:25" ht="19.5" customHeight="1" x14ac:dyDescent="0.25">
      <c r="D19" s="34" t="s">
        <v>53</v>
      </c>
      <c r="E19" s="10"/>
      <c r="F19" s="3"/>
      <c r="G19" s="10"/>
      <c r="H19" s="3"/>
      <c r="I19" s="10"/>
      <c r="J19" s="3"/>
      <c r="K19" s="10"/>
      <c r="L19" s="3"/>
      <c r="M19" s="10"/>
      <c r="N19" s="3"/>
      <c r="O19" s="3"/>
      <c r="P19" s="3"/>
      <c r="Q19" s="3"/>
      <c r="R19" s="3"/>
      <c r="S19" s="3"/>
      <c r="T19" s="3"/>
      <c r="U19" s="3"/>
      <c r="V19" s="3"/>
      <c r="W19" s="3"/>
      <c r="X19" s="3">
        <f t="shared" si="1"/>
        <v>0</v>
      </c>
      <c r="Y19" s="3"/>
    </row>
    <row r="20" spans="4:25" ht="19.5" customHeight="1" x14ac:dyDescent="0.25">
      <c r="D20" s="34" t="s">
        <v>148</v>
      </c>
      <c r="E20" s="10"/>
      <c r="F20" s="3"/>
      <c r="G20" s="10"/>
      <c r="H20" s="3"/>
      <c r="I20" s="10"/>
      <c r="J20" s="3"/>
      <c r="K20" s="10"/>
      <c r="L20" s="3"/>
      <c r="M20" s="10"/>
      <c r="N20" s="3"/>
      <c r="O20" s="3"/>
      <c r="P20" s="3"/>
      <c r="Q20" s="3"/>
      <c r="R20" s="3"/>
      <c r="S20" s="3"/>
      <c r="T20" s="3"/>
      <c r="U20" s="3"/>
      <c r="V20" s="3"/>
      <c r="W20" s="3"/>
      <c r="X20" s="3">
        <f t="shared" si="1"/>
        <v>0</v>
      </c>
      <c r="Y20" s="3"/>
    </row>
    <row r="21" spans="4:25" ht="19.5" customHeight="1" x14ac:dyDescent="0.25">
      <c r="D21" s="34" t="s">
        <v>149</v>
      </c>
      <c r="E21" s="10"/>
      <c r="F21" s="3"/>
      <c r="G21" s="10"/>
      <c r="H21" s="3"/>
      <c r="I21" s="10"/>
      <c r="J21" s="3"/>
      <c r="K21" s="10"/>
      <c r="L21" s="3"/>
      <c r="M21" s="10"/>
      <c r="N21" s="3"/>
      <c r="O21" s="3"/>
      <c r="P21" s="3"/>
      <c r="Q21" s="3"/>
      <c r="R21" s="3"/>
      <c r="S21" s="3"/>
      <c r="T21" s="3"/>
      <c r="U21" s="3"/>
      <c r="V21" s="3"/>
      <c r="W21" s="3"/>
      <c r="X21" s="3">
        <f t="shared" si="1"/>
        <v>0</v>
      </c>
      <c r="Y21" s="3"/>
    </row>
    <row r="22" spans="4:25" ht="19.5" customHeight="1" x14ac:dyDescent="0.25">
      <c r="D22" s="34" t="s">
        <v>203</v>
      </c>
      <c r="E22" s="10"/>
      <c r="F22" s="3"/>
      <c r="G22" s="10"/>
      <c r="H22" s="3"/>
      <c r="I22" s="10"/>
      <c r="J22" s="3"/>
      <c r="K22" s="10"/>
      <c r="L22" s="3"/>
      <c r="M22" s="10"/>
      <c r="N22" s="3"/>
      <c r="O22" s="3"/>
      <c r="P22" s="3"/>
      <c r="Q22" s="3"/>
      <c r="R22" s="3"/>
      <c r="S22" s="3"/>
      <c r="T22" s="3"/>
      <c r="U22" s="3"/>
      <c r="V22" s="3"/>
      <c r="W22" s="3"/>
      <c r="X22" s="3">
        <f t="shared" si="1"/>
        <v>0</v>
      </c>
      <c r="Y22" s="3"/>
    </row>
    <row r="23" spans="4:25" ht="19.5" customHeight="1" x14ac:dyDescent="0.25">
      <c r="D23" s="34" t="s">
        <v>150</v>
      </c>
      <c r="E23" s="10"/>
      <c r="F23" s="3"/>
      <c r="G23" s="10"/>
      <c r="H23" s="3"/>
      <c r="I23" s="10"/>
      <c r="J23" s="3"/>
      <c r="K23" s="10"/>
      <c r="L23" s="3"/>
      <c r="M23" s="10"/>
      <c r="N23" s="3"/>
      <c r="O23" s="3"/>
      <c r="P23" s="3"/>
      <c r="Q23" s="3"/>
      <c r="R23" s="3"/>
      <c r="S23" s="3"/>
      <c r="T23" s="3"/>
      <c r="U23" s="3"/>
      <c r="V23" s="3"/>
      <c r="W23" s="3"/>
      <c r="X23" s="3">
        <f t="shared" si="1"/>
        <v>0</v>
      </c>
      <c r="Y23" s="3"/>
    </row>
    <row r="24" spans="4:25" ht="19.5" customHeight="1" x14ac:dyDescent="0.25">
      <c r="D24" s="34" t="s">
        <v>151</v>
      </c>
      <c r="E24" s="10"/>
      <c r="F24" s="3"/>
      <c r="G24" s="10"/>
      <c r="H24" s="3"/>
      <c r="I24" s="10"/>
      <c r="J24" s="3"/>
      <c r="K24" s="10"/>
      <c r="L24" s="3"/>
      <c r="M24" s="10"/>
      <c r="N24" s="3"/>
      <c r="O24" s="3"/>
      <c r="P24" s="3"/>
      <c r="Q24" s="3"/>
      <c r="R24" s="3">
        <v>0</v>
      </c>
      <c r="S24" s="3"/>
      <c r="T24" s="3"/>
      <c r="U24" s="3"/>
      <c r="V24" s="3"/>
      <c r="W24" s="3"/>
      <c r="X24" s="3">
        <f t="shared" si="1"/>
        <v>0</v>
      </c>
      <c r="Y24" s="3"/>
    </row>
    <row r="25" spans="4:25" ht="19.5" customHeight="1" x14ac:dyDescent="0.25">
      <c r="D25" s="34" t="s">
        <v>62</v>
      </c>
      <c r="E25" s="10"/>
      <c r="F25" s="3"/>
      <c r="G25" s="10"/>
      <c r="H25" s="3"/>
      <c r="I25" s="10"/>
      <c r="J25" s="3"/>
      <c r="K25" s="10"/>
      <c r="L25" s="3"/>
      <c r="M25" s="10"/>
      <c r="N25" s="3"/>
      <c r="O25" s="3"/>
      <c r="P25" s="3"/>
      <c r="Q25" s="3"/>
      <c r="R25" s="3"/>
      <c r="S25" s="3"/>
      <c r="T25" s="3"/>
      <c r="U25" s="3"/>
      <c r="V25" s="3"/>
      <c r="W25" s="3"/>
      <c r="X25" s="3">
        <f t="shared" si="1"/>
        <v>0</v>
      </c>
      <c r="Y25" s="3"/>
    </row>
    <row r="26" spans="4:25" ht="19.5" customHeight="1" x14ac:dyDescent="0.25">
      <c r="D26" s="34" t="s">
        <v>204</v>
      </c>
      <c r="E26" s="10"/>
      <c r="F26" s="3"/>
      <c r="G26" s="10"/>
      <c r="H26" s="3"/>
      <c r="I26" s="10"/>
      <c r="J26" s="3"/>
      <c r="K26" s="10"/>
      <c r="L26" s="3"/>
      <c r="M26" s="10"/>
      <c r="N26" s="3"/>
      <c r="O26" s="3"/>
      <c r="P26" s="3"/>
      <c r="Q26" s="3"/>
      <c r="R26" s="3"/>
      <c r="S26" s="3"/>
      <c r="T26" s="3"/>
      <c r="U26" s="3"/>
      <c r="V26" s="3"/>
      <c r="W26" s="3"/>
      <c r="X26" s="3">
        <f t="shared" si="1"/>
        <v>0</v>
      </c>
      <c r="Y26" s="3"/>
    </row>
    <row r="27" spans="4:25" ht="19.5" customHeight="1" x14ac:dyDescent="0.25">
      <c r="D27" s="34" t="s">
        <v>152</v>
      </c>
      <c r="E27" s="10"/>
      <c r="F27" s="3"/>
      <c r="G27" s="10"/>
      <c r="H27" s="3"/>
      <c r="I27" s="10"/>
      <c r="J27" s="3"/>
      <c r="K27" s="10"/>
      <c r="L27" s="3"/>
      <c r="M27" s="10"/>
      <c r="N27" s="3"/>
      <c r="O27" s="3"/>
      <c r="P27" s="3"/>
      <c r="Q27" s="3"/>
      <c r="R27" s="3"/>
      <c r="S27" s="3"/>
      <c r="T27" s="3"/>
      <c r="U27" s="3"/>
      <c r="V27" s="3"/>
      <c r="W27" s="3"/>
      <c r="X27" s="3">
        <f t="shared" si="1"/>
        <v>0</v>
      </c>
      <c r="Y27" s="3"/>
    </row>
    <row r="28" spans="4:25" ht="19.5" customHeight="1" x14ac:dyDescent="0.25">
      <c r="D28" s="34" t="s">
        <v>153</v>
      </c>
      <c r="E28" s="10"/>
      <c r="F28" s="3"/>
      <c r="G28" s="10"/>
      <c r="H28" s="3"/>
      <c r="I28" s="10"/>
      <c r="J28" s="3"/>
      <c r="K28" s="10"/>
      <c r="L28" s="3"/>
      <c r="M28" s="10"/>
      <c r="N28" s="3"/>
      <c r="O28" s="3"/>
      <c r="P28" s="3"/>
      <c r="Q28" s="3"/>
      <c r="R28" s="3"/>
      <c r="S28" s="3"/>
      <c r="T28" s="3"/>
      <c r="U28" s="3"/>
      <c r="V28" s="3"/>
      <c r="W28" s="3"/>
      <c r="X28" s="3">
        <f t="shared" si="1"/>
        <v>0</v>
      </c>
      <c r="Y28" s="3"/>
    </row>
    <row r="29" spans="4:25" ht="19.5" customHeight="1" x14ac:dyDescent="0.25">
      <c r="D29" s="34" t="s">
        <v>205</v>
      </c>
      <c r="E29" s="10"/>
      <c r="F29" s="3"/>
      <c r="G29" s="10"/>
      <c r="H29" s="3"/>
      <c r="I29" s="10"/>
      <c r="J29" s="3"/>
      <c r="K29" s="10"/>
      <c r="L29" s="3"/>
      <c r="M29" s="10"/>
      <c r="N29" s="3"/>
      <c r="O29" s="3"/>
      <c r="P29" s="3"/>
      <c r="Q29" s="3"/>
      <c r="R29" s="3"/>
      <c r="S29" s="3"/>
      <c r="T29" s="3"/>
      <c r="U29" s="3"/>
      <c r="V29" s="3"/>
      <c r="W29" s="3"/>
      <c r="X29" s="3">
        <f t="shared" si="1"/>
        <v>0</v>
      </c>
      <c r="Y29" s="3"/>
    </row>
    <row r="30" spans="4:25" ht="19.5" customHeight="1" x14ac:dyDescent="0.25">
      <c r="D30" s="34" t="s">
        <v>154</v>
      </c>
      <c r="E30" s="10"/>
      <c r="F30" s="3"/>
      <c r="G30" s="10"/>
      <c r="H30" s="3"/>
      <c r="I30" s="10"/>
      <c r="J30" s="3"/>
      <c r="K30" s="10"/>
      <c r="L30" s="3"/>
      <c r="M30" s="10"/>
      <c r="N30" s="3"/>
      <c r="O30" s="3"/>
      <c r="P30" s="3"/>
      <c r="Q30" s="3"/>
      <c r="R30" s="3"/>
      <c r="S30" s="3"/>
      <c r="T30" s="3"/>
      <c r="U30" s="3"/>
      <c r="V30" s="3"/>
      <c r="W30" s="3"/>
      <c r="X30" s="3">
        <f t="shared" si="1"/>
        <v>0</v>
      </c>
      <c r="Y30" s="3"/>
    </row>
    <row r="31" spans="4:25" ht="19.5" customHeight="1" x14ac:dyDescent="0.25">
      <c r="D31" s="34" t="s">
        <v>155</v>
      </c>
      <c r="E31" s="10"/>
      <c r="F31" s="3"/>
      <c r="G31" s="10"/>
      <c r="H31" s="3"/>
      <c r="I31" s="10"/>
      <c r="J31" s="3"/>
      <c r="K31" s="10"/>
      <c r="L31" s="3"/>
      <c r="M31" s="10"/>
      <c r="N31" s="3"/>
      <c r="O31" s="3"/>
      <c r="P31" s="3"/>
      <c r="Q31" s="3"/>
      <c r="R31" s="3"/>
      <c r="S31" s="3"/>
      <c r="T31" s="3">
        <v>0</v>
      </c>
      <c r="U31" s="3"/>
      <c r="V31" s="3"/>
      <c r="W31" s="3"/>
      <c r="X31" s="3">
        <f t="shared" si="1"/>
        <v>0</v>
      </c>
    </row>
    <row r="32" spans="4:25" ht="19.5" customHeight="1" x14ac:dyDescent="0.25">
      <c r="D32" s="34" t="s">
        <v>156</v>
      </c>
      <c r="E32" s="10"/>
      <c r="F32" s="3"/>
      <c r="G32" s="10"/>
      <c r="H32" s="3"/>
      <c r="I32" s="10"/>
      <c r="J32" s="3"/>
      <c r="K32" s="10"/>
      <c r="L32" s="3"/>
      <c r="M32" s="10"/>
      <c r="N32" s="3"/>
      <c r="O32" s="3"/>
      <c r="P32" s="3"/>
      <c r="Q32" s="3"/>
      <c r="R32" s="3"/>
      <c r="S32" s="3"/>
      <c r="T32" s="3"/>
      <c r="U32" s="3"/>
      <c r="V32" s="3"/>
      <c r="W32" s="3"/>
      <c r="X32" s="3">
        <f t="shared" si="1"/>
        <v>0</v>
      </c>
    </row>
    <row r="33" spans="1:25" ht="19.5" customHeight="1" x14ac:dyDescent="0.25">
      <c r="D33" s="34" t="s">
        <v>206</v>
      </c>
      <c r="E33" s="10"/>
      <c r="F33" s="6"/>
      <c r="G33" s="10"/>
      <c r="H33" s="6"/>
      <c r="I33" s="10"/>
      <c r="J33" s="6"/>
      <c r="K33" s="10"/>
      <c r="L33" s="6"/>
      <c r="M33" s="10"/>
      <c r="N33" s="6"/>
      <c r="O33" s="3"/>
      <c r="P33" s="6"/>
      <c r="Q33" s="3"/>
      <c r="R33" s="6"/>
      <c r="S33" s="3"/>
      <c r="T33" s="6"/>
      <c r="U33" s="3"/>
      <c r="V33" s="6"/>
      <c r="W33" s="3"/>
      <c r="X33" s="6">
        <f>SUM(F33:V33)</f>
        <v>0</v>
      </c>
    </row>
    <row r="34" spans="1:25" ht="22.5" customHeight="1" x14ac:dyDescent="0.25">
      <c r="C34" s="34" t="s">
        <v>85</v>
      </c>
      <c r="E34" s="10"/>
      <c r="F34" s="7">
        <f>SUM(F15:F33)</f>
        <v>0</v>
      </c>
      <c r="G34" s="10"/>
      <c r="H34" s="7">
        <f>SUM(H15:H33)</f>
        <v>0</v>
      </c>
      <c r="I34" s="10"/>
      <c r="J34" s="7">
        <f>SUM(J15:J33)</f>
        <v>0</v>
      </c>
      <c r="K34" s="10"/>
      <c r="L34" s="7">
        <f>SUM(L15:L33)</f>
        <v>0</v>
      </c>
      <c r="M34" s="10"/>
      <c r="N34" s="7">
        <f>SUM(N15:N33)</f>
        <v>0</v>
      </c>
      <c r="O34" s="3"/>
      <c r="P34" s="7">
        <f>SUM(P15:P33)</f>
        <v>0</v>
      </c>
      <c r="Q34" s="3"/>
      <c r="R34" s="7">
        <f>SUM(R15:R33)</f>
        <v>0</v>
      </c>
      <c r="S34" s="3"/>
      <c r="T34" s="7">
        <f>SUM(T15:T33)</f>
        <v>0</v>
      </c>
      <c r="U34" s="3"/>
      <c r="V34" s="7">
        <f>SUM(V15:V33)</f>
        <v>0</v>
      </c>
      <c r="W34" s="3"/>
      <c r="X34" s="6">
        <f>ROUND(SUM(X14:X33),5)</f>
        <v>0</v>
      </c>
    </row>
    <row r="35" spans="1:25" ht="28.5" customHeight="1" thickBot="1" x14ac:dyDescent="0.3">
      <c r="B35" s="5"/>
      <c r="C35" s="34" t="s">
        <v>157</v>
      </c>
      <c r="E35" s="3">
        <f>+E17-E34</f>
        <v>0</v>
      </c>
      <c r="F35" s="87">
        <f>+F13-F34</f>
        <v>0</v>
      </c>
      <c r="G35" s="3"/>
      <c r="H35" s="87">
        <f>+H13-H34</f>
        <v>0</v>
      </c>
      <c r="I35" s="3"/>
      <c r="J35" s="87">
        <f>+J13-J34</f>
        <v>0</v>
      </c>
      <c r="K35" s="3"/>
      <c r="L35" s="87">
        <f>+L13-L34</f>
        <v>0</v>
      </c>
      <c r="M35" s="3"/>
      <c r="N35" s="87">
        <f>+N13-N34</f>
        <v>0</v>
      </c>
      <c r="O35" s="3"/>
      <c r="P35" s="87">
        <f>+P13-P34</f>
        <v>0</v>
      </c>
      <c r="Q35" s="3"/>
      <c r="R35" s="87">
        <f>+R13-R34</f>
        <v>95412.85</v>
      </c>
      <c r="S35" s="3"/>
      <c r="T35" s="87">
        <f>+T13-T34</f>
        <v>51376.15</v>
      </c>
      <c r="U35" s="3"/>
      <c r="V35" s="87">
        <f>+V13-V34</f>
        <v>0</v>
      </c>
      <c r="W35" s="3"/>
      <c r="X35" s="87">
        <f>+X13-X34</f>
        <v>146789</v>
      </c>
      <c r="Y35" s="3">
        <f>+Y17-Y34</f>
        <v>0</v>
      </c>
    </row>
    <row r="36" spans="1:25" ht="16.5" thickTop="1" x14ac:dyDescent="0.25">
      <c r="A36" s="46"/>
      <c r="B36" s="5"/>
      <c r="C36" s="46"/>
      <c r="D36" s="46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5" x14ac:dyDescent="0.25">
      <c r="A37" s="46"/>
      <c r="B37" s="5"/>
      <c r="D37" s="46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 t="s">
        <v>213</v>
      </c>
      <c r="S37" s="4"/>
      <c r="U37" s="4"/>
      <c r="V37" s="4"/>
      <c r="W37" s="4"/>
      <c r="X37" s="3">
        <f>+'Capital Projects Lead'!F41</f>
        <v>434091.73</v>
      </c>
    </row>
    <row r="38" spans="1:25" x14ac:dyDescent="0.25">
      <c r="A38" s="46"/>
      <c r="B38" s="5"/>
      <c r="D38" s="46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U38" s="4"/>
      <c r="V38" s="4"/>
      <c r="W38" s="4"/>
      <c r="X38" s="4"/>
    </row>
    <row r="39" spans="1:25" x14ac:dyDescent="0.25">
      <c r="A39" s="46"/>
      <c r="B39" s="5"/>
      <c r="D39" s="46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 t="s">
        <v>214</v>
      </c>
      <c r="S39" s="4"/>
      <c r="U39" s="4"/>
      <c r="V39" s="4"/>
      <c r="W39" s="4"/>
      <c r="X39" s="47">
        <v>0</v>
      </c>
    </row>
    <row r="40" spans="1:25" x14ac:dyDescent="0.25">
      <c r="A40" s="46"/>
      <c r="B40" s="46"/>
      <c r="C40" s="46"/>
      <c r="D40" s="46"/>
      <c r="E40" s="5"/>
      <c r="F40" s="4"/>
      <c r="G40" s="5"/>
      <c r="H40" s="4"/>
      <c r="I40" s="5"/>
      <c r="J40" s="4"/>
      <c r="K40" s="5"/>
      <c r="L40" s="4"/>
      <c r="M40" s="5"/>
      <c r="N40" s="4"/>
      <c r="O40" s="4"/>
      <c r="P40" s="4"/>
      <c r="Q40" s="4"/>
      <c r="R40" s="4"/>
      <c r="S40" s="4"/>
      <c r="U40" s="4"/>
      <c r="V40" s="4"/>
      <c r="W40" s="4"/>
      <c r="X40" s="4"/>
    </row>
    <row r="41" spans="1:25" ht="16.5" thickBot="1" x14ac:dyDescent="0.3">
      <c r="A41" s="46"/>
      <c r="B41" s="46"/>
      <c r="C41" s="46"/>
      <c r="D41" s="46"/>
      <c r="E41" s="5"/>
      <c r="F41" s="4"/>
      <c r="G41" s="5"/>
      <c r="H41" s="4"/>
      <c r="I41" s="5"/>
      <c r="J41" s="4"/>
      <c r="K41" s="5"/>
      <c r="L41" s="4"/>
      <c r="M41" s="5"/>
      <c r="N41" s="4"/>
      <c r="O41" s="4"/>
      <c r="P41" s="4"/>
      <c r="Q41" s="4"/>
      <c r="R41" s="4" t="s">
        <v>215</v>
      </c>
      <c r="S41" s="4"/>
      <c r="U41" s="4"/>
      <c r="V41" s="4"/>
      <c r="W41" s="4"/>
      <c r="X41" s="87">
        <f>SUM(X35:X39)</f>
        <v>580880.73</v>
      </c>
    </row>
    <row r="42" spans="1:25" ht="16.5" thickTop="1" x14ac:dyDescent="0.25">
      <c r="A42" s="46"/>
      <c r="B42" s="46"/>
      <c r="C42" s="46"/>
      <c r="D42" s="46"/>
      <c r="E42" s="5"/>
      <c r="F42" s="4"/>
      <c r="G42" s="5"/>
      <c r="H42" s="4"/>
      <c r="I42" s="5"/>
      <c r="J42" s="4"/>
      <c r="K42" s="5"/>
      <c r="L42" s="4"/>
      <c r="M42" s="5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5" x14ac:dyDescent="0.25">
      <c r="A43" s="46"/>
      <c r="B43" s="46"/>
      <c r="C43" s="46"/>
      <c r="D43" s="46"/>
      <c r="E43" s="5"/>
      <c r="F43" s="4"/>
      <c r="G43" s="5"/>
      <c r="H43" s="4"/>
      <c r="I43" s="5"/>
      <c r="J43" s="4"/>
      <c r="K43" s="5"/>
      <c r="L43" s="4"/>
      <c r="M43" s="5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5" x14ac:dyDescent="0.25">
      <c r="A44" s="46"/>
      <c r="B44" s="46"/>
      <c r="C44" s="46"/>
      <c r="D44" s="46"/>
      <c r="E44" s="5"/>
      <c r="F44" s="4"/>
      <c r="G44" s="5"/>
      <c r="H44" s="4"/>
      <c r="I44" s="5"/>
      <c r="J44" s="4"/>
      <c r="K44" s="5"/>
      <c r="L44" s="4"/>
      <c r="M44" s="5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</sheetData>
  <phoneticPr fontId="0" type="noConversion"/>
  <printOptions horizontalCentered="1"/>
  <pageMargins left="0.7" right="0.7" top="0.75" bottom="0.75" header="0.3" footer="0.3"/>
  <pageSetup scale="63" orientation="landscape" r:id="rId1"/>
  <headerFooter>
    <oddHeader>&amp;CFlagler Estates Road and Water Control District
Summary of Capital Projects
October 2017 - September 2018</oddHeader>
    <oddFooter>&amp;L&amp;F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O44"/>
  <sheetViews>
    <sheetView view="pageLayout" topLeftCell="A28" zoomScaleNormal="100" workbookViewId="0">
      <pane xSplit="9000" ySplit="4005" topLeftCell="E1" activePane="topRight"/>
      <selection activeCell="A4" sqref="A4"/>
      <selection pane="topRight" activeCell="H30" sqref="H30"/>
      <selection pane="bottomLeft" activeCell="A4" sqref="A4"/>
      <selection pane="bottomRight" activeCell="H3" sqref="H3"/>
    </sheetView>
  </sheetViews>
  <sheetFormatPr defaultRowHeight="15.75" x14ac:dyDescent="0.25"/>
  <cols>
    <col min="1" max="3" width="3" style="34" customWidth="1"/>
    <col min="4" max="4" width="46" style="34" customWidth="1"/>
    <col min="5" max="5" width="2.28515625" style="83" customWidth="1"/>
    <col min="6" max="6" width="17.85546875" style="83" customWidth="1"/>
    <col min="7" max="7" width="2.28515625" style="83" customWidth="1"/>
    <col min="8" max="8" width="17.85546875" style="83" customWidth="1"/>
    <col min="9" max="9" width="2.28515625" style="4" customWidth="1"/>
    <col min="10" max="10" width="18" style="83" customWidth="1"/>
    <col min="11" max="11" width="15.85546875" style="5" customWidth="1"/>
    <col min="12" max="12" width="4.28515625" style="5" customWidth="1"/>
    <col min="13" max="13" width="19.7109375" style="5" customWidth="1"/>
    <col min="14" max="14" width="3.42578125" style="5" customWidth="1"/>
    <col min="15" max="15" width="19.7109375" style="5" customWidth="1"/>
    <col min="16" max="16384" width="9.140625" style="5"/>
  </cols>
  <sheetData>
    <row r="1" spans="1:15" x14ac:dyDescent="0.25">
      <c r="E1" s="79"/>
      <c r="F1" s="79"/>
      <c r="G1" s="79"/>
      <c r="H1" s="79"/>
      <c r="J1" s="79"/>
    </row>
    <row r="2" spans="1:15" s="2" customFormat="1" x14ac:dyDescent="0.25">
      <c r="A2" s="80"/>
      <c r="B2" s="80"/>
      <c r="C2" s="80"/>
      <c r="D2" s="80"/>
      <c r="E2" s="81"/>
      <c r="F2" s="80"/>
      <c r="G2" s="81"/>
      <c r="H2" s="80"/>
      <c r="I2" s="4"/>
      <c r="J2" s="84" t="s">
        <v>207</v>
      </c>
      <c r="K2" s="33"/>
      <c r="M2" s="70" t="s">
        <v>171</v>
      </c>
      <c r="N2" s="70"/>
      <c r="O2" s="69"/>
    </row>
    <row r="3" spans="1:15" ht="31.5" x14ac:dyDescent="0.25">
      <c r="A3" s="34" t="s">
        <v>341</v>
      </c>
      <c r="E3" s="10"/>
      <c r="F3" s="97" t="s">
        <v>348</v>
      </c>
      <c r="G3" s="10"/>
      <c r="H3" s="97" t="s">
        <v>347</v>
      </c>
      <c r="I3" s="1"/>
      <c r="J3" s="85" t="s">
        <v>98</v>
      </c>
      <c r="K3" s="86" t="s">
        <v>208</v>
      </c>
      <c r="M3" s="2" t="s">
        <v>330</v>
      </c>
      <c r="N3" s="2"/>
      <c r="O3" s="2" t="s">
        <v>331</v>
      </c>
    </row>
    <row r="4" spans="1:15" ht="30" customHeight="1" x14ac:dyDescent="0.25">
      <c r="C4" s="34" t="s">
        <v>71</v>
      </c>
      <c r="E4" s="10"/>
      <c r="F4" s="82"/>
      <c r="G4" s="10"/>
      <c r="H4" s="82"/>
      <c r="J4" s="82"/>
    </row>
    <row r="5" spans="1:15" x14ac:dyDescent="0.25">
      <c r="D5" s="34" t="s">
        <v>141</v>
      </c>
      <c r="E5" s="10"/>
      <c r="F5" s="3">
        <f>+'CIP Amend 2019'!J5</f>
        <v>205505</v>
      </c>
      <c r="G5" s="3"/>
      <c r="H5" s="3">
        <f>+'Assessment Schedule'!H20</f>
        <v>146789</v>
      </c>
      <c r="I5" s="3"/>
      <c r="J5" s="3">
        <f>+H5-F5</f>
        <v>-58716</v>
      </c>
      <c r="K5" s="15">
        <f>ROUND((J5/F5),4)</f>
        <v>-0.28570000000000001</v>
      </c>
      <c r="L5" s="4"/>
      <c r="M5" s="4">
        <f>ROUND((F5/6180.61),2)</f>
        <v>33.25</v>
      </c>
      <c r="N5" s="4"/>
      <c r="O5" s="4">
        <f>ROUND((H5/6180.61),2)</f>
        <v>23.75</v>
      </c>
    </row>
    <row r="6" spans="1:15" x14ac:dyDescent="0.25">
      <c r="D6" s="34" t="s">
        <v>142</v>
      </c>
      <c r="E6" s="10"/>
      <c r="F6" s="3">
        <f>+'CIP Amend 2019'!J6</f>
        <v>0</v>
      </c>
      <c r="G6" s="3"/>
      <c r="H6" s="3">
        <f>+'CIP 2018 Summary'!X6</f>
        <v>0</v>
      </c>
      <c r="I6" s="3"/>
      <c r="J6" s="3">
        <f t="shared" ref="J6:J12" si="0">+H6-F6</f>
        <v>0</v>
      </c>
      <c r="K6" s="15"/>
      <c r="L6" s="4"/>
      <c r="M6" s="4">
        <f t="shared" ref="M6:M12" si="1">ROUND((F6/6180.61),2)</f>
        <v>0</v>
      </c>
      <c r="N6" s="4"/>
      <c r="O6" s="4">
        <f t="shared" ref="O6:O11" si="2">ROUND((H6/6180.61),2)</f>
        <v>0</v>
      </c>
    </row>
    <row r="7" spans="1:15" x14ac:dyDescent="0.25">
      <c r="D7" s="34" t="s">
        <v>191</v>
      </c>
      <c r="E7" s="10"/>
      <c r="F7" s="3">
        <f>+'CIP Amend 2019'!J7</f>
        <v>0</v>
      </c>
      <c r="G7" s="3"/>
      <c r="H7" s="3">
        <f>+'CIP 2018 Summary'!X7</f>
        <v>0</v>
      </c>
      <c r="I7" s="3"/>
      <c r="J7" s="3">
        <f t="shared" si="0"/>
        <v>0</v>
      </c>
      <c r="K7" s="15"/>
      <c r="L7" s="4"/>
      <c r="M7" s="4">
        <f t="shared" si="1"/>
        <v>0</v>
      </c>
      <c r="N7" s="4"/>
      <c r="O7" s="4">
        <f t="shared" si="2"/>
        <v>0</v>
      </c>
    </row>
    <row r="8" spans="1:15" x14ac:dyDescent="0.25">
      <c r="D8" s="34" t="s">
        <v>200</v>
      </c>
      <c r="E8" s="10"/>
      <c r="F8" s="3">
        <f>+'CIP Amend 2019'!J8</f>
        <v>0</v>
      </c>
      <c r="G8" s="3"/>
      <c r="H8" s="3">
        <f>+'CIP 2018 Summary'!X8</f>
        <v>0</v>
      </c>
      <c r="I8" s="3"/>
      <c r="J8" s="3">
        <f t="shared" si="0"/>
        <v>0</v>
      </c>
      <c r="K8" s="15"/>
      <c r="L8" s="4"/>
      <c r="M8" s="4">
        <f t="shared" si="1"/>
        <v>0</v>
      </c>
      <c r="N8" s="4"/>
      <c r="O8" s="4">
        <f t="shared" si="2"/>
        <v>0</v>
      </c>
    </row>
    <row r="9" spans="1:15" x14ac:dyDescent="0.25">
      <c r="D9" s="34" t="s">
        <v>201</v>
      </c>
      <c r="E9" s="10"/>
      <c r="F9" s="3">
        <f>+'CIP Amend 2019'!J9</f>
        <v>0</v>
      </c>
      <c r="G9" s="3"/>
      <c r="H9" s="3">
        <f>+'CIP 2018 Summary'!X9</f>
        <v>0</v>
      </c>
      <c r="I9" s="3"/>
      <c r="J9" s="3">
        <f t="shared" si="0"/>
        <v>0</v>
      </c>
      <c r="K9" s="15"/>
      <c r="L9" s="4"/>
      <c r="M9" s="4">
        <f t="shared" si="1"/>
        <v>0</v>
      </c>
      <c r="N9" s="4"/>
      <c r="O9" s="4">
        <f t="shared" si="2"/>
        <v>0</v>
      </c>
    </row>
    <row r="10" spans="1:15" x14ac:dyDescent="0.25">
      <c r="D10" s="34" t="s">
        <v>202</v>
      </c>
      <c r="E10" s="10"/>
      <c r="F10" s="3">
        <f>+'CIP Amend 2019'!J10</f>
        <v>0</v>
      </c>
      <c r="G10" s="3"/>
      <c r="H10" s="3">
        <f>+'CIP 2018 Summary'!X10</f>
        <v>0</v>
      </c>
      <c r="I10" s="3"/>
      <c r="J10" s="3">
        <f t="shared" si="0"/>
        <v>0</v>
      </c>
      <c r="K10" s="15"/>
      <c r="L10" s="4"/>
      <c r="M10" s="4">
        <f t="shared" si="1"/>
        <v>0</v>
      </c>
      <c r="N10" s="4"/>
      <c r="O10" s="4">
        <f t="shared" si="2"/>
        <v>0</v>
      </c>
    </row>
    <row r="11" spans="1:15" x14ac:dyDescent="0.25">
      <c r="D11" s="34" t="s">
        <v>217</v>
      </c>
      <c r="E11" s="10"/>
      <c r="F11" s="3">
        <v>0</v>
      </c>
      <c r="G11" s="3"/>
      <c r="H11" s="3">
        <f>-'CIP 2018 Summary'!X39</f>
        <v>0</v>
      </c>
      <c r="I11" s="3"/>
      <c r="J11" s="3"/>
      <c r="K11" s="15"/>
      <c r="L11" s="4"/>
      <c r="M11" s="4"/>
      <c r="N11" s="4"/>
      <c r="O11" s="4">
        <f t="shared" si="2"/>
        <v>0</v>
      </c>
    </row>
    <row r="12" spans="1:15" x14ac:dyDescent="0.25">
      <c r="D12" s="34" t="s">
        <v>143</v>
      </c>
      <c r="E12" s="10"/>
      <c r="F12" s="6">
        <f>+'CIP Amend 2019'!J11</f>
        <v>0</v>
      </c>
      <c r="G12" s="3"/>
      <c r="H12" s="6">
        <v>0</v>
      </c>
      <c r="I12" s="3"/>
      <c r="J12" s="6">
        <f t="shared" si="0"/>
        <v>0</v>
      </c>
      <c r="K12" s="49"/>
      <c r="L12" s="4"/>
      <c r="M12" s="47">
        <f t="shared" si="1"/>
        <v>0</v>
      </c>
      <c r="N12" s="4"/>
      <c r="O12" s="47"/>
    </row>
    <row r="13" spans="1:15" x14ac:dyDescent="0.25">
      <c r="C13" s="34" t="s">
        <v>80</v>
      </c>
      <c r="E13" s="10"/>
      <c r="F13" s="3">
        <f>ROUND(SUM(F4:F12),5)</f>
        <v>205505</v>
      </c>
      <c r="G13" s="3"/>
      <c r="H13" s="3">
        <f>ROUND(SUM(H4:H12),5)</f>
        <v>146789</v>
      </c>
      <c r="I13" s="3"/>
      <c r="J13" s="3">
        <f>ROUND(SUM(J4:J12),5)</f>
        <v>-58716</v>
      </c>
      <c r="K13" s="15">
        <f>ROUND((J13/F13),4)</f>
        <v>-0.28570000000000001</v>
      </c>
      <c r="L13" s="4"/>
      <c r="M13" s="4">
        <f>SUM(M5:M12)</f>
        <v>33.25</v>
      </c>
      <c r="N13" s="4"/>
      <c r="O13" s="4">
        <f>SUM(O5:O12)</f>
        <v>23.75</v>
      </c>
    </row>
    <row r="14" spans="1:15" ht="30" customHeight="1" x14ac:dyDescent="0.25">
      <c r="C14" s="34" t="s">
        <v>81</v>
      </c>
      <c r="E14" s="10"/>
      <c r="F14" s="3"/>
      <c r="G14" s="3"/>
      <c r="H14" s="3"/>
      <c r="I14" s="3"/>
      <c r="J14" s="3"/>
      <c r="K14" s="4"/>
      <c r="L14" s="4"/>
      <c r="O14" s="4">
        <f t="shared" ref="O14:O25" si="3">ROUND((H14/6180.61),2)</f>
        <v>0</v>
      </c>
    </row>
    <row r="15" spans="1:15" x14ac:dyDescent="0.25">
      <c r="D15" s="34" t="s">
        <v>144</v>
      </c>
      <c r="E15" s="10"/>
      <c r="F15" s="3">
        <f>+'CIP Amend 2019'!J14</f>
        <v>0</v>
      </c>
      <c r="G15" s="3"/>
      <c r="H15" s="3">
        <f>+'CIP 2018 Summary'!X15</f>
        <v>0</v>
      </c>
      <c r="I15" s="3"/>
      <c r="J15" s="3">
        <f>+H15-F15</f>
        <v>0</v>
      </c>
      <c r="K15" s="15"/>
      <c r="L15" s="4"/>
      <c r="M15" s="4">
        <f t="shared" ref="M15:M33" si="4">ROUND((F15/6180.61),2)</f>
        <v>0</v>
      </c>
      <c r="N15" s="4"/>
      <c r="O15" s="4">
        <f t="shared" si="3"/>
        <v>0</v>
      </c>
    </row>
    <row r="16" spans="1:15" x14ac:dyDescent="0.25">
      <c r="D16" s="34" t="s">
        <v>145</v>
      </c>
      <c r="E16" s="10"/>
      <c r="F16" s="3">
        <f>+'CIP Amend 2019'!J15</f>
        <v>0</v>
      </c>
      <c r="G16" s="3"/>
      <c r="H16" s="3">
        <f>+'CIP 2018 Summary'!X16</f>
        <v>0</v>
      </c>
      <c r="I16" s="3"/>
      <c r="J16" s="3">
        <f t="shared" ref="J16:J32" si="5">+H16-F16</f>
        <v>0</v>
      </c>
      <c r="K16" s="15"/>
      <c r="L16" s="4"/>
      <c r="M16" s="4">
        <f t="shared" si="4"/>
        <v>0</v>
      </c>
      <c r="N16" s="4"/>
      <c r="O16" s="4">
        <f t="shared" si="3"/>
        <v>0</v>
      </c>
    </row>
    <row r="17" spans="4:15" x14ac:dyDescent="0.25">
      <c r="D17" s="34" t="s">
        <v>146</v>
      </c>
      <c r="E17" s="10"/>
      <c r="F17" s="3">
        <f>+'CIP Amend 2019'!J16</f>
        <v>0</v>
      </c>
      <c r="G17" s="3"/>
      <c r="H17" s="3">
        <f>+'CIP 2018 Summary'!X17</f>
        <v>0</v>
      </c>
      <c r="I17" s="3"/>
      <c r="J17" s="3">
        <f t="shared" si="5"/>
        <v>0</v>
      </c>
      <c r="K17" s="15"/>
      <c r="L17" s="4"/>
      <c r="M17" s="4">
        <f t="shared" si="4"/>
        <v>0</v>
      </c>
      <c r="N17" s="4"/>
      <c r="O17" s="4">
        <f t="shared" si="3"/>
        <v>0</v>
      </c>
    </row>
    <row r="18" spans="4:15" x14ac:dyDescent="0.25">
      <c r="D18" s="34" t="s">
        <v>147</v>
      </c>
      <c r="E18" s="10"/>
      <c r="F18" s="3">
        <f>+'CIP Amend 2019'!J17</f>
        <v>0</v>
      </c>
      <c r="G18" s="3"/>
      <c r="H18" s="3">
        <f>+'CIP 2018 Summary'!X18</f>
        <v>0</v>
      </c>
      <c r="I18" s="3"/>
      <c r="J18" s="3">
        <f t="shared" si="5"/>
        <v>0</v>
      </c>
      <c r="K18" s="15"/>
      <c r="L18" s="4"/>
      <c r="M18" s="4">
        <f t="shared" si="4"/>
        <v>0</v>
      </c>
      <c r="N18" s="4"/>
      <c r="O18" s="4">
        <f t="shared" si="3"/>
        <v>0</v>
      </c>
    </row>
    <row r="19" spans="4:15" x14ac:dyDescent="0.25">
      <c r="D19" s="34" t="s">
        <v>53</v>
      </c>
      <c r="E19" s="10"/>
      <c r="F19" s="3">
        <f>+'CIP Amend 2019'!J18</f>
        <v>0</v>
      </c>
      <c r="G19" s="3"/>
      <c r="H19" s="3">
        <f>+'CIP 2018 Summary'!X19</f>
        <v>0</v>
      </c>
      <c r="I19" s="3"/>
      <c r="J19" s="3">
        <f t="shared" si="5"/>
        <v>0</v>
      </c>
      <c r="K19" s="15"/>
      <c r="L19" s="4"/>
      <c r="M19" s="4">
        <f t="shared" si="4"/>
        <v>0</v>
      </c>
      <c r="N19" s="4"/>
      <c r="O19" s="4">
        <f t="shared" si="3"/>
        <v>0</v>
      </c>
    </row>
    <row r="20" spans="4:15" x14ac:dyDescent="0.25">
      <c r="D20" s="34" t="s">
        <v>148</v>
      </c>
      <c r="E20" s="10"/>
      <c r="F20" s="3">
        <v>0</v>
      </c>
      <c r="G20" s="3"/>
      <c r="H20" s="3">
        <v>0</v>
      </c>
      <c r="I20" s="3"/>
      <c r="J20" s="3">
        <f t="shared" si="5"/>
        <v>0</v>
      </c>
      <c r="K20" s="15"/>
      <c r="L20" s="4"/>
      <c r="M20" s="4">
        <f t="shared" si="4"/>
        <v>0</v>
      </c>
      <c r="N20" s="4"/>
      <c r="O20" s="4">
        <f t="shared" si="3"/>
        <v>0</v>
      </c>
    </row>
    <row r="21" spans="4:15" x14ac:dyDescent="0.25">
      <c r="D21" s="34" t="s">
        <v>149</v>
      </c>
      <c r="E21" s="10"/>
      <c r="F21" s="3">
        <v>0</v>
      </c>
      <c r="G21" s="3"/>
      <c r="H21" s="3">
        <v>0</v>
      </c>
      <c r="I21" s="3"/>
      <c r="J21" s="3">
        <f t="shared" si="5"/>
        <v>0</v>
      </c>
      <c r="K21" s="15"/>
      <c r="L21" s="4"/>
      <c r="M21" s="4">
        <f t="shared" si="4"/>
        <v>0</v>
      </c>
      <c r="N21" s="4"/>
      <c r="O21" s="4">
        <f t="shared" si="3"/>
        <v>0</v>
      </c>
    </row>
    <row r="22" spans="4:15" x14ac:dyDescent="0.25">
      <c r="D22" s="34" t="s">
        <v>203</v>
      </c>
      <c r="E22" s="10"/>
      <c r="F22" s="3">
        <f>+'CIP Amend 2019'!J21</f>
        <v>0</v>
      </c>
      <c r="G22" s="3"/>
      <c r="H22" s="3">
        <f>+'CIP 2018 Summary'!X22</f>
        <v>0</v>
      </c>
      <c r="I22" s="3"/>
      <c r="J22" s="3">
        <f t="shared" si="5"/>
        <v>0</v>
      </c>
      <c r="K22" s="15"/>
      <c r="L22" s="4"/>
      <c r="M22" s="4">
        <f t="shared" si="4"/>
        <v>0</v>
      </c>
      <c r="N22" s="4"/>
      <c r="O22" s="4">
        <f t="shared" si="3"/>
        <v>0</v>
      </c>
    </row>
    <row r="23" spans="4:15" x14ac:dyDescent="0.25">
      <c r="D23" s="34" t="s">
        <v>326</v>
      </c>
      <c r="E23" s="10"/>
      <c r="F23" s="3">
        <v>0</v>
      </c>
      <c r="G23" s="3"/>
      <c r="H23" s="3">
        <v>0</v>
      </c>
      <c r="I23" s="3"/>
      <c r="J23" s="3">
        <f t="shared" si="5"/>
        <v>0</v>
      </c>
      <c r="K23" s="15">
        <v>0</v>
      </c>
      <c r="L23" s="4"/>
      <c r="M23" s="4">
        <f t="shared" si="4"/>
        <v>0</v>
      </c>
      <c r="N23" s="4"/>
      <c r="O23" s="4">
        <f t="shared" si="3"/>
        <v>0</v>
      </c>
    </row>
    <row r="24" spans="4:15" x14ac:dyDescent="0.25">
      <c r="D24" s="34" t="s">
        <v>327</v>
      </c>
      <c r="E24" s="10"/>
      <c r="F24" s="3">
        <v>0</v>
      </c>
      <c r="G24" s="3"/>
      <c r="H24" s="3">
        <v>0</v>
      </c>
      <c r="I24" s="3"/>
      <c r="J24" s="3">
        <f t="shared" si="5"/>
        <v>0</v>
      </c>
      <c r="K24" s="15">
        <v>0</v>
      </c>
      <c r="L24" s="4"/>
      <c r="M24" s="4">
        <f t="shared" si="4"/>
        <v>0</v>
      </c>
      <c r="N24" s="4"/>
      <c r="O24" s="4">
        <f t="shared" si="3"/>
        <v>0</v>
      </c>
    </row>
    <row r="25" spans="4:15" x14ac:dyDescent="0.25">
      <c r="D25" s="34" t="s">
        <v>62</v>
      </c>
      <c r="E25" s="10"/>
      <c r="F25" s="3">
        <f>+'CIP Amend 2019'!J24</f>
        <v>0</v>
      </c>
      <c r="G25" s="3"/>
      <c r="H25" s="3">
        <f>+'CIP 2018 Summary'!X25</f>
        <v>0</v>
      </c>
      <c r="I25" s="3"/>
      <c r="J25" s="3">
        <f t="shared" si="5"/>
        <v>0</v>
      </c>
      <c r="K25" s="15"/>
      <c r="L25" s="4"/>
      <c r="M25" s="4">
        <f t="shared" si="4"/>
        <v>0</v>
      </c>
      <c r="N25" s="4"/>
      <c r="O25" s="4">
        <f t="shared" si="3"/>
        <v>0</v>
      </c>
    </row>
    <row r="26" spans="4:15" x14ac:dyDescent="0.25">
      <c r="D26" s="34" t="s">
        <v>204</v>
      </c>
      <c r="E26" s="10"/>
      <c r="F26" s="3">
        <f>+'CIP Amend 2019'!J25</f>
        <v>0</v>
      </c>
      <c r="G26" s="3"/>
      <c r="H26" s="3">
        <f>+'CIP 2018 Summary'!X26</f>
        <v>0</v>
      </c>
      <c r="I26" s="3"/>
      <c r="J26" s="3">
        <f t="shared" si="5"/>
        <v>0</v>
      </c>
      <c r="K26" s="15"/>
      <c r="L26" s="4"/>
      <c r="M26" s="4">
        <f t="shared" si="4"/>
        <v>0</v>
      </c>
      <c r="N26" s="4"/>
      <c r="O26" s="4">
        <f t="shared" ref="O26:O33" si="6">ROUND((H26/6180.61),2)</f>
        <v>0</v>
      </c>
    </row>
    <row r="27" spans="4:15" x14ac:dyDescent="0.25">
      <c r="D27" s="34" t="s">
        <v>152</v>
      </c>
      <c r="E27" s="10"/>
      <c r="F27" s="3">
        <f>+'CIP Amend 2019'!J26</f>
        <v>0</v>
      </c>
      <c r="G27" s="3"/>
      <c r="H27" s="3">
        <f>+'CIP 2018 Summary'!X27</f>
        <v>0</v>
      </c>
      <c r="I27" s="3"/>
      <c r="J27" s="3">
        <f t="shared" si="5"/>
        <v>0</v>
      </c>
      <c r="K27" s="15"/>
      <c r="L27" s="4"/>
      <c r="M27" s="4">
        <f t="shared" si="4"/>
        <v>0</v>
      </c>
      <c r="N27" s="4"/>
      <c r="O27" s="4">
        <f t="shared" si="6"/>
        <v>0</v>
      </c>
    </row>
    <row r="28" spans="4:15" x14ac:dyDescent="0.25">
      <c r="E28" s="10"/>
      <c r="F28" s="3">
        <f>+'CIP Amend 2019'!J27</f>
        <v>0</v>
      </c>
      <c r="G28" s="3"/>
      <c r="H28" s="3">
        <f>+'CIP 2018 Summary'!X28</f>
        <v>0</v>
      </c>
      <c r="I28" s="3"/>
      <c r="J28" s="3">
        <f t="shared" si="5"/>
        <v>0</v>
      </c>
      <c r="K28" s="15"/>
      <c r="L28" s="4"/>
      <c r="M28" s="4">
        <f t="shared" si="4"/>
        <v>0</v>
      </c>
      <c r="N28" s="4"/>
      <c r="O28" s="4">
        <f t="shared" si="6"/>
        <v>0</v>
      </c>
    </row>
    <row r="29" spans="4:15" x14ac:dyDescent="0.25">
      <c r="D29" s="34" t="s">
        <v>205</v>
      </c>
      <c r="E29" s="10"/>
      <c r="F29" s="3">
        <f>+'CIP Amend 2019'!J28</f>
        <v>0</v>
      </c>
      <c r="G29" s="3"/>
      <c r="H29" s="3">
        <v>0</v>
      </c>
      <c r="I29" s="3"/>
      <c r="J29" s="3">
        <f t="shared" si="5"/>
        <v>0</v>
      </c>
      <c r="K29" s="15"/>
      <c r="L29" s="4"/>
      <c r="M29" s="4">
        <f t="shared" si="4"/>
        <v>0</v>
      </c>
      <c r="N29" s="4"/>
      <c r="O29" s="4">
        <f t="shared" si="6"/>
        <v>0</v>
      </c>
    </row>
    <row r="30" spans="4:15" x14ac:dyDescent="0.25">
      <c r="D30" s="34" t="s">
        <v>154</v>
      </c>
      <c r="E30" s="10"/>
      <c r="F30" s="3">
        <f>+'CIP Amend 2019'!J29</f>
        <v>0</v>
      </c>
      <c r="G30" s="3"/>
      <c r="H30" s="3">
        <v>0</v>
      </c>
      <c r="I30" s="3"/>
      <c r="J30" s="3">
        <f t="shared" si="5"/>
        <v>0</v>
      </c>
      <c r="K30" s="15"/>
      <c r="L30" s="4"/>
      <c r="M30" s="4">
        <f t="shared" si="4"/>
        <v>0</v>
      </c>
      <c r="N30" s="4"/>
      <c r="O30" s="4">
        <f t="shared" si="6"/>
        <v>0</v>
      </c>
    </row>
    <row r="31" spans="4:15" x14ac:dyDescent="0.25">
      <c r="D31" s="34" t="s">
        <v>328</v>
      </c>
      <c r="E31" s="10"/>
      <c r="F31" s="3">
        <f>+'CIP Amend 2019'!J30</f>
        <v>0</v>
      </c>
      <c r="G31" s="3"/>
      <c r="H31" s="3">
        <v>0</v>
      </c>
      <c r="J31" s="3">
        <f t="shared" si="5"/>
        <v>0</v>
      </c>
      <c r="K31" s="15"/>
      <c r="L31" s="4"/>
      <c r="M31" s="4">
        <f t="shared" si="4"/>
        <v>0</v>
      </c>
      <c r="N31" s="4"/>
      <c r="O31" s="4">
        <f t="shared" si="6"/>
        <v>0</v>
      </c>
    </row>
    <row r="32" spans="4:15" x14ac:dyDescent="0.25">
      <c r="D32" s="34" t="s">
        <v>156</v>
      </c>
      <c r="E32" s="10"/>
      <c r="F32" s="3">
        <f>+'CIP Amend 2019'!J31</f>
        <v>0</v>
      </c>
      <c r="G32" s="3"/>
      <c r="H32" s="3">
        <v>0</v>
      </c>
      <c r="J32" s="3">
        <f t="shared" si="5"/>
        <v>0</v>
      </c>
      <c r="K32" s="15"/>
      <c r="L32" s="4"/>
      <c r="M32" s="4">
        <f t="shared" si="4"/>
        <v>0</v>
      </c>
      <c r="N32" s="4"/>
      <c r="O32" s="4">
        <f t="shared" si="6"/>
        <v>0</v>
      </c>
    </row>
    <row r="33" spans="1:15" x14ac:dyDescent="0.25">
      <c r="D33" s="34" t="s">
        <v>206</v>
      </c>
      <c r="E33" s="10"/>
      <c r="F33" s="6">
        <f>+'CIP Amend 2019'!J32</f>
        <v>0</v>
      </c>
      <c r="G33" s="3"/>
      <c r="H33" s="6">
        <f>+'CIP 2018 Summary'!X33</f>
        <v>0</v>
      </c>
      <c r="J33" s="6">
        <f>+F33-H33</f>
        <v>0</v>
      </c>
      <c r="K33" s="49"/>
      <c r="L33" s="4"/>
      <c r="M33" s="6">
        <f t="shared" si="4"/>
        <v>0</v>
      </c>
      <c r="N33" s="4"/>
      <c r="O33" s="6">
        <f t="shared" si="6"/>
        <v>0</v>
      </c>
    </row>
    <row r="34" spans="1:15" x14ac:dyDescent="0.25">
      <c r="C34" s="34" t="s">
        <v>85</v>
      </c>
      <c r="E34" s="10"/>
      <c r="F34" s="6">
        <f>ROUND(SUM(F14:F33),5)</f>
        <v>0</v>
      </c>
      <c r="G34" s="3"/>
      <c r="H34" s="6">
        <f>ROUND(SUM(H14:H33),5)</f>
        <v>0</v>
      </c>
      <c r="J34" s="6">
        <f>ROUND(SUM(J14:J33),5)</f>
        <v>0</v>
      </c>
      <c r="K34" s="50" t="e">
        <f>ROUND((J34/F34),4)</f>
        <v>#DIV/0!</v>
      </c>
      <c r="L34" s="4"/>
      <c r="M34" s="6">
        <f>ROUND(SUM(M14:M33),5)</f>
        <v>0</v>
      </c>
      <c r="O34" s="6">
        <f>ROUND(SUM(O14:O33),5)</f>
        <v>0</v>
      </c>
    </row>
    <row r="35" spans="1:15" ht="29.25" customHeight="1" thickBot="1" x14ac:dyDescent="0.3">
      <c r="B35" s="5"/>
      <c r="C35" s="34" t="s">
        <v>157</v>
      </c>
      <c r="E35" s="3">
        <f>+E17-E34</f>
        <v>0</v>
      </c>
      <c r="F35" s="3">
        <f>+F13-F34</f>
        <v>205505</v>
      </c>
      <c r="G35" s="3">
        <f>+G17-G34</f>
        <v>0</v>
      </c>
      <c r="H35" s="3">
        <f>+H13-H34</f>
        <v>146789</v>
      </c>
      <c r="I35" s="3">
        <f>+I17-I34</f>
        <v>0</v>
      </c>
      <c r="J35" s="87">
        <f>+J13-J34</f>
        <v>-58716</v>
      </c>
      <c r="K35" s="88">
        <f>ROUND((J35/F35),4)</f>
        <v>-0.28570000000000001</v>
      </c>
      <c r="L35" s="4"/>
      <c r="M35" s="87">
        <f>+M13-M34</f>
        <v>33.25</v>
      </c>
      <c r="O35" s="87">
        <f>+O13-O34</f>
        <v>23.75</v>
      </c>
    </row>
    <row r="36" spans="1:15" ht="16.5" thickTop="1" x14ac:dyDescent="0.25">
      <c r="A36" s="46"/>
      <c r="B36" s="5"/>
      <c r="C36" s="46"/>
      <c r="D36" s="46"/>
      <c r="E36" s="4"/>
      <c r="F36" s="4"/>
      <c r="G36" s="4"/>
      <c r="H36" s="4"/>
      <c r="J36" s="4"/>
      <c r="K36" s="4"/>
      <c r="L36" s="4"/>
    </row>
    <row r="37" spans="1:15" x14ac:dyDescent="0.25">
      <c r="A37" s="46"/>
      <c r="B37" s="5"/>
      <c r="C37" s="46" t="s">
        <v>158</v>
      </c>
      <c r="D37" s="46"/>
      <c r="E37" s="4"/>
      <c r="F37" s="47">
        <f>+'CIP Amend 2019'!F36</f>
        <v>228586.73</v>
      </c>
      <c r="G37" s="4"/>
      <c r="H37" s="47">
        <f>+F41</f>
        <v>434091.73</v>
      </c>
      <c r="J37" s="4"/>
      <c r="K37" s="4"/>
      <c r="L37" s="4"/>
    </row>
    <row r="38" spans="1:15" x14ac:dyDescent="0.25">
      <c r="A38" s="46"/>
      <c r="B38" s="5"/>
      <c r="C38" s="46"/>
      <c r="D38" s="46"/>
      <c r="E38" s="4"/>
      <c r="F38" s="4"/>
      <c r="G38" s="4"/>
      <c r="H38" s="4"/>
      <c r="J38" s="4"/>
      <c r="K38" s="4"/>
      <c r="L38" s="4"/>
    </row>
    <row r="39" spans="1:15" x14ac:dyDescent="0.25">
      <c r="A39" s="46"/>
      <c r="B39" s="5"/>
      <c r="C39" s="46" t="s">
        <v>217</v>
      </c>
      <c r="D39" s="46"/>
      <c r="E39" s="4">
        <v>24072</v>
      </c>
      <c r="F39" s="4"/>
      <c r="G39" s="4"/>
      <c r="H39" s="4">
        <f>-H11</f>
        <v>0</v>
      </c>
      <c r="J39" s="4"/>
      <c r="K39" s="4"/>
      <c r="L39" s="4"/>
    </row>
    <row r="40" spans="1:15" x14ac:dyDescent="0.25">
      <c r="A40" s="46"/>
      <c r="B40" s="5"/>
      <c r="C40" s="46"/>
      <c r="D40" s="46"/>
      <c r="E40" s="4"/>
      <c r="F40" s="4"/>
      <c r="G40" s="4"/>
      <c r="H40" s="4"/>
      <c r="J40" s="4"/>
      <c r="K40" s="4"/>
      <c r="L40" s="4"/>
    </row>
    <row r="41" spans="1:15" ht="16.5" thickBot="1" x14ac:dyDescent="0.3">
      <c r="A41" s="46"/>
      <c r="B41" s="5"/>
      <c r="C41" s="46" t="s">
        <v>159</v>
      </c>
      <c r="D41" s="46"/>
      <c r="E41" s="4"/>
      <c r="F41" s="48">
        <f>SUM(F35:F37)</f>
        <v>434091.73</v>
      </c>
      <c r="G41" s="4"/>
      <c r="H41" s="48">
        <f>SUM(H35:H40)</f>
        <v>580880.73</v>
      </c>
      <c r="J41" s="4"/>
      <c r="K41" s="4"/>
      <c r="L41" s="4"/>
    </row>
    <row r="42" spans="1:15" ht="16.5" thickTop="1" x14ac:dyDescent="0.25">
      <c r="A42" s="46"/>
      <c r="B42" s="46"/>
      <c r="C42" s="46"/>
      <c r="D42" s="46"/>
      <c r="E42" s="5"/>
      <c r="F42" s="4"/>
      <c r="G42" s="4"/>
      <c r="H42" s="4"/>
      <c r="J42" s="4"/>
      <c r="K42" s="4"/>
      <c r="L42" s="4"/>
    </row>
    <row r="43" spans="1:15" x14ac:dyDescent="0.25">
      <c r="A43" s="46"/>
      <c r="B43" s="46"/>
      <c r="C43" s="46"/>
      <c r="D43" s="46"/>
      <c r="E43" s="5"/>
      <c r="F43" s="4"/>
      <c r="G43" s="4"/>
      <c r="H43" s="4"/>
      <c r="J43" s="4"/>
      <c r="K43" s="4"/>
      <c r="L43" s="4"/>
    </row>
    <row r="44" spans="1:15" x14ac:dyDescent="0.25">
      <c r="A44" s="46"/>
      <c r="B44" s="46"/>
      <c r="C44" s="46"/>
      <c r="D44" s="46"/>
      <c r="E44" s="5"/>
      <c r="F44" s="4"/>
      <c r="G44" s="4"/>
      <c r="H44" s="4"/>
      <c r="J44" s="4"/>
      <c r="K44" s="4"/>
      <c r="L44" s="4"/>
    </row>
  </sheetData>
  <phoneticPr fontId="0" type="noConversion"/>
  <pageMargins left="0.7" right="0.7" top="0.75" bottom="0.75" header="0.25" footer="0.3"/>
  <pageSetup scale="68" orientation="landscape" r:id="rId1"/>
  <headerFooter>
    <oddHeader xml:space="preserve">&amp;C&amp;"Times New Roman,Bold"&amp;12Flagler Estates Road and Water Control District
 Capital Projects Fund Budget
Fiscal 2025-2026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1C4C6-247F-4376-BC6F-C106D0F4950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U78"/>
  <sheetViews>
    <sheetView topLeftCell="A31" workbookViewId="0">
      <selection activeCell="E15" sqref="E15"/>
    </sheetView>
  </sheetViews>
  <sheetFormatPr defaultRowHeight="15" x14ac:dyDescent="0.25"/>
  <cols>
    <col min="1" max="1" width="3.85546875" customWidth="1"/>
    <col min="2" max="2" width="25.28515625" customWidth="1"/>
    <col min="3" max="3" width="13.140625" customWidth="1"/>
    <col min="4" max="4" width="11.85546875" customWidth="1"/>
    <col min="5" max="5" width="11.42578125" customWidth="1"/>
    <col min="6" max="6" width="12.140625" customWidth="1"/>
    <col min="7" max="7" width="14.28515625" customWidth="1"/>
    <col min="8" max="8" width="12.42578125" customWidth="1"/>
    <col min="9" max="9" width="13.140625" customWidth="1"/>
    <col min="10" max="10" width="13" customWidth="1"/>
    <col min="11" max="11" width="11.85546875" customWidth="1"/>
    <col min="12" max="12" width="10.85546875" customWidth="1"/>
    <col min="13" max="13" width="13.5703125" customWidth="1"/>
    <col min="14" max="14" width="6.42578125" customWidth="1"/>
    <col min="15" max="15" width="17.5703125" bestFit="1" customWidth="1"/>
    <col min="16" max="16" width="13.5703125" customWidth="1"/>
    <col min="17" max="17" width="11.5703125" bestFit="1" customWidth="1"/>
    <col min="18" max="18" width="10.5703125" bestFit="1" customWidth="1"/>
    <col min="19" max="19" width="9.5703125" bestFit="1" customWidth="1"/>
    <col min="20" max="20" width="9.28515625" bestFit="1" customWidth="1"/>
    <col min="21" max="21" width="12.42578125" customWidth="1"/>
  </cols>
  <sheetData>
    <row r="1" spans="1:16" x14ac:dyDescent="0.25">
      <c r="A1" s="19" t="s">
        <v>100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x14ac:dyDescent="0.25">
      <c r="A2" s="19" t="s">
        <v>116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x14ac:dyDescent="0.25">
      <c r="A3" s="19" t="s">
        <v>341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6" spans="1:16" x14ac:dyDescent="0.25">
      <c r="A6" t="s">
        <v>101</v>
      </c>
    </row>
    <row r="7" spans="1:16" ht="60" x14ac:dyDescent="0.25">
      <c r="B7" s="21" t="s">
        <v>102</v>
      </c>
      <c r="C7" s="22" t="s">
        <v>312</v>
      </c>
      <c r="D7" s="22" t="s">
        <v>342</v>
      </c>
      <c r="E7" s="22" t="s">
        <v>238</v>
      </c>
      <c r="F7" s="22" t="s">
        <v>239</v>
      </c>
      <c r="G7" s="22" t="s">
        <v>103</v>
      </c>
      <c r="H7" s="22" t="s">
        <v>104</v>
      </c>
      <c r="I7" s="22" t="s">
        <v>105</v>
      </c>
      <c r="J7" s="22" t="s">
        <v>106</v>
      </c>
      <c r="K7" s="22" t="s">
        <v>107</v>
      </c>
      <c r="L7" s="22" t="s">
        <v>229</v>
      </c>
      <c r="M7" s="22" t="s">
        <v>253</v>
      </c>
      <c r="O7" s="22" t="s">
        <v>346</v>
      </c>
      <c r="P7" s="22" t="s">
        <v>251</v>
      </c>
    </row>
    <row r="9" spans="1:16" x14ac:dyDescent="0.25">
      <c r="B9" s="124" t="s">
        <v>110</v>
      </c>
      <c r="C9" s="20">
        <f>ROUND((D9*H9),2)</f>
        <v>76731.199999999997</v>
      </c>
      <c r="D9" s="20">
        <v>36.89</v>
      </c>
      <c r="E9" s="20">
        <v>0</v>
      </c>
      <c r="F9" s="16">
        <v>0</v>
      </c>
      <c r="G9" s="20">
        <f>ROUND(((D9+E9)*(1+F9)),2)</f>
        <v>36.89</v>
      </c>
      <c r="H9" s="20">
        <v>2080</v>
      </c>
      <c r="I9" s="20">
        <f>ROUND((G9*H9),2)</f>
        <v>76731.199999999997</v>
      </c>
      <c r="J9" s="20">
        <f>ROUND((I9*0.062),2)</f>
        <v>4757.33</v>
      </c>
      <c r="K9" s="20">
        <f>ROUND((I9*0.0145),2)</f>
        <v>1112.5999999999999</v>
      </c>
      <c r="L9" s="20">
        <f>ROUND((I9*0.0102),2)</f>
        <v>782.66</v>
      </c>
      <c r="M9" s="20">
        <f>ROUND((O9*12),2)</f>
        <v>18072</v>
      </c>
      <c r="O9" s="20">
        <v>1506</v>
      </c>
      <c r="P9" s="20">
        <f>ROUND((O9*12),2)</f>
        <v>18072</v>
      </c>
    </row>
    <row r="10" spans="1:16" x14ac:dyDescent="0.25">
      <c r="B10" s="124" t="s">
        <v>223</v>
      </c>
      <c r="C10" s="20">
        <f t="shared" ref="C10:C17" si="0">ROUND((D10*H10),2)</f>
        <v>121596.8</v>
      </c>
      <c r="D10" s="20">
        <v>58.46</v>
      </c>
      <c r="E10" s="20">
        <v>0</v>
      </c>
      <c r="F10" s="16">
        <v>0.03</v>
      </c>
      <c r="G10" s="20">
        <f t="shared" ref="G10:G20" si="1">ROUND(((D10+E10)*(1+F10)),2)</f>
        <v>60.21</v>
      </c>
      <c r="H10" s="20">
        <v>2080</v>
      </c>
      <c r="I10" s="20">
        <f t="shared" ref="I10:I21" si="2">ROUND((G10*H10),2)</f>
        <v>125236.8</v>
      </c>
      <c r="J10" s="20">
        <f t="shared" ref="J10:J21" si="3">ROUND((I10*0.062),2)</f>
        <v>7764.68</v>
      </c>
      <c r="K10" s="20">
        <f t="shared" ref="K10:K21" si="4">ROUND((I10*0.0145),2)</f>
        <v>1815.93</v>
      </c>
      <c r="L10" s="20">
        <f t="shared" ref="L10:L20" si="5">ROUND((I10*0.0102),2)</f>
        <v>1277.42</v>
      </c>
      <c r="M10" s="20">
        <f t="shared" ref="M10:M20" si="6">ROUND((O10*12),2)</f>
        <v>23160</v>
      </c>
      <c r="O10" s="20">
        <v>1930</v>
      </c>
      <c r="P10" s="20">
        <f t="shared" ref="P10:P20" si="7">ROUND((O10*12),2)</f>
        <v>23160</v>
      </c>
    </row>
    <row r="11" spans="1:16" x14ac:dyDescent="0.25">
      <c r="B11" s="124" t="s">
        <v>334</v>
      </c>
      <c r="C11" s="20">
        <f t="shared" si="0"/>
        <v>50689.599999999999</v>
      </c>
      <c r="D11" s="20">
        <v>24.37</v>
      </c>
      <c r="E11" s="20">
        <v>0</v>
      </c>
      <c r="F11" s="16">
        <v>0</v>
      </c>
      <c r="G11" s="20">
        <f t="shared" si="1"/>
        <v>24.37</v>
      </c>
      <c r="H11" s="20">
        <v>2080</v>
      </c>
      <c r="I11" s="20">
        <f t="shared" si="2"/>
        <v>50689.599999999999</v>
      </c>
      <c r="J11" s="20">
        <f t="shared" si="3"/>
        <v>3142.76</v>
      </c>
      <c r="K11" s="20">
        <f t="shared" si="4"/>
        <v>735</v>
      </c>
      <c r="L11" s="20">
        <f t="shared" si="5"/>
        <v>517.03</v>
      </c>
      <c r="M11" s="20">
        <f t="shared" si="6"/>
        <v>4860</v>
      </c>
      <c r="O11" s="20">
        <v>405</v>
      </c>
      <c r="P11" s="20">
        <f t="shared" si="7"/>
        <v>4860</v>
      </c>
    </row>
    <row r="12" spans="1:16" x14ac:dyDescent="0.25">
      <c r="B12" s="124" t="s">
        <v>336</v>
      </c>
      <c r="C12" s="20">
        <f t="shared" si="0"/>
        <v>50564.800000000003</v>
      </c>
      <c r="D12" s="20">
        <v>24.31</v>
      </c>
      <c r="E12" s="20">
        <v>0</v>
      </c>
      <c r="F12" s="16">
        <v>0</v>
      </c>
      <c r="G12" s="20">
        <f t="shared" si="1"/>
        <v>24.31</v>
      </c>
      <c r="H12" s="20">
        <v>2080</v>
      </c>
      <c r="I12" s="20">
        <f t="shared" si="2"/>
        <v>50564.800000000003</v>
      </c>
      <c r="J12" s="20">
        <f t="shared" si="3"/>
        <v>3135.02</v>
      </c>
      <c r="K12" s="20">
        <f t="shared" si="4"/>
        <v>733.19</v>
      </c>
      <c r="L12" s="20">
        <f t="shared" si="5"/>
        <v>515.76</v>
      </c>
      <c r="M12" s="20">
        <f t="shared" si="6"/>
        <v>4860</v>
      </c>
      <c r="O12" s="20">
        <v>405</v>
      </c>
      <c r="P12" s="20">
        <f t="shared" si="7"/>
        <v>4860</v>
      </c>
    </row>
    <row r="13" spans="1:16" x14ac:dyDescent="0.25">
      <c r="B13" s="124" t="s">
        <v>313</v>
      </c>
      <c r="C13" s="20">
        <f t="shared" si="0"/>
        <v>50918.400000000001</v>
      </c>
      <c r="D13" s="20">
        <v>24.48</v>
      </c>
      <c r="E13" s="20">
        <v>0</v>
      </c>
      <c r="F13" s="16">
        <v>0</v>
      </c>
      <c r="G13" s="20">
        <f t="shared" si="1"/>
        <v>24.48</v>
      </c>
      <c r="H13" s="20">
        <v>2080</v>
      </c>
      <c r="I13" s="20">
        <f t="shared" si="2"/>
        <v>50918.400000000001</v>
      </c>
      <c r="J13" s="20">
        <f t="shared" si="3"/>
        <v>3156.94</v>
      </c>
      <c r="K13" s="20">
        <f t="shared" si="4"/>
        <v>738.32</v>
      </c>
      <c r="L13" s="20">
        <f t="shared" si="5"/>
        <v>519.37</v>
      </c>
      <c r="M13" s="20">
        <f t="shared" si="6"/>
        <v>18072</v>
      </c>
      <c r="O13" s="20">
        <v>1506</v>
      </c>
      <c r="P13" s="20">
        <f t="shared" si="7"/>
        <v>18072</v>
      </c>
    </row>
    <row r="14" spans="1:16" x14ac:dyDescent="0.25">
      <c r="B14" s="124" t="s">
        <v>108</v>
      </c>
      <c r="C14" s="20">
        <f t="shared" si="0"/>
        <v>119288</v>
      </c>
      <c r="D14" s="20">
        <v>57.35</v>
      </c>
      <c r="E14" s="20">
        <v>0</v>
      </c>
      <c r="F14" s="16">
        <v>0</v>
      </c>
      <c r="G14" s="20">
        <f t="shared" si="1"/>
        <v>57.35</v>
      </c>
      <c r="H14" s="20">
        <v>2080</v>
      </c>
      <c r="I14" s="20">
        <f t="shared" si="2"/>
        <v>119288</v>
      </c>
      <c r="J14" s="20">
        <f t="shared" si="3"/>
        <v>7395.86</v>
      </c>
      <c r="K14" s="20">
        <f t="shared" si="4"/>
        <v>1729.68</v>
      </c>
      <c r="L14" s="20">
        <f t="shared" si="5"/>
        <v>1216.74</v>
      </c>
      <c r="M14" s="20">
        <f t="shared" si="6"/>
        <v>23160</v>
      </c>
      <c r="O14" s="20">
        <v>1930</v>
      </c>
      <c r="P14" s="20">
        <f t="shared" si="7"/>
        <v>23160</v>
      </c>
    </row>
    <row r="15" spans="1:16" x14ac:dyDescent="0.25">
      <c r="B15" s="124" t="s">
        <v>343</v>
      </c>
      <c r="C15" s="20">
        <f t="shared" si="0"/>
        <v>0</v>
      </c>
      <c r="D15" s="20"/>
      <c r="E15" s="20">
        <v>0</v>
      </c>
      <c r="F15" s="16">
        <v>0</v>
      </c>
      <c r="G15" s="20">
        <f t="shared" si="1"/>
        <v>0</v>
      </c>
      <c r="H15" s="20">
        <v>2080</v>
      </c>
      <c r="I15" s="20">
        <f t="shared" si="2"/>
        <v>0</v>
      </c>
      <c r="J15" s="20">
        <f t="shared" si="3"/>
        <v>0</v>
      </c>
      <c r="K15" s="20">
        <f t="shared" si="4"/>
        <v>0</v>
      </c>
      <c r="L15" s="20">
        <f t="shared" si="5"/>
        <v>0</v>
      </c>
      <c r="M15" s="20">
        <f t="shared" si="6"/>
        <v>0</v>
      </c>
      <c r="O15" s="20"/>
      <c r="P15" s="20">
        <f t="shared" si="7"/>
        <v>0</v>
      </c>
    </row>
    <row r="16" spans="1:16" x14ac:dyDescent="0.25">
      <c r="B16" s="124" t="s">
        <v>339</v>
      </c>
      <c r="C16" s="20">
        <f t="shared" si="0"/>
        <v>6000</v>
      </c>
      <c r="D16" s="20">
        <v>20</v>
      </c>
      <c r="E16" s="20" t="s">
        <v>125</v>
      </c>
      <c r="F16" s="16">
        <v>0</v>
      </c>
      <c r="G16" s="20">
        <v>20</v>
      </c>
      <c r="H16" s="20">
        <v>300</v>
      </c>
      <c r="I16" s="20">
        <f t="shared" si="2"/>
        <v>6000</v>
      </c>
      <c r="J16" s="20">
        <f t="shared" si="3"/>
        <v>372</v>
      </c>
      <c r="K16" s="20">
        <f t="shared" si="4"/>
        <v>87</v>
      </c>
      <c r="L16" s="20">
        <f t="shared" si="5"/>
        <v>61.2</v>
      </c>
      <c r="M16" s="20">
        <f>+P16</f>
        <v>0</v>
      </c>
      <c r="O16" s="20">
        <v>0</v>
      </c>
      <c r="P16" s="20">
        <f t="shared" si="7"/>
        <v>0</v>
      </c>
    </row>
    <row r="17" spans="2:21" x14ac:dyDescent="0.25">
      <c r="B17" s="124" t="s">
        <v>343</v>
      </c>
      <c r="C17" s="20">
        <f t="shared" si="0"/>
        <v>6000</v>
      </c>
      <c r="D17" s="20">
        <v>20</v>
      </c>
      <c r="E17" s="20"/>
      <c r="F17" s="16"/>
      <c r="G17" s="20">
        <v>20</v>
      </c>
      <c r="H17" s="20">
        <v>300</v>
      </c>
      <c r="I17" s="20">
        <f t="shared" si="2"/>
        <v>6000</v>
      </c>
      <c r="J17" s="20">
        <f t="shared" si="3"/>
        <v>372</v>
      </c>
      <c r="K17" s="20">
        <f t="shared" si="4"/>
        <v>87</v>
      </c>
      <c r="L17" s="20">
        <f t="shared" si="5"/>
        <v>61.2</v>
      </c>
      <c r="M17" s="20"/>
      <c r="O17" s="20"/>
      <c r="P17" s="20"/>
    </row>
    <row r="18" spans="2:21" x14ac:dyDescent="0.25">
      <c r="B18" t="s">
        <v>245</v>
      </c>
      <c r="C18" s="20"/>
      <c r="D18" s="20">
        <v>25</v>
      </c>
      <c r="E18" s="20"/>
      <c r="F18" s="16">
        <v>0</v>
      </c>
      <c r="G18" s="20">
        <f t="shared" si="1"/>
        <v>25</v>
      </c>
      <c r="H18" s="20">
        <v>25</v>
      </c>
      <c r="I18" s="20">
        <f>ROUND((G18*H18),2)</f>
        <v>625</v>
      </c>
      <c r="J18" s="20">
        <f>ROUND((I18*0.062),2)</f>
        <v>38.75</v>
      </c>
      <c r="K18" s="20">
        <f>ROUND((I18*0.0145),2)</f>
        <v>9.06</v>
      </c>
      <c r="L18" s="20">
        <f t="shared" si="5"/>
        <v>6.38</v>
      </c>
      <c r="M18" s="20">
        <f t="shared" si="6"/>
        <v>0</v>
      </c>
      <c r="O18" s="20">
        <v>0</v>
      </c>
      <c r="P18" s="20">
        <f t="shared" si="7"/>
        <v>0</v>
      </c>
    </row>
    <row r="19" spans="2:21" x14ac:dyDescent="0.25">
      <c r="B19" s="124" t="s">
        <v>329</v>
      </c>
      <c r="C19" s="20"/>
      <c r="D19" s="20">
        <v>25</v>
      </c>
      <c r="E19" s="20"/>
      <c r="F19" s="16">
        <v>0</v>
      </c>
      <c r="G19" s="20">
        <f t="shared" si="1"/>
        <v>25</v>
      </c>
      <c r="H19" s="20">
        <v>25</v>
      </c>
      <c r="I19" s="20">
        <f>ROUND((G19*H19),2)</f>
        <v>625</v>
      </c>
      <c r="J19" s="20">
        <f>ROUND((I19*0.062),2)</f>
        <v>38.75</v>
      </c>
      <c r="K19" s="20">
        <f>ROUND((I19*0.0145),2)</f>
        <v>9.06</v>
      </c>
      <c r="L19" s="20">
        <f t="shared" si="5"/>
        <v>6.38</v>
      </c>
      <c r="M19" s="20">
        <f t="shared" si="6"/>
        <v>0</v>
      </c>
      <c r="O19" s="20">
        <v>0</v>
      </c>
      <c r="P19" s="20">
        <f t="shared" si="7"/>
        <v>0</v>
      </c>
    </row>
    <row r="20" spans="2:21" x14ac:dyDescent="0.25">
      <c r="B20" s="124" t="s">
        <v>343</v>
      </c>
      <c r="C20" s="20"/>
      <c r="D20" s="20">
        <v>25</v>
      </c>
      <c r="E20" s="20"/>
      <c r="F20" s="16">
        <v>0</v>
      </c>
      <c r="G20" s="20">
        <f t="shared" si="1"/>
        <v>25</v>
      </c>
      <c r="H20" s="20">
        <v>25</v>
      </c>
      <c r="I20" s="20">
        <f>ROUND((G20*H20),2)</f>
        <v>625</v>
      </c>
      <c r="J20" s="20">
        <f>ROUND((I20*0.062),2)</f>
        <v>38.75</v>
      </c>
      <c r="K20" s="20">
        <f>ROUND((I20*0.0145),2)</f>
        <v>9.06</v>
      </c>
      <c r="L20" s="20">
        <f t="shared" si="5"/>
        <v>6.38</v>
      </c>
      <c r="M20" s="20">
        <f t="shared" si="6"/>
        <v>0</v>
      </c>
      <c r="O20" s="20">
        <v>0</v>
      </c>
      <c r="P20" s="20">
        <f t="shared" si="7"/>
        <v>0</v>
      </c>
    </row>
    <row r="21" spans="2:21" x14ac:dyDescent="0.25">
      <c r="B21" s="21"/>
      <c r="C21" s="23"/>
      <c r="D21" s="23">
        <v>0</v>
      </c>
      <c r="E21" s="23"/>
      <c r="F21" s="24"/>
      <c r="G21" s="23">
        <f>ROUND((D21*(1+F21)),2)</f>
        <v>0</v>
      </c>
      <c r="H21" s="23">
        <v>0</v>
      </c>
      <c r="I21" s="23">
        <f t="shared" si="2"/>
        <v>0</v>
      </c>
      <c r="J21" s="23">
        <f t="shared" si="3"/>
        <v>0</v>
      </c>
      <c r="K21" s="23">
        <f t="shared" si="4"/>
        <v>0</v>
      </c>
      <c r="L21" s="23">
        <v>0</v>
      </c>
      <c r="M21" s="23">
        <f>ROUND((H21*3.46),2)</f>
        <v>0</v>
      </c>
      <c r="O21" s="23">
        <v>0</v>
      </c>
      <c r="P21" s="23">
        <f>ROUND((O21*12),0)</f>
        <v>0</v>
      </c>
      <c r="Q21" s="20"/>
      <c r="R21" s="20"/>
      <c r="S21" s="20"/>
      <c r="T21" s="20"/>
    </row>
    <row r="22" spans="2:21" x14ac:dyDescent="0.25">
      <c r="C22" s="20"/>
      <c r="G22" s="20"/>
      <c r="H22" s="20"/>
      <c r="I22" s="20"/>
      <c r="J22" s="20"/>
      <c r="K22" s="20"/>
      <c r="L22" s="20"/>
      <c r="M22" s="20"/>
      <c r="O22" s="20"/>
      <c r="P22" s="20"/>
      <c r="Q22" s="20"/>
      <c r="R22" s="20"/>
      <c r="S22" s="20"/>
      <c r="T22" s="20"/>
    </row>
    <row r="23" spans="2:21" ht="15.75" thickBot="1" x14ac:dyDescent="0.3">
      <c r="B23" t="s">
        <v>109</v>
      </c>
      <c r="C23" s="25">
        <f>SUM(C9:C21)</f>
        <v>481788.80000000005</v>
      </c>
      <c r="G23" s="20"/>
      <c r="H23" s="25">
        <f t="shared" ref="H23:M23" si="8">SUM(H9:H21)</f>
        <v>15235</v>
      </c>
      <c r="I23" s="25">
        <f t="shared" si="8"/>
        <v>487303.80000000005</v>
      </c>
      <c r="J23" s="25">
        <f t="shared" si="8"/>
        <v>30212.84</v>
      </c>
      <c r="K23" s="25">
        <f t="shared" si="8"/>
        <v>7065.9000000000005</v>
      </c>
      <c r="L23" s="25">
        <f t="shared" si="8"/>
        <v>4970.5199999999995</v>
      </c>
      <c r="M23" s="25">
        <f t="shared" si="8"/>
        <v>92184</v>
      </c>
      <c r="O23" s="25">
        <f>SUM(O9:O21)</f>
        <v>7682</v>
      </c>
      <c r="P23" s="25">
        <f>SUM(P9:P21)</f>
        <v>92184</v>
      </c>
      <c r="Q23" s="20"/>
      <c r="R23" s="20"/>
      <c r="S23" s="20"/>
      <c r="T23" s="20"/>
    </row>
    <row r="24" spans="2:21" ht="15.75" thickTop="1" x14ac:dyDescent="0.25">
      <c r="Q24" s="20"/>
      <c r="R24" s="20"/>
      <c r="S24" s="20"/>
      <c r="T24" s="20"/>
    </row>
    <row r="25" spans="2:21" x14ac:dyDescent="0.25">
      <c r="B25" t="s">
        <v>242</v>
      </c>
      <c r="F25" s="23">
        <f>+P23</f>
        <v>92184</v>
      </c>
      <c r="G25" s="76" t="s">
        <v>193</v>
      </c>
      <c r="H25" s="20">
        <f>ROUND((F25/(H23-H20-H19-H18-H16)),2)</f>
        <v>6.2</v>
      </c>
      <c r="I25" s="18"/>
      <c r="P25" s="23">
        <f>+M23</f>
        <v>92184</v>
      </c>
      <c r="Q25" s="20"/>
      <c r="R25" s="20"/>
      <c r="S25" s="20"/>
      <c r="T25" s="20"/>
      <c r="U25" s="20"/>
    </row>
    <row r="27" spans="2:21" x14ac:dyDescent="0.25">
      <c r="B27" t="s">
        <v>324</v>
      </c>
      <c r="I27" t="s">
        <v>316</v>
      </c>
    </row>
    <row r="29" spans="2:21" x14ac:dyDescent="0.25">
      <c r="C29" s="28" t="s">
        <v>241</v>
      </c>
      <c r="D29" s="28" t="s">
        <v>99</v>
      </c>
      <c r="E29" s="28" t="s">
        <v>112</v>
      </c>
    </row>
    <row r="30" spans="2:21" x14ac:dyDescent="0.25">
      <c r="B30" s="26" t="s">
        <v>294</v>
      </c>
      <c r="C30" s="20">
        <v>1346461.64</v>
      </c>
      <c r="D30" s="16">
        <f>ROUND((C30/$C$36),4)</f>
        <v>0.86550000000000005</v>
      </c>
      <c r="E30" s="20">
        <f>ROUND(($I$23*D30),2)</f>
        <v>421761.44</v>
      </c>
      <c r="I30" t="s">
        <v>120</v>
      </c>
      <c r="M30" s="20">
        <f>+C36</f>
        <v>1555762.22</v>
      </c>
      <c r="O30" s="20"/>
      <c r="P30" s="23"/>
    </row>
    <row r="31" spans="2:21" x14ac:dyDescent="0.25">
      <c r="B31" s="26" t="s">
        <v>254</v>
      </c>
      <c r="C31" s="20">
        <v>121231.81</v>
      </c>
      <c r="D31" s="16">
        <f>ROUND((C31/$C$36),4)</f>
        <v>7.7899999999999997E-2</v>
      </c>
      <c r="E31" s="20">
        <f>ROUND(($I$23*D31),2)</f>
        <v>37960.97</v>
      </c>
      <c r="I31" t="s">
        <v>121</v>
      </c>
      <c r="M31" s="23">
        <v>82483.179999999993</v>
      </c>
      <c r="O31" s="20"/>
      <c r="P31" s="20"/>
    </row>
    <row r="32" spans="2:21" ht="15.75" thickBot="1" x14ac:dyDescent="0.3">
      <c r="B32" s="26" t="s">
        <v>255</v>
      </c>
      <c r="C32" s="20">
        <v>28880.97</v>
      </c>
      <c r="D32" s="16">
        <f>ROUND((C32/$C$36),4)</f>
        <v>1.8599999999999998E-2</v>
      </c>
      <c r="E32" s="20">
        <f>ROUND(($I$23*D32),2)</f>
        <v>9063.85</v>
      </c>
      <c r="I32" t="s">
        <v>113</v>
      </c>
      <c r="M32" s="16">
        <f>ROUND((M31/M30),4)</f>
        <v>5.2999999999999999E-2</v>
      </c>
      <c r="O32" s="16"/>
      <c r="P32" s="25"/>
    </row>
    <row r="33" spans="2:21" ht="15.75" thickTop="1" x14ac:dyDescent="0.25">
      <c r="B33" s="26" t="s">
        <v>256</v>
      </c>
      <c r="C33" s="20">
        <v>59187.8</v>
      </c>
      <c r="D33" s="16">
        <f>ROUND((C33/$C$36),4)</f>
        <v>3.7999999999999999E-2</v>
      </c>
      <c r="E33" s="20">
        <f>ROUND(($I$23*D33),2)</f>
        <v>18517.54</v>
      </c>
      <c r="M33" s="16"/>
      <c r="O33" s="16"/>
      <c r="P33" s="16"/>
    </row>
    <row r="34" spans="2:21" x14ac:dyDescent="0.25">
      <c r="B34" s="26" t="s">
        <v>257</v>
      </c>
      <c r="C34" s="23">
        <v>0</v>
      </c>
      <c r="D34" s="24">
        <f>ROUND((C34/$C$36),4)</f>
        <v>0</v>
      </c>
      <c r="E34" s="23">
        <f>I23-SUM(E30:E33)</f>
        <v>0</v>
      </c>
      <c r="I34" t="s">
        <v>315</v>
      </c>
      <c r="M34" s="23">
        <f>+I23</f>
        <v>487303.80000000005</v>
      </c>
      <c r="O34" s="20"/>
      <c r="P34" s="20"/>
    </row>
    <row r="35" spans="2:21" x14ac:dyDescent="0.25">
      <c r="B35" s="26"/>
      <c r="C35" s="20"/>
      <c r="D35" s="16"/>
      <c r="H35" s="18"/>
    </row>
    <row r="36" spans="2:21" ht="15.75" thickBot="1" x14ac:dyDescent="0.3">
      <c r="B36" s="26"/>
      <c r="C36" s="25">
        <f>SUM(C30:C34)</f>
        <v>1555762.22</v>
      </c>
      <c r="D36" s="30">
        <f>SUM(D30:D34)</f>
        <v>1</v>
      </c>
      <c r="E36" s="25">
        <f>SUM(E30:E34)</f>
        <v>487303.8</v>
      </c>
      <c r="I36" t="s">
        <v>314</v>
      </c>
      <c r="M36" s="25">
        <f>ROUND((M34*M32),2)</f>
        <v>25827.1</v>
      </c>
      <c r="O36" s="20"/>
      <c r="P36" s="20"/>
    </row>
    <row r="37" spans="2:21" ht="15.75" thickTop="1" x14ac:dyDescent="0.25"/>
    <row r="38" spans="2:21" x14ac:dyDescent="0.25">
      <c r="I38" t="s">
        <v>318</v>
      </c>
      <c r="M38" s="20">
        <v>40000</v>
      </c>
    </row>
    <row r="39" spans="2:21" hidden="1" x14ac:dyDescent="0.25">
      <c r="I39" t="s">
        <v>309</v>
      </c>
      <c r="M39" s="20">
        <v>0</v>
      </c>
    </row>
    <row r="40" spans="2:21" hidden="1" x14ac:dyDescent="0.25">
      <c r="I40" t="s">
        <v>308</v>
      </c>
      <c r="M40" s="23">
        <v>0</v>
      </c>
    </row>
    <row r="41" spans="2:21" ht="15.75" thickBot="1" x14ac:dyDescent="0.3">
      <c r="I41" t="s">
        <v>192</v>
      </c>
      <c r="M41" s="25">
        <v>40000</v>
      </c>
      <c r="O41" s="20"/>
      <c r="P41" s="20"/>
      <c r="U41" s="20"/>
    </row>
    <row r="42" spans="2:21" ht="16.5" thickTop="1" thickBot="1" x14ac:dyDescent="0.3">
      <c r="B42" t="s">
        <v>240</v>
      </c>
      <c r="E42" s="25">
        <v>26000</v>
      </c>
    </row>
    <row r="43" spans="2:21" ht="15.75" thickTop="1" x14ac:dyDescent="0.25">
      <c r="I43" t="s">
        <v>195</v>
      </c>
    </row>
    <row r="44" spans="2:21" x14ac:dyDescent="0.25">
      <c r="B44" t="s">
        <v>125</v>
      </c>
      <c r="I44" t="s">
        <v>196</v>
      </c>
    </row>
    <row r="45" spans="2:21" x14ac:dyDescent="0.25">
      <c r="D45" s="17"/>
      <c r="E45" s="17"/>
    </row>
    <row r="46" spans="2:21" x14ac:dyDescent="0.25">
      <c r="D46" s="17"/>
      <c r="E46" s="17"/>
    </row>
    <row r="47" spans="2:21" x14ac:dyDescent="0.25">
      <c r="D47" s="17"/>
      <c r="E47" s="17"/>
    </row>
    <row r="48" spans="2:21" x14ac:dyDescent="0.25">
      <c r="D48" s="17"/>
      <c r="E48" s="17"/>
    </row>
    <row r="49" spans="4:6" x14ac:dyDescent="0.25">
      <c r="D49" s="17"/>
      <c r="E49" s="17"/>
    </row>
    <row r="50" spans="4:6" x14ac:dyDescent="0.25">
      <c r="D50" s="17"/>
      <c r="E50" s="17"/>
    </row>
    <row r="51" spans="4:6" x14ac:dyDescent="0.25">
      <c r="D51" s="17"/>
      <c r="E51" s="17"/>
    </row>
    <row r="52" spans="4:6" x14ac:dyDescent="0.25">
      <c r="D52" s="17"/>
      <c r="E52" s="17"/>
    </row>
    <row r="53" spans="4:6" x14ac:dyDescent="0.25">
      <c r="D53" s="17"/>
      <c r="E53" s="17"/>
    </row>
    <row r="55" spans="4:6" x14ac:dyDescent="0.25">
      <c r="F55" s="17"/>
    </row>
    <row r="65" spans="9:9" x14ac:dyDescent="0.25">
      <c r="I65" s="17"/>
    </row>
    <row r="67" spans="9:9" x14ac:dyDescent="0.25">
      <c r="I67" s="16"/>
    </row>
    <row r="69" spans="9:9" x14ac:dyDescent="0.25">
      <c r="I69" s="17"/>
    </row>
    <row r="78" spans="9:9" x14ac:dyDescent="0.25">
      <c r="I78" s="17"/>
    </row>
  </sheetData>
  <phoneticPr fontId="0" type="noConversion"/>
  <printOptions horizontalCentered="1"/>
  <pageMargins left="0.7" right="0.7" top="0.75" bottom="0.75" header="0.25" footer="0.3"/>
  <pageSetup scale="59" fitToHeight="0" orientation="landscape" r:id="rId1"/>
  <headerFooter>
    <oddHeader xml:space="preserve">&amp;C&amp;"Times New Roman,Bold"&amp;12 &amp;14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C38"/>
  <sheetViews>
    <sheetView topLeftCell="B1" zoomScale="75" zoomScaleNormal="75" workbookViewId="0">
      <selection activeCell="AB35" sqref="AB35"/>
    </sheetView>
  </sheetViews>
  <sheetFormatPr defaultRowHeight="15.75" x14ac:dyDescent="0.25"/>
  <cols>
    <col min="1" max="1" width="8.140625" style="5" hidden="1" customWidth="1"/>
    <col min="2" max="2" width="5.5703125" style="5" customWidth="1"/>
    <col min="3" max="3" width="42.140625" style="5" customWidth="1"/>
    <col min="4" max="4" width="39.85546875" style="5" customWidth="1"/>
    <col min="5" max="5" width="14.42578125" style="5" hidden="1" customWidth="1"/>
    <col min="6" max="6" width="3.85546875" style="5" hidden="1" customWidth="1"/>
    <col min="7" max="7" width="16.42578125" style="5" hidden="1" customWidth="1"/>
    <col min="8" max="8" width="3.85546875" style="5" hidden="1" customWidth="1"/>
    <col min="9" max="9" width="15.140625" style="5" hidden="1" customWidth="1"/>
    <col min="10" max="10" width="3.85546875" style="5" hidden="1" customWidth="1"/>
    <col min="11" max="11" width="16.7109375" style="5" hidden="1" customWidth="1"/>
    <col min="12" max="12" width="3.85546875" style="5" hidden="1" customWidth="1"/>
    <col min="13" max="13" width="18.42578125" style="5" hidden="1" customWidth="1"/>
    <col min="14" max="14" width="3.85546875" style="5" hidden="1" customWidth="1"/>
    <col min="15" max="15" width="18.42578125" style="5" hidden="1" customWidth="1"/>
    <col min="16" max="16" width="3.85546875" style="5" customWidth="1"/>
    <col min="17" max="17" width="18.42578125" style="5" hidden="1" customWidth="1"/>
    <col min="18" max="18" width="3.85546875" style="5" hidden="1" customWidth="1"/>
    <col min="19" max="19" width="18.42578125" style="5" hidden="1" customWidth="1"/>
    <col min="20" max="20" width="3.85546875" style="5" customWidth="1"/>
    <col min="21" max="21" width="18.42578125" style="5" hidden="1" customWidth="1"/>
    <col min="22" max="22" width="3.85546875" style="5" hidden="1" customWidth="1"/>
    <col min="23" max="23" width="18.42578125" style="5" hidden="1" customWidth="1"/>
    <col min="24" max="24" width="3.85546875" style="5" hidden="1" customWidth="1"/>
    <col min="25" max="26" width="20.7109375" style="5" hidden="1" customWidth="1"/>
    <col min="27" max="27" width="67.140625" style="5" customWidth="1"/>
    <col min="28" max="28" width="16.28515625" style="5" customWidth="1"/>
    <col min="29" max="29" width="3.85546875" style="5" customWidth="1"/>
    <col min="30" max="16384" width="9.140625" style="5"/>
  </cols>
  <sheetData>
    <row r="1" spans="1:29" x14ac:dyDescent="0.25">
      <c r="A1" s="32"/>
      <c r="B1" s="32" t="s">
        <v>100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</row>
    <row r="2" spans="1:29" x14ac:dyDescent="0.25">
      <c r="A2" s="32"/>
      <c r="B2" s="32" t="s">
        <v>138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1:29" x14ac:dyDescent="0.25">
      <c r="A3" s="32" t="s">
        <v>295</v>
      </c>
      <c r="B3" s="32" t="s">
        <v>344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</row>
    <row r="5" spans="1:29" x14ac:dyDescent="0.25">
      <c r="E5" s="2">
        <v>2005</v>
      </c>
      <c r="F5" s="2"/>
      <c r="G5" s="2">
        <v>2006</v>
      </c>
      <c r="H5" s="2"/>
      <c r="I5" s="2">
        <v>2007</v>
      </c>
      <c r="J5" s="2"/>
      <c r="K5" s="2">
        <v>2009</v>
      </c>
      <c r="L5" s="2"/>
      <c r="M5" s="2">
        <v>2010</v>
      </c>
      <c r="N5" s="2"/>
      <c r="O5" s="2">
        <v>2011</v>
      </c>
      <c r="P5" s="2"/>
      <c r="Q5" s="2">
        <v>2012</v>
      </c>
      <c r="R5" s="2"/>
      <c r="S5" s="2">
        <v>2013</v>
      </c>
      <c r="T5" s="2"/>
      <c r="U5" s="2">
        <v>2014</v>
      </c>
      <c r="V5" s="2"/>
      <c r="W5" s="2">
        <v>2015</v>
      </c>
      <c r="X5" s="2"/>
      <c r="Y5" s="2">
        <v>2016</v>
      </c>
      <c r="Z5" s="2">
        <v>2017</v>
      </c>
      <c r="AA5" s="2" t="s">
        <v>126</v>
      </c>
      <c r="AB5" s="2" t="s">
        <v>127</v>
      </c>
    </row>
    <row r="6" spans="1:29" x14ac:dyDescent="0.25">
      <c r="O6" s="5" t="s">
        <v>304</v>
      </c>
      <c r="Q6" s="2"/>
      <c r="S6" s="2"/>
      <c r="U6" s="2"/>
      <c r="W6" s="2"/>
      <c r="Y6" s="2"/>
      <c r="Z6" s="2" t="s">
        <v>243</v>
      </c>
      <c r="AB6" s="2" t="s">
        <v>244</v>
      </c>
    </row>
    <row r="7" spans="1:29" x14ac:dyDescent="0.25">
      <c r="B7" s="34" t="s">
        <v>31</v>
      </c>
      <c r="C7" s="34"/>
      <c r="D7" s="34"/>
      <c r="E7" s="3"/>
      <c r="F7" s="34"/>
      <c r="G7" s="3"/>
      <c r="H7" s="34"/>
      <c r="I7" s="3"/>
      <c r="J7" s="34"/>
      <c r="K7" s="3"/>
      <c r="L7" s="34"/>
      <c r="M7" s="3"/>
      <c r="N7" s="34"/>
      <c r="O7" s="3"/>
      <c r="P7" s="34"/>
      <c r="Q7" s="91"/>
      <c r="R7" s="34"/>
      <c r="S7" s="91"/>
      <c r="T7" s="34"/>
      <c r="U7" s="91"/>
      <c r="V7" s="34"/>
      <c r="W7" s="91"/>
      <c r="X7" s="34"/>
      <c r="Y7" s="91"/>
      <c r="Z7" s="91">
        <v>42978</v>
      </c>
      <c r="AA7" s="3"/>
      <c r="AB7" s="3"/>
      <c r="AC7" s="34"/>
    </row>
    <row r="8" spans="1:29" ht="87.75" customHeight="1" x14ac:dyDescent="0.25">
      <c r="A8" s="35"/>
      <c r="B8" s="36"/>
      <c r="C8" s="36" t="s">
        <v>32</v>
      </c>
      <c r="D8" s="37" t="s">
        <v>122</v>
      </c>
      <c r="E8" s="38">
        <v>51063.6</v>
      </c>
      <c r="F8" s="39"/>
      <c r="G8" s="38">
        <v>50214.68</v>
      </c>
      <c r="H8" s="39"/>
      <c r="I8" s="38">
        <v>95588.43</v>
      </c>
      <c r="J8" s="39"/>
      <c r="K8" s="38">
        <v>87802.1</v>
      </c>
      <c r="L8" s="39"/>
      <c r="M8" s="38">
        <v>82205.69</v>
      </c>
      <c r="N8" s="39"/>
      <c r="O8" s="38">
        <f>690.1+8.65</f>
        <v>698.75</v>
      </c>
      <c r="P8" s="39"/>
      <c r="Q8" s="38">
        <v>11647.78</v>
      </c>
      <c r="R8" s="39"/>
      <c r="S8" s="38">
        <v>3201.25</v>
      </c>
      <c r="T8" s="39"/>
      <c r="U8" s="38">
        <v>437.5</v>
      </c>
      <c r="V8" s="39"/>
      <c r="W8" s="38">
        <v>562.5</v>
      </c>
      <c r="X8" s="39"/>
      <c r="Y8" s="38">
        <v>1256.74</v>
      </c>
      <c r="Z8" s="38">
        <v>625</v>
      </c>
      <c r="AA8" s="92"/>
      <c r="AB8" s="38">
        <v>3000</v>
      </c>
      <c r="AC8" s="34"/>
    </row>
    <row r="9" spans="1:29" ht="50.25" customHeight="1" x14ac:dyDescent="0.25">
      <c r="A9" s="35"/>
      <c r="B9" s="36"/>
      <c r="C9" s="36" t="s">
        <v>33</v>
      </c>
      <c r="D9" s="37" t="s">
        <v>114</v>
      </c>
      <c r="E9" s="38">
        <v>37540.5</v>
      </c>
      <c r="F9" s="39"/>
      <c r="G9" s="38">
        <v>32868.699999999997</v>
      </c>
      <c r="H9" s="39"/>
      <c r="I9" s="38">
        <v>38980.31</v>
      </c>
      <c r="J9" s="39"/>
      <c r="K9" s="38">
        <v>36785.129999999997</v>
      </c>
      <c r="L9" s="39"/>
      <c r="M9" s="38">
        <v>19244.849999999999</v>
      </c>
      <c r="N9" s="39"/>
      <c r="O9" s="38">
        <f>1387.72+8.65</f>
        <v>1396.3700000000001</v>
      </c>
      <c r="P9" s="39"/>
      <c r="Q9" s="38">
        <v>18345.09</v>
      </c>
      <c r="R9" s="39"/>
      <c r="S9" s="38">
        <v>19930.009999999998</v>
      </c>
      <c r="T9" s="39"/>
      <c r="U9" s="38">
        <v>15886.16</v>
      </c>
      <c r="V9" s="39"/>
      <c r="W9" s="38">
        <v>31143.59</v>
      </c>
      <c r="X9" s="39"/>
      <c r="Y9" s="38">
        <v>18171.52</v>
      </c>
      <c r="Z9" s="38">
        <v>25163</v>
      </c>
      <c r="AA9" s="92"/>
      <c r="AB9" s="38">
        <v>40000</v>
      </c>
      <c r="AC9" s="34"/>
    </row>
    <row r="10" spans="1:29" ht="50.25" customHeight="1" x14ac:dyDescent="0.25">
      <c r="A10" s="35"/>
      <c r="B10" s="36"/>
      <c r="C10" s="36" t="s">
        <v>34</v>
      </c>
      <c r="D10" s="37" t="s">
        <v>115</v>
      </c>
      <c r="E10" s="38">
        <v>0</v>
      </c>
      <c r="F10" s="39"/>
      <c r="G10" s="38">
        <v>0</v>
      </c>
      <c r="H10" s="39"/>
      <c r="I10" s="38">
        <v>3789</v>
      </c>
      <c r="J10" s="39"/>
      <c r="K10" s="38">
        <v>46500</v>
      </c>
      <c r="L10" s="39"/>
      <c r="M10" s="38">
        <v>1800</v>
      </c>
      <c r="N10" s="39"/>
      <c r="O10" s="38">
        <f>1575.24+8.65</f>
        <v>1583.89</v>
      </c>
      <c r="P10" s="39"/>
      <c r="Q10" s="38">
        <v>2000</v>
      </c>
      <c r="R10" s="39"/>
      <c r="S10" s="38">
        <v>0</v>
      </c>
      <c r="T10" s="39"/>
      <c r="U10" s="38">
        <v>1650</v>
      </c>
      <c r="V10" s="39"/>
      <c r="W10" s="38">
        <v>0</v>
      </c>
      <c r="X10" s="39"/>
      <c r="Y10" s="38">
        <v>1400</v>
      </c>
      <c r="Z10" s="38">
        <v>0</v>
      </c>
      <c r="AA10" s="93"/>
      <c r="AB10" s="38"/>
      <c r="AC10" s="34"/>
    </row>
    <row r="11" spans="1:29" ht="50.25" customHeight="1" x14ac:dyDescent="0.25">
      <c r="A11" s="35"/>
      <c r="B11" s="36"/>
      <c r="C11" s="36" t="s">
        <v>197</v>
      </c>
      <c r="D11" s="78" t="s">
        <v>198</v>
      </c>
      <c r="E11" s="38">
        <v>0</v>
      </c>
      <c r="F11" s="39"/>
      <c r="G11" s="38">
        <v>0</v>
      </c>
      <c r="H11" s="39"/>
      <c r="I11" s="38">
        <v>0</v>
      </c>
      <c r="J11" s="39"/>
      <c r="K11" s="38">
        <v>0</v>
      </c>
      <c r="L11" s="39"/>
      <c r="M11" s="38">
        <v>4612</v>
      </c>
      <c r="N11" s="39"/>
      <c r="O11" s="38"/>
      <c r="P11" s="39"/>
      <c r="Q11" s="38">
        <v>800</v>
      </c>
      <c r="R11" s="39"/>
      <c r="S11" s="38">
        <v>0</v>
      </c>
      <c r="T11" s="39"/>
      <c r="U11" s="38"/>
      <c r="V11" s="39"/>
      <c r="W11" s="38">
        <v>0</v>
      </c>
      <c r="X11" s="39"/>
      <c r="Y11" s="38">
        <v>0</v>
      </c>
      <c r="Z11" s="38">
        <v>0</v>
      </c>
      <c r="AA11" s="93"/>
      <c r="AB11" s="38"/>
      <c r="AC11" s="34"/>
    </row>
    <row r="12" spans="1:29" ht="50.25" customHeight="1" x14ac:dyDescent="0.25">
      <c r="A12" s="35"/>
      <c r="B12" s="36"/>
      <c r="C12" s="36" t="s">
        <v>35</v>
      </c>
      <c r="D12" s="37" t="s">
        <v>123</v>
      </c>
      <c r="E12" s="38">
        <v>25449.42</v>
      </c>
      <c r="F12" s="39"/>
      <c r="G12" s="38">
        <v>77867.95</v>
      </c>
      <c r="H12" s="39"/>
      <c r="I12" s="38">
        <v>36499.74</v>
      </c>
      <c r="J12" s="39"/>
      <c r="K12" s="38">
        <v>33342.959999999999</v>
      </c>
      <c r="L12" s="39"/>
      <c r="M12" s="38">
        <v>29115.96</v>
      </c>
      <c r="N12" s="39"/>
      <c r="O12" s="38"/>
      <c r="P12" s="39"/>
      <c r="Q12" s="38">
        <v>25812.46</v>
      </c>
      <c r="R12" s="39"/>
      <c r="S12" s="38">
        <v>25249.96</v>
      </c>
      <c r="T12" s="39"/>
      <c r="U12" s="38">
        <v>25374.959999999999</v>
      </c>
      <c r="V12" s="39"/>
      <c r="W12" s="38">
        <v>27333.29</v>
      </c>
      <c r="X12" s="39"/>
      <c r="Y12" s="38">
        <v>22916.63</v>
      </c>
      <c r="Z12" s="38">
        <v>30272.68</v>
      </c>
      <c r="AA12" s="94"/>
      <c r="AB12" s="38">
        <v>28000</v>
      </c>
      <c r="AC12" s="34"/>
    </row>
    <row r="13" spans="1:29" ht="50.25" customHeight="1" x14ac:dyDescent="0.25">
      <c r="A13" s="35"/>
      <c r="B13" s="36"/>
      <c r="C13" s="36" t="s">
        <v>36</v>
      </c>
      <c r="D13" s="36" t="s">
        <v>117</v>
      </c>
      <c r="E13" s="38">
        <v>1425.76</v>
      </c>
      <c r="F13" s="39"/>
      <c r="G13" s="38">
        <v>581.33000000000004</v>
      </c>
      <c r="H13" s="39"/>
      <c r="I13" s="38">
        <v>1593.67</v>
      </c>
      <c r="J13" s="39"/>
      <c r="K13" s="38">
        <v>1338.83</v>
      </c>
      <c r="L13" s="39"/>
      <c r="M13" s="38">
        <v>663.99</v>
      </c>
      <c r="N13" s="39"/>
      <c r="O13" s="38">
        <f>1210.18+8.65</f>
        <v>1218.8300000000002</v>
      </c>
      <c r="P13" s="39"/>
      <c r="Q13" s="38">
        <v>1159.48</v>
      </c>
      <c r="R13" s="39"/>
      <c r="S13" s="38">
        <v>921.38</v>
      </c>
      <c r="T13" s="39"/>
      <c r="U13" s="38">
        <v>915.6</v>
      </c>
      <c r="V13" s="39"/>
      <c r="W13" s="38">
        <v>891.01</v>
      </c>
      <c r="X13" s="39"/>
      <c r="Y13" s="38">
        <v>945.67</v>
      </c>
      <c r="Z13" s="38">
        <v>781</v>
      </c>
      <c r="AA13" s="94"/>
      <c r="AB13" s="38">
        <v>500</v>
      </c>
      <c r="AC13" s="34"/>
    </row>
    <row r="14" spans="1:29" ht="50.25" customHeight="1" x14ac:dyDescent="0.25">
      <c r="A14" s="35"/>
      <c r="B14" s="36"/>
      <c r="C14" s="36" t="s">
        <v>37</v>
      </c>
      <c r="D14" s="37" t="s">
        <v>140</v>
      </c>
      <c r="E14" s="38">
        <v>10121.1</v>
      </c>
      <c r="F14" s="39"/>
      <c r="G14" s="38">
        <v>7902.49</v>
      </c>
      <c r="H14" s="39"/>
      <c r="I14" s="38">
        <v>11513.04</v>
      </c>
      <c r="J14" s="39"/>
      <c r="K14" s="38">
        <v>21497.56</v>
      </c>
      <c r="L14" s="39"/>
      <c r="M14" s="38">
        <v>28948.44</v>
      </c>
      <c r="N14" s="39"/>
      <c r="O14" s="38">
        <f>690.1+8.65</f>
        <v>698.75</v>
      </c>
      <c r="P14" s="39"/>
      <c r="Q14" s="38">
        <v>18161.18</v>
      </c>
      <c r="R14" s="39"/>
      <c r="S14" s="38">
        <v>15885.46</v>
      </c>
      <c r="T14" s="39"/>
      <c r="U14" s="38">
        <v>16117.49</v>
      </c>
      <c r="V14" s="39"/>
      <c r="W14" s="38">
        <v>16026.84</v>
      </c>
      <c r="X14" s="39"/>
      <c r="Y14" s="38">
        <v>15369.75</v>
      </c>
      <c r="Z14" s="38">
        <f>862.5+13955.92+1950</f>
        <v>16768.419999999998</v>
      </c>
      <c r="AA14" s="93"/>
      <c r="AB14" s="38">
        <v>10000</v>
      </c>
      <c r="AC14" s="34"/>
    </row>
    <row r="15" spans="1:29" ht="50.25" customHeight="1" x14ac:dyDescent="0.25">
      <c r="A15" s="35"/>
      <c r="B15" s="36"/>
      <c r="C15" s="36" t="s">
        <v>38</v>
      </c>
      <c r="D15" s="37" t="s">
        <v>350</v>
      </c>
      <c r="E15" s="38">
        <v>5818.75</v>
      </c>
      <c r="F15" s="39"/>
      <c r="G15" s="38">
        <v>6008.94</v>
      </c>
      <c r="H15" s="39"/>
      <c r="I15" s="38">
        <v>6785.87</v>
      </c>
      <c r="J15" s="39"/>
      <c r="K15" s="38">
        <v>5500</v>
      </c>
      <c r="L15" s="39"/>
      <c r="M15" s="38">
        <v>6000</v>
      </c>
      <c r="N15" s="39"/>
      <c r="O15" s="38">
        <v>8576.02</v>
      </c>
      <c r="P15" s="39"/>
      <c r="Q15" s="38">
        <v>9148.02</v>
      </c>
      <c r="R15" s="39"/>
      <c r="S15" s="38">
        <v>8328.2999999999993</v>
      </c>
      <c r="T15" s="39"/>
      <c r="U15" s="38">
        <v>8229.14</v>
      </c>
      <c r="V15" s="39"/>
      <c r="W15" s="38">
        <v>8305.06</v>
      </c>
      <c r="X15" s="39"/>
      <c r="Y15" s="38">
        <v>7100</v>
      </c>
      <c r="Z15" s="38">
        <v>10681</v>
      </c>
      <c r="AA15" s="93"/>
      <c r="AB15" s="38">
        <v>11000</v>
      </c>
      <c r="AC15" s="34"/>
    </row>
    <row r="16" spans="1:29" ht="78" customHeight="1" x14ac:dyDescent="0.25">
      <c r="A16" s="35"/>
      <c r="B16" s="36"/>
      <c r="C16" s="36" t="s">
        <v>39</v>
      </c>
      <c r="D16" s="37" t="s">
        <v>305</v>
      </c>
      <c r="E16" s="38">
        <v>3218.54</v>
      </c>
      <c r="F16" s="39"/>
      <c r="G16" s="38">
        <v>4785.5600000000004</v>
      </c>
      <c r="H16" s="39"/>
      <c r="I16" s="38">
        <v>9107.25</v>
      </c>
      <c r="J16" s="39"/>
      <c r="K16" s="38">
        <v>3858.17</v>
      </c>
      <c r="L16" s="39"/>
      <c r="M16" s="38">
        <v>3064.5</v>
      </c>
      <c r="N16" s="39"/>
      <c r="O16" s="38">
        <v>1550.54</v>
      </c>
      <c r="P16" s="39"/>
      <c r="Q16" s="38">
        <v>1248.69</v>
      </c>
      <c r="R16" s="39"/>
      <c r="S16" s="38">
        <v>1134.69</v>
      </c>
      <c r="T16" s="39"/>
      <c r="U16" s="38">
        <v>1689.32</v>
      </c>
      <c r="V16" s="39"/>
      <c r="W16" s="38">
        <v>1175.26</v>
      </c>
      <c r="X16" s="39"/>
      <c r="Y16" s="38">
        <v>1427.42</v>
      </c>
      <c r="Z16" s="38">
        <v>1480</v>
      </c>
      <c r="AA16" s="94"/>
      <c r="AB16" s="38">
        <v>1500</v>
      </c>
      <c r="AC16" s="34"/>
    </row>
    <row r="17" spans="1:29" ht="50.25" customHeight="1" x14ac:dyDescent="0.25">
      <c r="A17" s="35"/>
      <c r="B17" s="36"/>
      <c r="C17" s="36" t="s">
        <v>40</v>
      </c>
      <c r="D17" s="36" t="s">
        <v>118</v>
      </c>
      <c r="E17" s="38">
        <v>0</v>
      </c>
      <c r="F17" s="39"/>
      <c r="G17" s="38">
        <v>0</v>
      </c>
      <c r="H17" s="39"/>
      <c r="I17" s="38">
        <v>0</v>
      </c>
      <c r="J17" s="39"/>
      <c r="K17" s="38">
        <v>1902.91</v>
      </c>
      <c r="L17" s="39"/>
      <c r="M17" s="38">
        <v>345</v>
      </c>
      <c r="N17" s="39"/>
      <c r="O17" s="38"/>
      <c r="P17" s="39"/>
      <c r="Q17" s="38">
        <v>1722.84</v>
      </c>
      <c r="R17" s="39"/>
      <c r="S17" s="38">
        <v>671.71</v>
      </c>
      <c r="T17" s="39"/>
      <c r="U17" s="38">
        <v>1277.8399999999999</v>
      </c>
      <c r="V17" s="39"/>
      <c r="W17" s="38">
        <v>467</v>
      </c>
      <c r="X17" s="39"/>
      <c r="Y17" s="38">
        <v>577</v>
      </c>
      <c r="Z17" s="38">
        <v>204</v>
      </c>
      <c r="AA17" s="94" t="s">
        <v>325</v>
      </c>
      <c r="AB17" s="38">
        <v>500</v>
      </c>
      <c r="AC17" s="34"/>
    </row>
    <row r="18" spans="1:29" ht="50.25" customHeight="1" x14ac:dyDescent="0.25">
      <c r="A18" s="35"/>
      <c r="B18" s="36"/>
      <c r="C18" s="36" t="s">
        <v>41</v>
      </c>
      <c r="D18" s="36" t="s">
        <v>119</v>
      </c>
      <c r="E18" s="38">
        <v>7864.78</v>
      </c>
      <c r="F18" s="39"/>
      <c r="G18" s="38">
        <v>7371.34</v>
      </c>
      <c r="H18" s="39"/>
      <c r="I18" s="38">
        <v>8173.69</v>
      </c>
      <c r="J18" s="39"/>
      <c r="K18" s="38">
        <v>7951.59</v>
      </c>
      <c r="L18" s="39"/>
      <c r="M18" s="38">
        <v>6486.23</v>
      </c>
      <c r="N18" s="39"/>
      <c r="O18" s="38">
        <v>5440.82</v>
      </c>
      <c r="P18" s="39"/>
      <c r="Q18" s="38">
        <v>5137.2</v>
      </c>
      <c r="R18" s="39"/>
      <c r="S18" s="38">
        <v>4329.8100000000004</v>
      </c>
      <c r="T18" s="39"/>
      <c r="U18" s="38">
        <v>4833.5</v>
      </c>
      <c r="V18" s="39"/>
      <c r="W18" s="38">
        <v>4717.58</v>
      </c>
      <c r="X18" s="39"/>
      <c r="Y18" s="38">
        <v>5009.1000000000004</v>
      </c>
      <c r="Z18" s="38">
        <v>4227</v>
      </c>
      <c r="AA18" s="94"/>
      <c r="AB18" s="38">
        <v>3500</v>
      </c>
      <c r="AC18" s="34"/>
    </row>
    <row r="19" spans="1:29" ht="50.25" customHeight="1" x14ac:dyDescent="0.25">
      <c r="A19" s="35"/>
      <c r="B19" s="36"/>
      <c r="C19" s="36" t="s">
        <v>42</v>
      </c>
      <c r="D19" s="36" t="s">
        <v>124</v>
      </c>
      <c r="E19" s="38">
        <v>107.3</v>
      </c>
      <c r="F19" s="39"/>
      <c r="G19" s="38">
        <v>2153.23</v>
      </c>
      <c r="H19" s="39"/>
      <c r="I19" s="38">
        <v>1877.28</v>
      </c>
      <c r="J19" s="39"/>
      <c r="K19" s="38">
        <v>2252.5100000000002</v>
      </c>
      <c r="L19" s="39"/>
      <c r="M19" s="38">
        <v>2672.31</v>
      </c>
      <c r="N19" s="39"/>
      <c r="O19" s="38">
        <v>2205.67</v>
      </c>
      <c r="P19" s="39"/>
      <c r="Q19" s="38">
        <v>336.57</v>
      </c>
      <c r="R19" s="39"/>
      <c r="S19" s="38">
        <v>4770.32</v>
      </c>
      <c r="T19" s="39"/>
      <c r="U19" s="38">
        <v>4634.87</v>
      </c>
      <c r="V19" s="39"/>
      <c r="W19" s="38">
        <v>299.88</v>
      </c>
      <c r="X19" s="39"/>
      <c r="Y19" s="38">
        <v>128.69</v>
      </c>
      <c r="Z19" s="38">
        <v>239</v>
      </c>
      <c r="AA19" s="94"/>
      <c r="AB19" s="38">
        <v>3000</v>
      </c>
      <c r="AC19" s="34"/>
    </row>
    <row r="20" spans="1:29" ht="50.25" customHeight="1" x14ac:dyDescent="0.25">
      <c r="A20" s="35"/>
      <c r="B20" s="36"/>
      <c r="C20" s="36" t="s">
        <v>43</v>
      </c>
      <c r="D20" s="36" t="s">
        <v>128</v>
      </c>
      <c r="E20" s="38">
        <v>34906.04</v>
      </c>
      <c r="F20" s="39"/>
      <c r="G20" s="38">
        <v>47626.35</v>
      </c>
      <c r="H20" s="39"/>
      <c r="I20" s="38">
        <v>46460.51</v>
      </c>
      <c r="J20" s="39"/>
      <c r="K20" s="38">
        <v>45745.32</v>
      </c>
      <c r="L20" s="39"/>
      <c r="M20" s="38">
        <v>56154.49</v>
      </c>
      <c r="N20" s="39"/>
      <c r="O20" s="38">
        <v>61720.81</v>
      </c>
      <c r="P20" s="39"/>
      <c r="Q20" s="38">
        <v>69296.39</v>
      </c>
      <c r="R20" s="39"/>
      <c r="S20" s="38">
        <v>71608.88</v>
      </c>
      <c r="T20" s="39"/>
      <c r="U20" s="38">
        <v>63657.51</v>
      </c>
      <c r="V20" s="39"/>
      <c r="W20" s="38">
        <v>51340.89</v>
      </c>
      <c r="X20" s="39"/>
      <c r="Y20" s="38">
        <v>39381.79</v>
      </c>
      <c r="Z20" s="38">
        <v>42342</v>
      </c>
      <c r="AA20" s="93"/>
      <c r="AB20" s="38">
        <v>85000</v>
      </c>
      <c r="AC20" s="34"/>
    </row>
    <row r="21" spans="1:29" ht="50.25" customHeight="1" x14ac:dyDescent="0.25">
      <c r="A21" s="35"/>
      <c r="B21" s="36"/>
      <c r="C21" s="36" t="s">
        <v>44</v>
      </c>
      <c r="D21" s="36" t="s">
        <v>129</v>
      </c>
      <c r="E21" s="38">
        <v>5072.2299999999996</v>
      </c>
      <c r="F21" s="39"/>
      <c r="G21" s="38">
        <v>4927.92</v>
      </c>
      <c r="H21" s="39"/>
      <c r="I21" s="38">
        <v>4968.3900000000003</v>
      </c>
      <c r="J21" s="39"/>
      <c r="K21" s="38">
        <v>5433.31</v>
      </c>
      <c r="L21" s="39"/>
      <c r="M21" s="38">
        <v>4797.76</v>
      </c>
      <c r="N21" s="39"/>
      <c r="O21" s="38">
        <v>4840.24</v>
      </c>
      <c r="P21" s="39"/>
      <c r="Q21" s="38">
        <v>4176.9799999999996</v>
      </c>
      <c r="R21" s="39"/>
      <c r="S21" s="38">
        <v>3800.95</v>
      </c>
      <c r="T21" s="39"/>
      <c r="U21" s="38">
        <v>4326.45</v>
      </c>
      <c r="V21" s="39"/>
      <c r="W21" s="38">
        <v>4250.37</v>
      </c>
      <c r="X21" s="39"/>
      <c r="Y21" s="38">
        <v>3749.78</v>
      </c>
      <c r="Z21" s="38">
        <v>4911</v>
      </c>
      <c r="AA21" s="94"/>
      <c r="AB21" s="38">
        <v>4500</v>
      </c>
      <c r="AC21" s="34"/>
    </row>
    <row r="22" spans="1:29" ht="64.5" customHeight="1" x14ac:dyDescent="0.25">
      <c r="A22" s="35"/>
      <c r="B22" s="36"/>
      <c r="C22" s="36" t="s">
        <v>45</v>
      </c>
      <c r="D22" s="37" t="s">
        <v>252</v>
      </c>
      <c r="E22" s="38">
        <v>29581.11</v>
      </c>
      <c r="F22" s="39"/>
      <c r="G22" s="38">
        <v>35125.910000000003</v>
      </c>
      <c r="H22" s="39"/>
      <c r="I22" s="38">
        <v>65297.22</v>
      </c>
      <c r="J22" s="39"/>
      <c r="K22" s="38">
        <v>36893.1</v>
      </c>
      <c r="L22" s="39"/>
      <c r="M22" s="38">
        <f>69536.1-O22</f>
        <v>36640.960000000006</v>
      </c>
      <c r="N22" s="39"/>
      <c r="O22" s="38">
        <v>32895.14</v>
      </c>
      <c r="P22" s="39"/>
      <c r="Q22" s="38">
        <v>34091.94</v>
      </c>
      <c r="R22" s="39"/>
      <c r="S22" s="38">
        <v>34799.94</v>
      </c>
      <c r="T22" s="39"/>
      <c r="U22" s="38">
        <v>53395.94</v>
      </c>
      <c r="V22" s="39"/>
      <c r="W22" s="38">
        <v>34752</v>
      </c>
      <c r="X22" s="39"/>
      <c r="Y22" s="38">
        <f>62931-26706</f>
        <v>36225</v>
      </c>
      <c r="Z22" s="38">
        <v>35000</v>
      </c>
      <c r="AA22" s="93"/>
      <c r="AB22" s="38">
        <v>65000</v>
      </c>
      <c r="AC22" s="34"/>
    </row>
    <row r="23" spans="1:29" ht="50.25" customHeight="1" x14ac:dyDescent="0.25">
      <c r="A23" s="35"/>
      <c r="B23" s="36"/>
      <c r="C23" s="36" t="s">
        <v>46</v>
      </c>
      <c r="D23" s="36" t="s">
        <v>130</v>
      </c>
      <c r="E23" s="38">
        <v>13439.65</v>
      </c>
      <c r="F23" s="39"/>
      <c r="G23" s="38">
        <v>4481.32</v>
      </c>
      <c r="H23" s="39"/>
      <c r="I23" s="38">
        <v>7377.2</v>
      </c>
      <c r="J23" s="39"/>
      <c r="K23" s="38">
        <v>19117.37</v>
      </c>
      <c r="L23" s="39"/>
      <c r="M23" s="38">
        <v>11634.25</v>
      </c>
      <c r="N23" s="39"/>
      <c r="O23" s="38">
        <v>21839.39</v>
      </c>
      <c r="P23" s="39"/>
      <c r="Q23" s="38">
        <v>15254.56</v>
      </c>
      <c r="R23" s="39"/>
      <c r="S23" s="38">
        <v>6908</v>
      </c>
      <c r="T23" s="39"/>
      <c r="U23" s="38">
        <v>8095.33</v>
      </c>
      <c r="V23" s="39"/>
      <c r="W23" s="38">
        <v>13416.69</v>
      </c>
      <c r="X23" s="39"/>
      <c r="Y23" s="38">
        <v>8373.7900000000009</v>
      </c>
      <c r="Z23" s="38">
        <v>17374</v>
      </c>
      <c r="AA23" s="94"/>
      <c r="AB23" s="38">
        <v>15000</v>
      </c>
      <c r="AC23" s="34"/>
    </row>
    <row r="24" spans="1:29" ht="55.5" customHeight="1" x14ac:dyDescent="0.25">
      <c r="A24" s="35"/>
      <c r="B24" s="36"/>
      <c r="C24" s="36" t="s">
        <v>47</v>
      </c>
      <c r="D24" s="37" t="s">
        <v>230</v>
      </c>
      <c r="E24" s="38">
        <v>13866.77</v>
      </c>
      <c r="F24" s="39"/>
      <c r="G24" s="38">
        <v>0</v>
      </c>
      <c r="H24" s="39"/>
      <c r="I24" s="38">
        <v>3154.81</v>
      </c>
      <c r="J24" s="39"/>
      <c r="K24" s="38">
        <v>192.5</v>
      </c>
      <c r="L24" s="39"/>
      <c r="M24" s="38">
        <v>196.95</v>
      </c>
      <c r="N24" s="39"/>
      <c r="O24" s="38">
        <v>0</v>
      </c>
      <c r="P24" s="39"/>
      <c r="Q24" s="38">
        <v>560.63</v>
      </c>
      <c r="R24" s="39"/>
      <c r="S24" s="38">
        <v>362.92</v>
      </c>
      <c r="T24" s="39"/>
      <c r="U24" s="38">
        <v>363.92</v>
      </c>
      <c r="V24" s="39"/>
      <c r="W24" s="38">
        <v>433.92</v>
      </c>
      <c r="X24" s="39"/>
      <c r="Y24" s="38">
        <v>433.92</v>
      </c>
      <c r="Z24" s="38">
        <v>0</v>
      </c>
      <c r="AA24" s="94"/>
      <c r="AB24" s="38"/>
      <c r="AC24" s="34"/>
    </row>
    <row r="25" spans="1:29" ht="56.25" customHeight="1" x14ac:dyDescent="0.25">
      <c r="A25" s="35"/>
      <c r="B25" s="36"/>
      <c r="C25" s="36" t="s">
        <v>49</v>
      </c>
      <c r="D25" s="37" t="s">
        <v>306</v>
      </c>
      <c r="E25" s="38">
        <v>4955.91</v>
      </c>
      <c r="F25" s="40"/>
      <c r="G25" s="38">
        <v>6341.4</v>
      </c>
      <c r="H25" s="40"/>
      <c r="I25" s="38">
        <v>8449.49</v>
      </c>
      <c r="J25" s="40"/>
      <c r="K25" s="38">
        <v>4108.3599999999997</v>
      </c>
      <c r="L25" s="40"/>
      <c r="M25" s="38">
        <v>5356.21</v>
      </c>
      <c r="N25" s="40"/>
      <c r="O25" s="38">
        <v>3677.66</v>
      </c>
      <c r="P25" s="40"/>
      <c r="Q25" s="38">
        <v>2210.36</v>
      </c>
      <c r="R25" s="40"/>
      <c r="S25" s="38">
        <v>259.39999999999998</v>
      </c>
      <c r="T25" s="40"/>
      <c r="U25" s="38">
        <v>722.8</v>
      </c>
      <c r="V25" s="40"/>
      <c r="W25" s="38">
        <v>2111.5</v>
      </c>
      <c r="X25" s="40"/>
      <c r="Y25" s="38"/>
      <c r="Z25" s="38">
        <v>0</v>
      </c>
      <c r="AA25" s="93"/>
      <c r="AB25" s="38">
        <v>500</v>
      </c>
    </row>
    <row r="26" spans="1:29" ht="50.25" customHeight="1" x14ac:dyDescent="0.25">
      <c r="A26" s="35"/>
      <c r="B26" s="36"/>
      <c r="C26" s="36" t="s">
        <v>50</v>
      </c>
      <c r="D26" s="41" t="s">
        <v>131</v>
      </c>
      <c r="E26" s="38">
        <v>18480.689999999999</v>
      </c>
      <c r="F26" s="40"/>
      <c r="G26" s="38">
        <v>36186.76</v>
      </c>
      <c r="H26" s="40"/>
      <c r="I26" s="38">
        <v>35287.25</v>
      </c>
      <c r="J26" s="40"/>
      <c r="K26" s="38">
        <v>33687.22</v>
      </c>
      <c r="L26" s="40"/>
      <c r="M26" s="38">
        <v>32577.919999999998</v>
      </c>
      <c r="N26" s="40"/>
      <c r="O26" s="38">
        <v>21837.87</v>
      </c>
      <c r="P26" s="40"/>
      <c r="Q26" s="38">
        <v>25366.720000000001</v>
      </c>
      <c r="R26" s="40"/>
      <c r="S26" s="38">
        <v>40975.31</v>
      </c>
      <c r="T26" s="40"/>
      <c r="U26" s="38">
        <v>57611.15</v>
      </c>
      <c r="V26" s="40"/>
      <c r="W26" s="38">
        <v>85002.29</v>
      </c>
      <c r="X26" s="40"/>
      <c r="Y26" s="38">
        <v>62637.79</v>
      </c>
      <c r="Z26" s="38">
        <v>56716</v>
      </c>
      <c r="AA26" s="94"/>
      <c r="AB26" s="38">
        <v>25000</v>
      </c>
    </row>
    <row r="27" spans="1:29" ht="50.25" customHeight="1" x14ac:dyDescent="0.25">
      <c r="A27" s="35"/>
      <c r="B27" s="36"/>
      <c r="C27" s="36" t="s">
        <v>52</v>
      </c>
      <c r="D27" s="36" t="s">
        <v>132</v>
      </c>
      <c r="E27" s="38">
        <v>9277.52</v>
      </c>
      <c r="F27" s="39"/>
      <c r="G27" s="38">
        <v>961.67</v>
      </c>
      <c r="H27" s="39"/>
      <c r="I27" s="38">
        <v>1827.78</v>
      </c>
      <c r="J27" s="39"/>
      <c r="K27" s="38">
        <v>8503.2999999999993</v>
      </c>
      <c r="L27" s="39"/>
      <c r="M27" s="38">
        <v>5258.66</v>
      </c>
      <c r="N27" s="39"/>
      <c r="O27" s="38">
        <v>4581.13</v>
      </c>
      <c r="P27" s="39"/>
      <c r="Q27" s="38">
        <v>3034.42</v>
      </c>
      <c r="R27" s="39"/>
      <c r="S27" s="38">
        <v>3818.93</v>
      </c>
      <c r="T27" s="39"/>
      <c r="U27" s="38">
        <v>3618.27</v>
      </c>
      <c r="V27" s="39"/>
      <c r="W27" s="38">
        <v>4008.23</v>
      </c>
      <c r="X27" s="39"/>
      <c r="Y27" s="38">
        <v>2428.81</v>
      </c>
      <c r="Z27" s="38">
        <v>3496</v>
      </c>
      <c r="AA27" s="94"/>
      <c r="AB27" s="38">
        <v>500</v>
      </c>
      <c r="AC27" s="34"/>
    </row>
    <row r="28" spans="1:29" ht="68.25" customHeight="1" x14ac:dyDescent="0.25">
      <c r="A28" s="35"/>
      <c r="B28" s="36"/>
      <c r="C28" s="36" t="s">
        <v>53</v>
      </c>
      <c r="D28" s="37" t="s">
        <v>133</v>
      </c>
      <c r="E28" s="38">
        <v>0</v>
      </c>
      <c r="F28" s="39"/>
      <c r="G28" s="38">
        <v>0</v>
      </c>
      <c r="H28" s="39"/>
      <c r="I28" s="38">
        <v>0</v>
      </c>
      <c r="J28" s="39"/>
      <c r="K28" s="38">
        <v>5479.08</v>
      </c>
      <c r="L28" s="39"/>
      <c r="M28" s="38">
        <v>8832.43</v>
      </c>
      <c r="N28" s="39"/>
      <c r="O28" s="38">
        <v>4916.6899999999996</v>
      </c>
      <c r="P28" s="39"/>
      <c r="Q28" s="38">
        <v>3721.6</v>
      </c>
      <c r="R28" s="39"/>
      <c r="S28" s="38">
        <v>2900</v>
      </c>
      <c r="T28" s="39"/>
      <c r="U28" s="38">
        <v>1176.96</v>
      </c>
      <c r="V28" s="39"/>
      <c r="W28" s="38">
        <v>5619.35</v>
      </c>
      <c r="X28" s="39"/>
      <c r="Y28" s="38">
        <v>1194.94</v>
      </c>
      <c r="Z28" s="38">
        <v>3500</v>
      </c>
      <c r="AA28" s="93"/>
      <c r="AB28" s="38">
        <v>500</v>
      </c>
      <c r="AC28" s="34"/>
    </row>
    <row r="29" spans="1:29" ht="94.5" customHeight="1" x14ac:dyDescent="0.25">
      <c r="A29" s="35"/>
      <c r="B29" s="36"/>
      <c r="C29" s="36" t="s">
        <v>54</v>
      </c>
      <c r="D29" s="37" t="s">
        <v>231</v>
      </c>
      <c r="E29" s="38">
        <v>0</v>
      </c>
      <c r="F29" s="39"/>
      <c r="G29" s="38">
        <v>0</v>
      </c>
      <c r="H29" s="39"/>
      <c r="I29" s="38">
        <v>0</v>
      </c>
      <c r="J29" s="39"/>
      <c r="K29" s="38">
        <v>18237.490000000002</v>
      </c>
      <c r="L29" s="39"/>
      <c r="M29" s="38">
        <v>11106.09</v>
      </c>
      <c r="N29" s="39"/>
      <c r="O29" s="38">
        <v>4783.33</v>
      </c>
      <c r="P29" s="39"/>
      <c r="Q29" s="38">
        <v>2858.61</v>
      </c>
      <c r="R29" s="39"/>
      <c r="S29" s="38">
        <v>2832.31</v>
      </c>
      <c r="T29" s="39"/>
      <c r="U29" s="38">
        <v>2997.26</v>
      </c>
      <c r="V29" s="39"/>
      <c r="W29" s="38">
        <v>17682.939999999999</v>
      </c>
      <c r="X29" s="39"/>
      <c r="Y29" s="38">
        <v>4122.5</v>
      </c>
      <c r="Z29" s="38">
        <v>4890</v>
      </c>
      <c r="AA29" s="93"/>
      <c r="AB29" s="38">
        <v>2000</v>
      </c>
      <c r="AC29" s="34"/>
    </row>
    <row r="30" spans="1:29" ht="94.5" customHeight="1" x14ac:dyDescent="0.25">
      <c r="A30" s="35"/>
      <c r="B30" s="36"/>
      <c r="C30" s="36" t="s">
        <v>235</v>
      </c>
      <c r="D30" s="37" t="s">
        <v>237</v>
      </c>
      <c r="E30" s="38"/>
      <c r="F30" s="39"/>
      <c r="G30" s="38"/>
      <c r="H30" s="39"/>
      <c r="I30" s="38"/>
      <c r="J30" s="39"/>
      <c r="K30" s="38"/>
      <c r="L30" s="39"/>
      <c r="M30" s="38"/>
      <c r="N30" s="39"/>
      <c r="O30" s="38">
        <v>2496.56</v>
      </c>
      <c r="P30" s="39"/>
      <c r="Q30" s="38">
        <v>4239.21</v>
      </c>
      <c r="R30" s="39"/>
      <c r="S30" s="38">
        <v>0</v>
      </c>
      <c r="T30" s="39"/>
      <c r="U30" s="38"/>
      <c r="V30" s="39"/>
      <c r="W30" s="38"/>
      <c r="X30" s="39"/>
      <c r="Y30" s="38">
        <v>4476.0200000000004</v>
      </c>
      <c r="Z30" s="38">
        <v>4628</v>
      </c>
      <c r="AA30" s="93"/>
      <c r="AB30" s="38">
        <v>7500</v>
      </c>
      <c r="AC30" s="34"/>
    </row>
    <row r="31" spans="1:29" ht="68.25" customHeight="1" x14ac:dyDescent="0.25">
      <c r="A31" s="35"/>
      <c r="B31" s="36"/>
      <c r="C31" s="36" t="s">
        <v>55</v>
      </c>
      <c r="D31" s="37" t="s">
        <v>307</v>
      </c>
      <c r="E31" s="38">
        <v>11903.99</v>
      </c>
      <c r="F31" s="39"/>
      <c r="G31" s="38">
        <v>10209.26</v>
      </c>
      <c r="H31" s="39"/>
      <c r="I31" s="38">
        <v>11888.19</v>
      </c>
      <c r="J31" s="39"/>
      <c r="K31" s="38">
        <v>19067.080000000002</v>
      </c>
      <c r="L31" s="39"/>
      <c r="M31" s="38">
        <v>10288.16</v>
      </c>
      <c r="N31" s="39"/>
      <c r="O31" s="38">
        <v>7152.06</v>
      </c>
      <c r="P31" s="39"/>
      <c r="Q31" s="38">
        <v>598.70000000000005</v>
      </c>
      <c r="R31" s="39"/>
      <c r="S31" s="38">
        <v>7941.69</v>
      </c>
      <c r="T31" s="39"/>
      <c r="U31" s="38">
        <v>7471.4</v>
      </c>
      <c r="V31" s="39"/>
      <c r="W31" s="38">
        <v>7770.84</v>
      </c>
      <c r="X31" s="39"/>
      <c r="Y31" s="38">
        <v>7767.35</v>
      </c>
      <c r="Z31" s="38">
        <v>8629</v>
      </c>
      <c r="AA31" s="93"/>
      <c r="AB31" s="38">
        <v>15500</v>
      </c>
      <c r="AC31" s="34"/>
    </row>
    <row r="32" spans="1:29" ht="62.25" customHeight="1" x14ac:dyDescent="0.25">
      <c r="A32" s="35"/>
      <c r="B32" s="36"/>
      <c r="C32" s="36" t="s">
        <v>56</v>
      </c>
      <c r="D32" s="37" t="s">
        <v>232</v>
      </c>
      <c r="E32" s="38">
        <v>0</v>
      </c>
      <c r="F32" s="39"/>
      <c r="G32" s="38">
        <v>0</v>
      </c>
      <c r="H32" s="39"/>
      <c r="I32" s="38">
        <v>0</v>
      </c>
      <c r="J32" s="39"/>
      <c r="K32" s="38">
        <v>22345.59</v>
      </c>
      <c r="L32" s="39"/>
      <c r="M32" s="38">
        <v>23150.26</v>
      </c>
      <c r="N32" s="39"/>
      <c r="O32" s="38">
        <v>12551.17</v>
      </c>
      <c r="P32" s="39"/>
      <c r="Q32" s="38">
        <v>20472.21</v>
      </c>
      <c r="R32" s="39"/>
      <c r="S32" s="38">
        <v>20422.599999999999</v>
      </c>
      <c r="T32" s="39"/>
      <c r="U32" s="38">
        <v>20110.13</v>
      </c>
      <c r="V32" s="39"/>
      <c r="W32" s="38">
        <v>20269.099999999999</v>
      </c>
      <c r="X32" s="39"/>
      <c r="Y32" s="38">
        <v>20894.77</v>
      </c>
      <c r="Z32" s="38">
        <v>20698</v>
      </c>
      <c r="AA32" s="93"/>
      <c r="AB32" s="38">
        <v>10000</v>
      </c>
      <c r="AC32" s="34"/>
    </row>
    <row r="33" spans="1:29" ht="50.25" customHeight="1" x14ac:dyDescent="0.25">
      <c r="A33" s="35"/>
      <c r="B33" s="36"/>
      <c r="C33" s="36" t="s">
        <v>57</v>
      </c>
      <c r="D33" s="36" t="s">
        <v>233</v>
      </c>
      <c r="E33" s="38">
        <v>11152.54</v>
      </c>
      <c r="F33" s="39"/>
      <c r="G33" s="38">
        <v>11738.62</v>
      </c>
      <c r="H33" s="39"/>
      <c r="I33" s="38">
        <v>12100.18</v>
      </c>
      <c r="J33" s="39"/>
      <c r="K33" s="38">
        <v>20159.560000000001</v>
      </c>
      <c r="L33" s="39"/>
      <c r="M33" s="38">
        <v>11097.51</v>
      </c>
      <c r="N33" s="39"/>
      <c r="O33" s="38">
        <v>14258.41</v>
      </c>
      <c r="P33" s="39"/>
      <c r="Q33" s="94">
        <f>11096.76+2395</f>
        <v>13491.76</v>
      </c>
      <c r="R33" s="39"/>
      <c r="S33" s="94">
        <v>11096.55</v>
      </c>
      <c r="T33" s="39"/>
      <c r="U33" s="94">
        <v>11096.55</v>
      </c>
      <c r="V33" s="39"/>
      <c r="W33" s="94">
        <v>11100.34</v>
      </c>
      <c r="X33" s="39"/>
      <c r="Y33" s="38">
        <v>11099.95</v>
      </c>
      <c r="Z33" s="38">
        <v>11080</v>
      </c>
      <c r="AA33" s="93"/>
      <c r="AB33" s="38">
        <v>11000</v>
      </c>
      <c r="AC33" s="34"/>
    </row>
    <row r="34" spans="1:29" ht="71.25" customHeight="1" x14ac:dyDescent="0.25">
      <c r="A34" s="35"/>
      <c r="B34" s="36"/>
      <c r="C34" s="36" t="s">
        <v>58</v>
      </c>
      <c r="D34" s="37" t="s">
        <v>333</v>
      </c>
      <c r="E34" s="38">
        <v>18139.91</v>
      </c>
      <c r="F34" s="39"/>
      <c r="G34" s="38">
        <v>9921.36</v>
      </c>
      <c r="H34" s="39"/>
      <c r="I34" s="38">
        <v>53189.760000000002</v>
      </c>
      <c r="J34" s="39"/>
      <c r="K34" s="38">
        <v>3505.72</v>
      </c>
      <c r="L34" s="39"/>
      <c r="M34" s="38">
        <v>9372</v>
      </c>
      <c r="N34" s="39"/>
      <c r="O34" s="38">
        <f>1529.15+112.5</f>
        <v>1641.65</v>
      </c>
      <c r="P34" s="39"/>
      <c r="Q34" s="38">
        <f>24+7895.26</f>
        <v>7919.26</v>
      </c>
      <c r="R34" s="39"/>
      <c r="S34" s="38">
        <v>20904.82</v>
      </c>
      <c r="T34" s="39"/>
      <c r="U34" s="38">
        <v>4353.6400000000003</v>
      </c>
      <c r="V34" s="39"/>
      <c r="W34" s="38">
        <f>3218.83+125</f>
        <v>3343.83</v>
      </c>
      <c r="X34" s="39"/>
      <c r="Y34" s="38">
        <v>458.19</v>
      </c>
      <c r="Z34" s="38">
        <v>2500</v>
      </c>
      <c r="AA34" s="93" t="s">
        <v>125</v>
      </c>
      <c r="AB34" s="38">
        <v>1500</v>
      </c>
      <c r="AC34" s="34"/>
    </row>
    <row r="35" spans="1:29" ht="33" customHeight="1" x14ac:dyDescent="0.25">
      <c r="A35" s="35"/>
      <c r="B35" s="36" t="s">
        <v>59</v>
      </c>
      <c r="C35" s="36"/>
      <c r="D35" s="36"/>
      <c r="E35" s="38">
        <f>SUM(E8:E34)</f>
        <v>313386.10999999993</v>
      </c>
      <c r="F35" s="39"/>
      <c r="G35" s="38">
        <f>SUM(G8:G34)</f>
        <v>357274.79000000004</v>
      </c>
      <c r="H35" s="39"/>
      <c r="I35" s="38">
        <f>SUM(I8:I34)</f>
        <v>463909.06000000006</v>
      </c>
      <c r="J35" s="39"/>
      <c r="K35" s="38">
        <f>SUM(K8:K34)</f>
        <v>491206.75999999995</v>
      </c>
      <c r="L35" s="39"/>
      <c r="M35" s="38">
        <f>SUM(M8:M34)</f>
        <v>411622.62</v>
      </c>
      <c r="N35" s="39"/>
      <c r="O35" s="38">
        <f>SUM(O8:O34)</f>
        <v>222561.75</v>
      </c>
      <c r="P35" s="39"/>
      <c r="Q35" s="38">
        <f>SUM(Q8:Q34)</f>
        <v>302812.66000000003</v>
      </c>
      <c r="R35" s="39"/>
      <c r="S35" s="38">
        <f>SUM(S8:S34)</f>
        <v>313055.19</v>
      </c>
      <c r="T35" s="39"/>
      <c r="U35" s="38">
        <f>SUM(U8:U34)</f>
        <v>320043.69000000006</v>
      </c>
      <c r="V35" s="39"/>
      <c r="W35" s="38">
        <f>SUM(W8:W34)</f>
        <v>352024.30000000005</v>
      </c>
      <c r="X35" s="39"/>
      <c r="Y35" s="38">
        <f>SUM(Y8:Y34)</f>
        <v>277547.12000000005</v>
      </c>
      <c r="Z35" s="38">
        <f>SUM(Z8:Z34)</f>
        <v>306205.09999999998</v>
      </c>
      <c r="AA35" s="38"/>
      <c r="AB35" s="38">
        <f>SUM(AB8:AB34)</f>
        <v>344500</v>
      </c>
      <c r="AC35" s="34"/>
    </row>
    <row r="37" spans="1:29" x14ac:dyDescent="0.25">
      <c r="O37" s="4"/>
      <c r="Q37" s="4"/>
      <c r="S37" s="4"/>
      <c r="U37" s="4"/>
      <c r="W37" s="4"/>
      <c r="Y37" s="4"/>
      <c r="Z37" s="4"/>
    </row>
    <row r="38" spans="1:29" x14ac:dyDescent="0.25">
      <c r="E38" s="5">
        <v>24072</v>
      </c>
    </row>
  </sheetData>
  <phoneticPr fontId="0" type="noConversion"/>
  <printOptions horizontalCentered="1"/>
  <pageMargins left="0.7" right="0.7" top="0.75" bottom="0.75" header="0.25" footer="0.3"/>
  <pageSetup scale="67" fitToHeight="0" orientation="landscape" r:id="rId1"/>
  <headerFooter>
    <oddHeader xml:space="preserve">&amp;C&amp;"Times New Roman,Bold"&amp;14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Budget Amendment 2019</vt:lpstr>
      <vt:lpstr>CIP Amend 2019</vt:lpstr>
      <vt:lpstr>Assessment Schedule</vt:lpstr>
      <vt:lpstr>2025-26 Budget Page</vt:lpstr>
      <vt:lpstr>CIP 2018 Summary</vt:lpstr>
      <vt:lpstr>Capital Projects Lead</vt:lpstr>
      <vt:lpstr>Sheet1</vt:lpstr>
      <vt:lpstr>Staffing and Personel</vt:lpstr>
      <vt:lpstr>Operating Expenses</vt:lpstr>
      <vt:lpstr>Capital Outlay</vt:lpstr>
      <vt:lpstr>March Annual</vt:lpstr>
      <vt:lpstr>CIP 2015 Annual</vt:lpstr>
      <vt:lpstr>GF Annual</vt:lpstr>
      <vt:lpstr>'Budget Amendment 2019'!Print_Area</vt:lpstr>
      <vt:lpstr>'Capital Outlay'!Print_Area</vt:lpstr>
      <vt:lpstr>'CIP Amend 2019'!Print_Area</vt:lpstr>
      <vt:lpstr>'GF Annual'!Print_Area</vt:lpstr>
      <vt:lpstr>'Staffing and Personel'!Print_Area</vt:lpstr>
      <vt:lpstr>'2025-26 Budget Page'!Print_Titles</vt:lpstr>
      <vt:lpstr>'Budget Amendment 2019'!Print_Titles</vt:lpstr>
      <vt:lpstr>'CIP 2015 Annual'!Print_Titles</vt:lpstr>
      <vt:lpstr>'CIP Amend 2019'!Print_Titles</vt:lpstr>
      <vt:lpstr>'GF Annual'!Print_Titles</vt:lpstr>
      <vt:lpstr>'March Annual'!Print_Titles</vt:lpstr>
      <vt:lpstr>'Operating Expenses'!Print_Titles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Seth</dc:creator>
  <cp:lastModifiedBy>Linda Gee</cp:lastModifiedBy>
  <cp:lastPrinted>2025-05-27T12:34:54Z</cp:lastPrinted>
  <dcterms:created xsi:type="dcterms:W3CDTF">2010-03-05T19:00:13Z</dcterms:created>
  <dcterms:modified xsi:type="dcterms:W3CDTF">2025-05-27T12:41:24Z</dcterms:modified>
</cp:coreProperties>
</file>