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75" yWindow="15" windowWidth="17235" windowHeight="7755" activeTab="1"/>
  </bookViews>
  <sheets>
    <sheet name="Income" sheetId="1" r:id="rId1"/>
    <sheet name="Expenses" sheetId="2" r:id="rId2"/>
    <sheet name="Bank Account Flows" sheetId="3" r:id="rId3"/>
  </sheets>
  <calcPr calcId="145621"/>
</workbook>
</file>

<file path=xl/calcChain.xml><?xml version="1.0" encoding="utf-8"?>
<calcChain xmlns="http://schemas.openxmlformats.org/spreadsheetml/2006/main">
  <c r="C19" i="2" l="1"/>
  <c r="C18" i="2"/>
  <c r="B10" i="1" l="1"/>
  <c r="D14" i="2" l="1"/>
  <c r="F14" i="2" s="1"/>
  <c r="E9" i="1"/>
  <c r="B9" i="1"/>
  <c r="C15" i="2" l="1"/>
  <c r="B5" i="3"/>
  <c r="C5" i="3" s="1"/>
  <c r="D6" i="2"/>
  <c r="D10" i="2"/>
  <c r="F10" i="2" s="1"/>
  <c r="F19" i="2" s="1"/>
  <c r="D11" i="2"/>
  <c r="F11" i="2" s="1"/>
  <c r="D8" i="2"/>
  <c r="D7" i="2"/>
  <c r="J10" i="3" s="1"/>
  <c r="D12" i="2"/>
  <c r="F12" i="2" s="1"/>
  <c r="D13" i="2"/>
  <c r="F13" i="2" s="1"/>
  <c r="D9" i="2"/>
  <c r="F9" i="2" s="1"/>
  <c r="H10" i="3" s="1"/>
  <c r="B4" i="1"/>
  <c r="E8" i="1"/>
  <c r="C10" i="1"/>
  <c r="K13" i="3" l="1"/>
  <c r="K9" i="3"/>
  <c r="B12" i="3"/>
  <c r="B8" i="3"/>
  <c r="B11" i="3"/>
  <c r="B7" i="3"/>
  <c r="B10" i="3"/>
  <c r="B6" i="3"/>
  <c r="B13" i="3"/>
  <c r="B9" i="3"/>
  <c r="I8" i="3"/>
  <c r="D18" i="2"/>
  <c r="L12" i="3"/>
  <c r="L8" i="3"/>
  <c r="L10" i="3"/>
  <c r="L13" i="3"/>
  <c r="L9" i="3"/>
  <c r="L11" i="3"/>
  <c r="L7" i="3"/>
  <c r="L6" i="3"/>
  <c r="H6" i="3"/>
  <c r="I5" i="3"/>
  <c r="D5" i="3" s="1"/>
  <c r="E5" i="3" s="1"/>
  <c r="F5" i="3" s="1"/>
  <c r="H13" i="3"/>
  <c r="H9" i="3"/>
  <c r="J6" i="3"/>
  <c r="H12" i="3"/>
  <c r="H8" i="3"/>
  <c r="H11" i="3"/>
  <c r="H7" i="3"/>
  <c r="D19" i="2" l="1"/>
  <c r="D20" i="2" s="1"/>
  <c r="C6" i="3"/>
  <c r="B14" i="3"/>
  <c r="L14" i="3"/>
  <c r="D6" i="3" l="1"/>
  <c r="E6" i="3" s="1"/>
  <c r="F6" i="3" s="1"/>
  <c r="D8" i="3"/>
  <c r="D11" i="3"/>
  <c r="D10" i="3"/>
  <c r="D13" i="3"/>
  <c r="D12" i="3"/>
  <c r="D9" i="3"/>
  <c r="D7" i="3"/>
  <c r="C7" i="3" l="1"/>
  <c r="D14" i="3"/>
  <c r="E14" i="3" s="1"/>
  <c r="E7" i="3" l="1"/>
  <c r="C8" i="3" s="1"/>
  <c r="F7" i="3" l="1"/>
  <c r="E8" i="3"/>
  <c r="C9" i="3" s="1"/>
  <c r="F8" i="3" l="1"/>
  <c r="E9" i="3"/>
  <c r="C10" i="3" s="1"/>
  <c r="F9" i="3" l="1"/>
  <c r="E10" i="3"/>
  <c r="C11" i="3" s="1"/>
  <c r="F10" i="3" l="1"/>
  <c r="E11" i="3"/>
  <c r="C12" i="3" s="1"/>
  <c r="F11" i="3" l="1"/>
  <c r="E12" i="3"/>
  <c r="C13" i="3" s="1"/>
  <c r="F12" i="3" l="1"/>
  <c r="E13" i="3"/>
  <c r="F13" i="3"/>
  <c r="F14" i="3" l="1"/>
</calcChain>
</file>

<file path=xl/sharedStrings.xml><?xml version="1.0" encoding="utf-8"?>
<sst xmlns="http://schemas.openxmlformats.org/spreadsheetml/2006/main" count="98" uniqueCount="73">
  <si>
    <t>Sep</t>
  </si>
  <si>
    <t>Scholarship</t>
  </si>
  <si>
    <t>RESP</t>
  </si>
  <si>
    <t>Family</t>
  </si>
  <si>
    <t>monthly</t>
  </si>
  <si>
    <t>Student debt</t>
  </si>
  <si>
    <t>Sep and Jan</t>
  </si>
  <si>
    <t>Summer job</t>
  </si>
  <si>
    <t>Notes</t>
  </si>
  <si>
    <t>Total</t>
  </si>
  <si>
    <t>When available</t>
  </si>
  <si>
    <t>Part time jobs</t>
  </si>
  <si>
    <t>Minimum wage, 10 hours a week, 8 months when at college/uni</t>
  </si>
  <si>
    <t>Total funding</t>
  </si>
  <si>
    <t>Minimum wage, 7.5 hours a day, 2 months after high school</t>
  </si>
  <si>
    <t>Rent</t>
  </si>
  <si>
    <t>Tuition</t>
  </si>
  <si>
    <t>Groceries</t>
  </si>
  <si>
    <t>Food on campus</t>
  </si>
  <si>
    <t>Travel home</t>
  </si>
  <si>
    <t>Books/materials</t>
  </si>
  <si>
    <t>Alcohol</t>
  </si>
  <si>
    <t>Commute</t>
  </si>
  <si>
    <t>Extracurriculars</t>
  </si>
  <si>
    <t>8 months</t>
  </si>
  <si>
    <t>Per month</t>
  </si>
  <si>
    <t>When due</t>
  </si>
  <si>
    <t>Monthly</t>
  </si>
  <si>
    <t>Aug and Nov</t>
  </si>
  <si>
    <t>-</t>
  </si>
  <si>
    <t>Books</t>
  </si>
  <si>
    <t>Aug</t>
  </si>
  <si>
    <t>Oct</t>
  </si>
  <si>
    <t>Nov</t>
  </si>
  <si>
    <t>Dec</t>
  </si>
  <si>
    <t>Jan</t>
  </si>
  <si>
    <t>Feb</t>
  </si>
  <si>
    <t>Mar</t>
  </si>
  <si>
    <t>Apr</t>
  </si>
  <si>
    <t>Expenses during month (out of chequing account)</t>
  </si>
  <si>
    <t>Balance of savings at month end</t>
  </si>
  <si>
    <t>Available in savings account (start of month)</t>
  </si>
  <si>
    <t>Half Aug, half Sep</t>
  </si>
  <si>
    <t>Half Sep, half Jan</t>
  </si>
  <si>
    <t>https://www.macleans.ca/education/the-cost-of-a-canadian-university-education-in-six-charts/</t>
  </si>
  <si>
    <t>Start by tallying up your sources of income and figure out when this money is available to you</t>
  </si>
  <si>
    <t>Big items</t>
  </si>
  <si>
    <t>Ongoing</t>
  </si>
  <si>
    <t>Big item</t>
  </si>
  <si>
    <t>Going home</t>
  </si>
  <si>
    <t>Dec and Apr</t>
  </si>
  <si>
    <t>Each month</t>
  </si>
  <si>
    <t>Allocate your income 2 ways: big items and ongoing expenses</t>
  </si>
  <si>
    <t>varies</t>
  </si>
  <si>
    <t xml:space="preserve">Figure out when exactly your big expenses are due </t>
  </si>
  <si>
    <t>Create a monthly budget for ongoing expenses</t>
  </si>
  <si>
    <t xml:space="preserve">
Ongoing</t>
  </si>
  <si>
    <t>Income coming in</t>
  </si>
  <si>
    <t>Interest earned in savings account</t>
  </si>
  <si>
    <t>Make your budget flow between your chequing and savins accounts</t>
  </si>
  <si>
    <t>https://simpletax.ca/calculator</t>
  </si>
  <si>
    <t>You may have to pay the first and last month upfront</t>
  </si>
  <si>
    <t>You may have to book and pay for tickets earlier</t>
  </si>
  <si>
    <t>Net after tax</t>
  </si>
  <si>
    <t>% breakdown</t>
  </si>
  <si>
    <t>We used the following tax calculator.  We added the summer and part-time job income and the taxable portion of the RESP.</t>
  </si>
  <si>
    <t>Net after tax: We assumed your employers will deduct for Canada Pension and Employment Insurance, and that you'll pay no income tax</t>
  </si>
  <si>
    <t>MacLean’s notes that average student debt rises from $9,200 in the first year to $23,400 by the fourth year</t>
  </si>
  <si>
    <t>MacLean’s tuition estimate is on the low end of the range – many schools charge more for undergraduate tuition.</t>
  </si>
  <si>
    <r>
      <t>​</t>
    </r>
    <r>
      <rPr>
        <sz val="11"/>
        <color rgb="FF000000"/>
        <rFont val="Calibri"/>
        <family val="2"/>
        <scheme val="minor"/>
      </rPr>
      <t xml:space="preserve">​According to MacLean’s, students who go to school away from home spend almost $19,500 per year.  We used this number to project our budget. </t>
    </r>
  </si>
  <si>
    <t>Those living at home on average spend $9,300.</t>
  </si>
  <si>
    <t xml:space="preserve">Their budget does not mention clothes or any personal expenses - most students have some.  </t>
  </si>
  <si>
    <r>
      <t>You may also pay for medical/dental insurance and other uninsured costs (like over-the-counter meds)</t>
    </r>
    <r>
      <rPr>
        <b/>
        <sz val="11"/>
        <color theme="1"/>
        <rFont val="Calibri"/>
        <family val="2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</si>
</sst>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rgb="FF0000E1"/>
      <name val="Calibri"/>
      <family val="2"/>
      <scheme val="minor"/>
    </font>
    <font>
      <sz val="11"/>
      <color rgb="FF007D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3"/>
      <color rgb="FF1F497D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007D0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7D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67">
    <xf numFmtId="0" fontId="0" fillId="0" borderId="0" xfId="0"/>
    <xf numFmtId="3" fontId="0" fillId="0" borderId="0" xfId="0" applyNumberFormat="1" applyAlignment="1">
      <alignment horizontal="center"/>
    </xf>
    <xf numFmtId="0" fontId="0" fillId="0" borderId="1" xfId="0" applyBorder="1"/>
    <xf numFmtId="0" fontId="3" fillId="0" borderId="0" xfId="0" applyFont="1"/>
    <xf numFmtId="164" fontId="0" fillId="0" borderId="0" xfId="1" applyNumberFormat="1" applyFont="1"/>
    <xf numFmtId="164" fontId="0" fillId="0" borderId="0" xfId="1" applyNumberFormat="1" applyFont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0" fontId="0" fillId="0" borderId="0" xfId="0" applyBorder="1"/>
    <xf numFmtId="164" fontId="0" fillId="0" borderId="0" xfId="1" applyNumberFormat="1" applyFont="1" applyBorder="1" applyAlignment="1">
      <alignment horizontal="center"/>
    </xf>
    <xf numFmtId="3" fontId="0" fillId="0" borderId="0" xfId="0" applyNumberFormat="1" applyAlignment="1">
      <alignment horizontal="left"/>
    </xf>
    <xf numFmtId="3" fontId="0" fillId="0" borderId="0" xfId="0" applyNumberFormat="1" applyBorder="1" applyAlignment="1">
      <alignment horizontal="left"/>
    </xf>
    <xf numFmtId="3" fontId="0" fillId="0" borderId="1" xfId="0" applyNumberFormat="1" applyBorder="1" applyAlignment="1">
      <alignment horizontal="left"/>
    </xf>
    <xf numFmtId="164" fontId="0" fillId="0" borderId="1" xfId="1" applyNumberFormat="1" applyFont="1" applyBorder="1"/>
    <xf numFmtId="164" fontId="1" fillId="0" borderId="1" xfId="1" applyNumberFormat="1" applyFont="1" applyBorder="1"/>
    <xf numFmtId="164" fontId="1" fillId="0" borderId="0" xfId="1" applyNumberFormat="1" applyFont="1" applyBorder="1"/>
    <xf numFmtId="164" fontId="2" fillId="0" borderId="0" xfId="1" applyNumberFormat="1" applyFont="1"/>
    <xf numFmtId="0" fontId="2" fillId="0" borderId="0" xfId="0" applyFont="1"/>
    <xf numFmtId="0" fontId="2" fillId="0" borderId="0" xfId="0" applyFont="1" applyAlignment="1">
      <alignment horizontal="center"/>
    </xf>
    <xf numFmtId="9" fontId="2" fillId="0" borderId="0" xfId="2" applyFont="1" applyAlignment="1">
      <alignment wrapText="1"/>
    </xf>
    <xf numFmtId="0" fontId="2" fillId="0" borderId="0" xfId="0" applyFont="1" applyAlignment="1">
      <alignment wrapText="1"/>
    </xf>
    <xf numFmtId="164" fontId="0" fillId="0" borderId="0" xfId="0" applyNumberFormat="1"/>
    <xf numFmtId="44" fontId="0" fillId="0" borderId="0" xfId="0" applyNumberFormat="1"/>
    <xf numFmtId="164" fontId="5" fillId="0" borderId="0" xfId="1" applyNumberFormat="1" applyFont="1" applyAlignment="1">
      <alignment horizontal="center"/>
    </xf>
    <xf numFmtId="164" fontId="6" fillId="0" borderId="0" xfId="1" applyNumberFormat="1" applyFont="1"/>
    <xf numFmtId="164" fontId="6" fillId="0" borderId="1" xfId="1" applyNumberFormat="1" applyFont="1" applyBorder="1"/>
    <xf numFmtId="164" fontId="5" fillId="0" borderId="0" xfId="1" applyNumberFormat="1" applyFont="1" applyBorder="1" applyAlignment="1">
      <alignment horizontal="center"/>
    </xf>
    <xf numFmtId="164" fontId="5" fillId="0" borderId="1" xfId="1" applyNumberFormat="1" applyFont="1" applyBorder="1" applyAlignment="1">
      <alignment horizontal="center"/>
    </xf>
    <xf numFmtId="164" fontId="0" fillId="0" borderId="0" xfId="1" applyNumberFormat="1" applyFont="1" applyBorder="1"/>
    <xf numFmtId="0" fontId="7" fillId="0" borderId="0" xfId="3"/>
    <xf numFmtId="15" fontId="8" fillId="0" borderId="0" xfId="0" applyNumberFormat="1" applyFont="1" applyAlignment="1">
      <alignment horizontal="left"/>
    </xf>
    <xf numFmtId="9" fontId="0" fillId="0" borderId="0" xfId="2" applyFont="1" applyAlignment="1">
      <alignment horizontal="center"/>
    </xf>
    <xf numFmtId="9" fontId="3" fillId="0" borderId="0" xfId="2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/>
    <xf numFmtId="0" fontId="10" fillId="0" borderId="0" xfId="0" applyFont="1"/>
    <xf numFmtId="0" fontId="10" fillId="0" borderId="1" xfId="0" applyFont="1" applyBorder="1"/>
    <xf numFmtId="0" fontId="9" fillId="0" borderId="0" xfId="0" applyFont="1" applyAlignment="1">
      <alignment vertical="center"/>
    </xf>
    <xf numFmtId="9" fontId="10" fillId="0" borderId="0" xfId="2" applyFont="1" applyAlignment="1">
      <alignment horizontal="center"/>
    </xf>
    <xf numFmtId="164" fontId="10" fillId="0" borderId="0" xfId="1" applyNumberFormat="1" applyFont="1"/>
    <xf numFmtId="164" fontId="11" fillId="0" borderId="0" xfId="1" applyNumberFormat="1" applyFont="1"/>
    <xf numFmtId="0" fontId="11" fillId="0" borderId="0" xfId="0" applyFont="1"/>
    <xf numFmtId="9" fontId="5" fillId="0" borderId="0" xfId="2" applyFont="1" applyAlignment="1">
      <alignment horizontal="center"/>
    </xf>
    <xf numFmtId="9" fontId="5" fillId="0" borderId="0" xfId="2" applyFont="1" applyBorder="1" applyAlignment="1">
      <alignment horizontal="center"/>
    </xf>
    <xf numFmtId="9" fontId="5" fillId="0" borderId="1" xfId="2" applyFont="1" applyBorder="1" applyAlignment="1">
      <alignment horizontal="center"/>
    </xf>
    <xf numFmtId="164" fontId="5" fillId="0" borderId="0" xfId="1" applyNumberFormat="1" applyFont="1"/>
    <xf numFmtId="164" fontId="6" fillId="2" borderId="0" xfId="1" applyNumberFormat="1" applyFont="1" applyFill="1"/>
    <xf numFmtId="164" fontId="4" fillId="2" borderId="0" xfId="1" applyNumberFormat="1" applyFont="1" applyFill="1"/>
    <xf numFmtId="44" fontId="0" fillId="0" borderId="1" xfId="1" applyNumberFormat="1" applyFont="1" applyBorder="1"/>
    <xf numFmtId="10" fontId="5" fillId="0" borderId="0" xfId="0" applyNumberFormat="1" applyFont="1" applyAlignment="1">
      <alignment horizontal="center"/>
    </xf>
    <xf numFmtId="9" fontId="2" fillId="0" borderId="0" xfId="2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12" fillId="2" borderId="0" xfId="0" applyFont="1" applyFill="1" applyBorder="1" applyAlignment="1">
      <alignment wrapText="1"/>
    </xf>
    <xf numFmtId="164" fontId="6" fillId="2" borderId="2" xfId="1" applyNumberFormat="1" applyFont="1" applyFill="1" applyBorder="1"/>
    <xf numFmtId="164" fontId="8" fillId="2" borderId="0" xfId="1" applyNumberFormat="1" applyFont="1" applyFill="1"/>
    <xf numFmtId="9" fontId="2" fillId="0" borderId="0" xfId="2" applyFont="1" applyAlignment="1">
      <alignment horizontal="center"/>
    </xf>
    <xf numFmtId="164" fontId="10" fillId="0" borderId="0" xfId="1" applyNumberFormat="1" applyFont="1" applyAlignment="1">
      <alignment horizontal="center"/>
    </xf>
    <xf numFmtId="9" fontId="10" fillId="0" borderId="1" xfId="2" applyFont="1" applyBorder="1" applyAlignment="1">
      <alignment horizontal="center"/>
    </xf>
    <xf numFmtId="164" fontId="10" fillId="0" borderId="1" xfId="1" applyNumberFormat="1" applyFont="1" applyBorder="1"/>
    <xf numFmtId="164" fontId="7" fillId="0" borderId="0" xfId="3" applyNumberFormat="1"/>
    <xf numFmtId="10" fontId="0" fillId="0" borderId="0" xfId="2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Border="1" applyAlignment="1">
      <alignment horizontal="left"/>
    </xf>
    <xf numFmtId="0" fontId="12" fillId="2" borderId="2" xfId="0" applyFont="1" applyFill="1" applyBorder="1" applyAlignment="1">
      <alignment horizontal="center" wrapText="1"/>
    </xf>
    <xf numFmtId="0" fontId="12" fillId="2" borderId="0" xfId="0" applyFont="1" applyFill="1" applyBorder="1" applyAlignment="1">
      <alignment horizontal="center" vertical="top" wrapText="1"/>
    </xf>
    <xf numFmtId="0" fontId="0" fillId="0" borderId="0" xfId="0" applyFont="1"/>
    <xf numFmtId="0" fontId="0" fillId="0" borderId="0" xfId="0" applyFont="1" applyAlignment="1">
      <alignment horizontal="center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7D00"/>
      <color rgb="FF0000E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impletax.ca/calculato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acleans.ca/education/the-cost-of-a-canadian-university-education-in-six-chart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22"/>
  <sheetViews>
    <sheetView workbookViewId="0">
      <selection activeCell="B17" sqref="B17"/>
    </sheetView>
  </sheetViews>
  <sheetFormatPr defaultRowHeight="15" x14ac:dyDescent="0.25"/>
  <cols>
    <col min="1" max="1" width="21" customWidth="1"/>
    <col min="2" max="2" width="11.42578125" customWidth="1"/>
    <col min="3" max="3" width="12.5703125" customWidth="1"/>
    <col min="4" max="4" width="20.85546875" customWidth="1"/>
    <col min="6" max="6" width="57.42578125" customWidth="1"/>
  </cols>
  <sheetData>
    <row r="1" spans="1:6" ht="17.25" x14ac:dyDescent="0.3">
      <c r="A1" s="33" t="s">
        <v>45</v>
      </c>
    </row>
    <row r="2" spans="1:6" ht="17.25" x14ac:dyDescent="0.3">
      <c r="A2" s="33"/>
    </row>
    <row r="3" spans="1:6" x14ac:dyDescent="0.25">
      <c r="B3" s="17" t="s">
        <v>9</v>
      </c>
      <c r="C3" s="17" t="s">
        <v>63</v>
      </c>
      <c r="D3" s="60" t="s">
        <v>10</v>
      </c>
      <c r="E3" s="60"/>
      <c r="F3" s="16" t="s">
        <v>8</v>
      </c>
    </row>
    <row r="4" spans="1:6" x14ac:dyDescent="0.25">
      <c r="A4" t="s">
        <v>7</v>
      </c>
      <c r="B4" s="22">
        <f>14*7.5*20*2</f>
        <v>4200</v>
      </c>
      <c r="C4" s="22">
        <v>4000</v>
      </c>
      <c r="D4" s="9" t="s">
        <v>42</v>
      </c>
      <c r="E4" s="5"/>
      <c r="F4" t="s">
        <v>14</v>
      </c>
    </row>
    <row r="5" spans="1:6" x14ac:dyDescent="0.25">
      <c r="A5" t="s">
        <v>1</v>
      </c>
      <c r="B5" s="22">
        <v>2000</v>
      </c>
      <c r="C5" s="22">
        <v>2000</v>
      </c>
      <c r="D5" s="9" t="s">
        <v>0</v>
      </c>
      <c r="E5" s="5"/>
    </row>
    <row r="6" spans="1:6" x14ac:dyDescent="0.25">
      <c r="A6" t="s">
        <v>2</v>
      </c>
      <c r="B6" s="22">
        <v>3200</v>
      </c>
      <c r="C6" s="22">
        <v>3100</v>
      </c>
      <c r="D6" s="9" t="s">
        <v>31</v>
      </c>
      <c r="E6" s="5"/>
    </row>
    <row r="7" spans="1:6" s="7" customFormat="1" x14ac:dyDescent="0.25">
      <c r="A7" s="7" t="s">
        <v>5</v>
      </c>
      <c r="B7" s="25">
        <v>2000</v>
      </c>
      <c r="C7" s="25">
        <v>2000</v>
      </c>
      <c r="D7" s="10" t="s">
        <v>43</v>
      </c>
      <c r="E7" s="8"/>
    </row>
    <row r="8" spans="1:6" x14ac:dyDescent="0.25">
      <c r="A8" s="7" t="s">
        <v>3</v>
      </c>
      <c r="B8" s="25">
        <v>4200</v>
      </c>
      <c r="C8" s="25">
        <v>4200</v>
      </c>
      <c r="D8" s="10" t="s">
        <v>4</v>
      </c>
      <c r="E8" s="8">
        <f>C8/8</f>
        <v>525</v>
      </c>
      <c r="F8" s="7"/>
    </row>
    <row r="9" spans="1:6" x14ac:dyDescent="0.25">
      <c r="A9" s="2" t="s">
        <v>11</v>
      </c>
      <c r="B9" s="26">
        <f>14*10*32</f>
        <v>4480</v>
      </c>
      <c r="C9" s="26">
        <v>4300</v>
      </c>
      <c r="D9" s="11" t="s">
        <v>4</v>
      </c>
      <c r="E9" s="6">
        <f>C9/8</f>
        <v>537.5</v>
      </c>
      <c r="F9" s="2" t="s">
        <v>12</v>
      </c>
    </row>
    <row r="10" spans="1:6" x14ac:dyDescent="0.25">
      <c r="A10" t="s">
        <v>13</v>
      </c>
      <c r="B10" s="5">
        <f>SUM(B4:B9)</f>
        <v>20080</v>
      </c>
      <c r="C10" s="5">
        <f>SUM(C4:C9)</f>
        <v>19600</v>
      </c>
      <c r="D10" s="1"/>
      <c r="E10" s="5"/>
    </row>
    <row r="12" spans="1:6" x14ac:dyDescent="0.25">
      <c r="A12" t="s">
        <v>66</v>
      </c>
    </row>
    <row r="13" spans="1:6" x14ac:dyDescent="0.25">
      <c r="A13" t="s">
        <v>65</v>
      </c>
    </row>
    <row r="14" spans="1:6" x14ac:dyDescent="0.25">
      <c r="A14" s="58" t="s">
        <v>60</v>
      </c>
    </row>
    <row r="15" spans="1:6" ht="15.75" x14ac:dyDescent="0.25">
      <c r="A15" s="7"/>
      <c r="B15" s="5"/>
    </row>
    <row r="16" spans="1:6" x14ac:dyDescent="0.25">
      <c r="A16" s="7"/>
      <c r="B16" s="5"/>
    </row>
    <row r="17" spans="1:2" x14ac:dyDescent="0.25">
      <c r="A17" s="7"/>
      <c r="B17" s="5"/>
    </row>
    <row r="18" spans="1:2" x14ac:dyDescent="0.25">
      <c r="A18" s="7"/>
      <c r="B18" s="5"/>
    </row>
    <row r="19" spans="1:2" ht="15.75" x14ac:dyDescent="0.25">
      <c r="A19" s="7"/>
      <c r="B19" s="5"/>
    </row>
    <row r="20" spans="1:2" ht="15.75" x14ac:dyDescent="0.25">
      <c r="A20" s="7"/>
      <c r="B20" s="5"/>
    </row>
    <row r="21" spans="1:2" ht="15.75" x14ac:dyDescent="0.25">
      <c r="A21" s="7"/>
      <c r="B21" s="59"/>
    </row>
    <row r="22" spans="1:2" ht="15.75" x14ac:dyDescent="0.25">
      <c r="A22" s="7"/>
      <c r="B22" s="59"/>
    </row>
  </sheetData>
  <mergeCells count="1">
    <mergeCell ref="D3:E3"/>
  </mergeCells>
  <hyperlinks>
    <hyperlink ref="A14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31"/>
  <sheetViews>
    <sheetView tabSelected="1" topLeftCell="A10" workbookViewId="0">
      <selection activeCell="G18" sqref="G18"/>
    </sheetView>
  </sheetViews>
  <sheetFormatPr defaultRowHeight="15" x14ac:dyDescent="0.25"/>
  <cols>
    <col min="1" max="1" width="9.140625" style="34"/>
    <col min="2" max="2" width="16.28515625" customWidth="1"/>
    <col min="3" max="3" width="14.85546875" style="32" customWidth="1"/>
    <col min="4" max="4" width="11.5703125" bestFit="1" customWidth="1"/>
    <col min="5" max="5" width="12.28515625" customWidth="1"/>
    <col min="6" max="6" width="10.5703125" customWidth="1"/>
    <col min="7" max="7" width="47.7109375" customWidth="1"/>
  </cols>
  <sheetData>
    <row r="1" spans="1:11" ht="17.25" x14ac:dyDescent="0.25">
      <c r="A1" s="36" t="s">
        <v>52</v>
      </c>
      <c r="B1" s="36"/>
      <c r="C1" s="36"/>
      <c r="D1" s="36"/>
      <c r="E1" s="36"/>
      <c r="F1" s="3"/>
      <c r="G1" s="3"/>
      <c r="H1" s="3"/>
      <c r="I1" s="3"/>
      <c r="J1" s="3"/>
      <c r="K1" s="3"/>
    </row>
    <row r="2" spans="1:11" ht="17.25" x14ac:dyDescent="0.3">
      <c r="A2" s="33" t="s">
        <v>54</v>
      </c>
      <c r="B2" s="36"/>
      <c r="C2" s="36"/>
      <c r="D2" s="36"/>
      <c r="E2" s="36"/>
      <c r="F2" s="3"/>
      <c r="G2" s="3"/>
      <c r="H2" s="3"/>
      <c r="I2" s="3"/>
      <c r="J2" s="3"/>
      <c r="K2" s="3"/>
    </row>
    <row r="3" spans="1:11" ht="17.25" x14ac:dyDescent="0.3">
      <c r="A3" s="33" t="s">
        <v>55</v>
      </c>
      <c r="B3" s="36"/>
      <c r="C3" s="36"/>
      <c r="D3" s="36"/>
      <c r="E3" s="36"/>
      <c r="F3" s="3"/>
      <c r="G3" s="3"/>
      <c r="H3" s="3"/>
      <c r="I3" s="3"/>
      <c r="J3" s="3"/>
      <c r="K3" s="3"/>
    </row>
    <row r="4" spans="1:11" x14ac:dyDescent="0.25">
      <c r="C4" s="31"/>
      <c r="D4" s="3"/>
      <c r="E4" s="3"/>
      <c r="F4" s="3"/>
      <c r="G4" s="3"/>
      <c r="H4" s="3"/>
      <c r="I4" s="3"/>
      <c r="J4" s="3"/>
      <c r="K4" s="3"/>
    </row>
    <row r="5" spans="1:11" x14ac:dyDescent="0.25">
      <c r="C5" s="54" t="s">
        <v>64</v>
      </c>
      <c r="D5" s="15" t="s">
        <v>24</v>
      </c>
      <c r="E5" s="16" t="s">
        <v>26</v>
      </c>
      <c r="F5" s="16" t="s">
        <v>25</v>
      </c>
      <c r="G5" s="16" t="s">
        <v>8</v>
      </c>
    </row>
    <row r="6" spans="1:11" x14ac:dyDescent="0.25">
      <c r="A6" s="34" t="s">
        <v>48</v>
      </c>
      <c r="B6" t="s">
        <v>16</v>
      </c>
      <c r="C6" s="41">
        <v>0.34</v>
      </c>
      <c r="D6" s="4">
        <f t="shared" ref="D6:D14" si="0">C6*$D$15</f>
        <v>6629.3200000000006</v>
      </c>
      <c r="E6" t="s">
        <v>28</v>
      </c>
      <c r="F6" s="4" t="s">
        <v>29</v>
      </c>
    </row>
    <row r="7" spans="1:11" x14ac:dyDescent="0.25">
      <c r="A7" s="34" t="s">
        <v>48</v>
      </c>
      <c r="B7" t="s">
        <v>20</v>
      </c>
      <c r="C7" s="41">
        <v>0.04</v>
      </c>
      <c r="D7" s="4">
        <f t="shared" si="0"/>
        <v>779.92000000000007</v>
      </c>
      <c r="E7" t="s">
        <v>6</v>
      </c>
      <c r="F7" s="4" t="s">
        <v>29</v>
      </c>
    </row>
    <row r="8" spans="1:11" x14ac:dyDescent="0.25">
      <c r="A8" s="34" t="s">
        <v>48</v>
      </c>
      <c r="B8" t="s">
        <v>19</v>
      </c>
      <c r="C8" s="41">
        <v>0.04</v>
      </c>
      <c r="D8" s="4">
        <f t="shared" si="0"/>
        <v>779.92000000000007</v>
      </c>
      <c r="E8" t="s">
        <v>50</v>
      </c>
      <c r="F8" s="4" t="s">
        <v>29</v>
      </c>
      <c r="G8" t="s">
        <v>62</v>
      </c>
    </row>
    <row r="9" spans="1:11" x14ac:dyDescent="0.25">
      <c r="A9" s="34" t="s">
        <v>48</v>
      </c>
      <c r="B9" t="s">
        <v>15</v>
      </c>
      <c r="C9" s="41">
        <v>0.4</v>
      </c>
      <c r="D9" s="4">
        <f t="shared" si="0"/>
        <v>7799.2000000000007</v>
      </c>
      <c r="E9" t="s">
        <v>51</v>
      </c>
      <c r="F9" s="4">
        <f t="shared" ref="F9:F13" si="1">D9/8</f>
        <v>974.90000000000009</v>
      </c>
      <c r="G9" t="s">
        <v>61</v>
      </c>
    </row>
    <row r="10" spans="1:11" x14ac:dyDescent="0.25">
      <c r="A10" s="34" t="s">
        <v>47</v>
      </c>
      <c r="B10" t="s">
        <v>17</v>
      </c>
      <c r="C10" s="41">
        <v>0.08</v>
      </c>
      <c r="D10" s="4">
        <f t="shared" si="0"/>
        <v>1559.8400000000001</v>
      </c>
      <c r="E10" t="s">
        <v>27</v>
      </c>
      <c r="F10" s="4">
        <f t="shared" si="1"/>
        <v>194.98000000000002</v>
      </c>
    </row>
    <row r="11" spans="1:11" x14ac:dyDescent="0.25">
      <c r="A11" s="34" t="s">
        <v>47</v>
      </c>
      <c r="B11" t="s">
        <v>18</v>
      </c>
      <c r="C11" s="41">
        <v>0.05</v>
      </c>
      <c r="D11" s="4">
        <f t="shared" si="0"/>
        <v>974.90000000000009</v>
      </c>
      <c r="E11" t="s">
        <v>27</v>
      </c>
      <c r="F11" s="4">
        <f t="shared" si="1"/>
        <v>121.86250000000001</v>
      </c>
    </row>
    <row r="12" spans="1:11" x14ac:dyDescent="0.25">
      <c r="A12" s="34" t="s">
        <v>47</v>
      </c>
      <c r="B12" t="s">
        <v>21</v>
      </c>
      <c r="C12" s="41">
        <v>0.02</v>
      </c>
      <c r="D12" s="4">
        <f t="shared" si="0"/>
        <v>389.96000000000004</v>
      </c>
      <c r="E12" t="s">
        <v>27</v>
      </c>
      <c r="F12" s="4">
        <f t="shared" si="1"/>
        <v>48.745000000000005</v>
      </c>
    </row>
    <row r="13" spans="1:11" x14ac:dyDescent="0.25">
      <c r="A13" s="34" t="s">
        <v>47</v>
      </c>
      <c r="B13" s="7" t="s">
        <v>22</v>
      </c>
      <c r="C13" s="42">
        <v>0.02</v>
      </c>
      <c r="D13" s="27">
        <f t="shared" si="0"/>
        <v>389.96000000000004</v>
      </c>
      <c r="E13" s="7" t="s">
        <v>27</v>
      </c>
      <c r="F13" s="27">
        <f t="shared" si="1"/>
        <v>48.745000000000005</v>
      </c>
    </row>
    <row r="14" spans="1:11" x14ac:dyDescent="0.25">
      <c r="A14" s="35" t="s">
        <v>47</v>
      </c>
      <c r="B14" s="2" t="s">
        <v>23</v>
      </c>
      <c r="C14" s="43">
        <v>0.01</v>
      </c>
      <c r="D14" s="12">
        <f t="shared" si="0"/>
        <v>194.98000000000002</v>
      </c>
      <c r="E14" s="2" t="s">
        <v>27</v>
      </c>
      <c r="F14" s="12">
        <f t="shared" ref="F14" si="2">D14/8</f>
        <v>24.372500000000002</v>
      </c>
    </row>
    <row r="15" spans="1:11" x14ac:dyDescent="0.25">
      <c r="C15" s="30">
        <f>SUM(C6:C14)</f>
        <v>1</v>
      </c>
      <c r="D15" s="44">
        <v>19498</v>
      </c>
      <c r="F15" s="4"/>
    </row>
    <row r="16" spans="1:11" ht="9.75" customHeight="1" x14ac:dyDescent="0.25">
      <c r="C16" s="30"/>
      <c r="D16" s="4"/>
      <c r="F16" s="4"/>
    </row>
    <row r="17" spans="1:6" x14ac:dyDescent="0.25">
      <c r="C17" s="30"/>
      <c r="D17" s="39" t="s">
        <v>24</v>
      </c>
      <c r="E17" s="40"/>
      <c r="F17" s="39" t="s">
        <v>25</v>
      </c>
    </row>
    <row r="18" spans="1:6" x14ac:dyDescent="0.25">
      <c r="A18" s="61" t="s">
        <v>46</v>
      </c>
      <c r="B18" s="61"/>
      <c r="C18" s="37">
        <f>D18/D20</f>
        <v>0.82000000000000006</v>
      </c>
      <c r="D18" s="38">
        <f>SUM(D6:D9)</f>
        <v>15988.36</v>
      </c>
      <c r="E18" s="34"/>
      <c r="F18" s="55" t="s">
        <v>53</v>
      </c>
    </row>
    <row r="19" spans="1:6" x14ac:dyDescent="0.25">
      <c r="A19" s="62" t="s">
        <v>47</v>
      </c>
      <c r="B19" s="62"/>
      <c r="C19" s="56">
        <f>D19/D20</f>
        <v>0.17999999999999997</v>
      </c>
      <c r="D19" s="57">
        <f>D15-D18</f>
        <v>3509.6399999999994</v>
      </c>
      <c r="E19" s="35"/>
      <c r="F19" s="57">
        <f>SUM(F10:F14)</f>
        <v>438.70500000000004</v>
      </c>
    </row>
    <row r="20" spans="1:6" x14ac:dyDescent="0.25">
      <c r="B20" t="s">
        <v>9</v>
      </c>
      <c r="C20" s="30"/>
      <c r="D20" s="4">
        <f>SUM(D18:D19)</f>
        <v>19498</v>
      </c>
      <c r="F20" s="4" t="s">
        <v>29</v>
      </c>
    </row>
    <row r="22" spans="1:6" x14ac:dyDescent="0.25">
      <c r="A22" s="28" t="s">
        <v>44</v>
      </c>
    </row>
    <row r="23" spans="1:6" x14ac:dyDescent="0.25">
      <c r="A23" s="29"/>
    </row>
    <row r="24" spans="1:6" s="65" customFormat="1" x14ac:dyDescent="0.25">
      <c r="A24" s="65" t="s">
        <v>69</v>
      </c>
      <c r="C24" s="66"/>
    </row>
    <row r="25" spans="1:6" s="65" customFormat="1" x14ac:dyDescent="0.25">
      <c r="A25" s="65" t="s">
        <v>70</v>
      </c>
      <c r="C25" s="66"/>
    </row>
    <row r="26" spans="1:6" s="65" customFormat="1" x14ac:dyDescent="0.25">
      <c r="A26" s="65" t="s">
        <v>68</v>
      </c>
      <c r="C26" s="66"/>
    </row>
    <row r="27" spans="1:6" s="65" customFormat="1" x14ac:dyDescent="0.25">
      <c r="A27" s="65" t="s">
        <v>71</v>
      </c>
      <c r="C27" s="66"/>
    </row>
    <row r="28" spans="1:6" s="65" customFormat="1" x14ac:dyDescent="0.25">
      <c r="A28" s="65" t="s">
        <v>72</v>
      </c>
      <c r="C28" s="66"/>
    </row>
    <row r="29" spans="1:6" s="65" customFormat="1" x14ac:dyDescent="0.25">
      <c r="A29" s="65" t="s">
        <v>67</v>
      </c>
      <c r="C29" s="66"/>
    </row>
    <row r="30" spans="1:6" s="65" customFormat="1" x14ac:dyDescent="0.25">
      <c r="C30" s="66"/>
    </row>
    <row r="31" spans="1:6" s="65" customFormat="1" x14ac:dyDescent="0.25">
      <c r="A31" s="34"/>
      <c r="C31" s="66"/>
    </row>
  </sheetData>
  <mergeCells count="2">
    <mergeCell ref="A18:B18"/>
    <mergeCell ref="A19:B19"/>
  </mergeCells>
  <hyperlinks>
    <hyperlink ref="A22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16"/>
  <sheetViews>
    <sheetView topLeftCell="A4" workbookViewId="0">
      <selection activeCell="A23" sqref="A23"/>
    </sheetView>
  </sheetViews>
  <sheetFormatPr defaultRowHeight="15" x14ac:dyDescent="0.25"/>
  <cols>
    <col min="2" max="2" width="11.5703125" bestFit="1" customWidth="1"/>
    <col min="3" max="3" width="11.5703125" customWidth="1"/>
    <col min="4" max="4" width="15.7109375" customWidth="1"/>
    <col min="5" max="5" width="10.5703125" customWidth="1"/>
    <col min="7" max="7" width="3.28515625" customWidth="1"/>
    <col min="8" max="10" width="9.28515625" bestFit="1" customWidth="1"/>
    <col min="11" max="11" width="9.28515625" customWidth="1"/>
    <col min="12" max="12" width="9.28515625" bestFit="1" customWidth="1"/>
    <col min="13" max="13" width="3.5703125" customWidth="1"/>
  </cols>
  <sheetData>
    <row r="1" spans="1:12" ht="17.25" x14ac:dyDescent="0.25">
      <c r="A1" s="36" t="s">
        <v>59</v>
      </c>
      <c r="D1" s="7"/>
    </row>
    <row r="2" spans="1:12" x14ac:dyDescent="0.25">
      <c r="D2" s="7"/>
    </row>
    <row r="3" spans="1:12" ht="75" x14ac:dyDescent="0.25">
      <c r="B3" s="49" t="s">
        <v>57</v>
      </c>
      <c r="C3" s="49" t="s">
        <v>41</v>
      </c>
      <c r="D3" s="50" t="s">
        <v>39</v>
      </c>
      <c r="E3" s="50" t="s">
        <v>40</v>
      </c>
      <c r="F3" s="50" t="s">
        <v>58</v>
      </c>
      <c r="G3" s="19"/>
      <c r="H3" s="63" t="s">
        <v>46</v>
      </c>
      <c r="I3" s="63"/>
      <c r="J3" s="63"/>
      <c r="K3" s="63"/>
      <c r="L3" s="64" t="s">
        <v>56</v>
      </c>
    </row>
    <row r="4" spans="1:12" ht="30" x14ac:dyDescent="0.25">
      <c r="B4" s="18"/>
      <c r="C4" s="18"/>
      <c r="D4" s="18"/>
      <c r="E4" s="18"/>
      <c r="F4" s="48">
        <v>2.3E-2</v>
      </c>
      <c r="G4" s="18"/>
      <c r="H4" s="51" t="s">
        <v>15</v>
      </c>
      <c r="I4" s="51" t="s">
        <v>16</v>
      </c>
      <c r="J4" s="51" t="s">
        <v>30</v>
      </c>
      <c r="K4" s="51" t="s">
        <v>49</v>
      </c>
      <c r="L4" s="64"/>
    </row>
    <row r="5" spans="1:12" x14ac:dyDescent="0.25">
      <c r="A5" t="s">
        <v>31</v>
      </c>
      <c r="B5" s="23">
        <f>Income!C4/2+Income!C6</f>
        <v>5100</v>
      </c>
      <c r="C5" s="4">
        <f>B5</f>
        <v>5100</v>
      </c>
      <c r="D5" s="4">
        <f>SUM(H5:L5)</f>
        <v>3314.6600000000003</v>
      </c>
      <c r="E5" s="4">
        <f>C5-D5</f>
        <v>1785.3399999999997</v>
      </c>
      <c r="F5" s="21">
        <f t="shared" ref="F5:F13" si="0">AVERAGE(C5,E5)*$F$4/12</f>
        <v>6.5984508333333336</v>
      </c>
      <c r="G5" s="4"/>
      <c r="H5" s="45"/>
      <c r="I5" s="45">
        <f>Expenses!D6/2</f>
        <v>3314.6600000000003</v>
      </c>
      <c r="J5" s="45"/>
      <c r="K5" s="45"/>
      <c r="L5" s="45"/>
    </row>
    <row r="6" spans="1:12" x14ac:dyDescent="0.25">
      <c r="A6" t="s">
        <v>0</v>
      </c>
      <c r="B6" s="23">
        <f>Income!C4/2+Income!C5+Income!C7/2+Income!E8+Income!E9</f>
        <v>6062.5</v>
      </c>
      <c r="C6" s="4">
        <f>E5+B6</f>
        <v>7847.84</v>
      </c>
      <c r="D6" s="4">
        <f t="shared" ref="D6:D13" si="1">SUM(H6:L6)</f>
        <v>1803.5650000000001</v>
      </c>
      <c r="E6" s="4">
        <f>C6-D6</f>
        <v>6044.2749999999996</v>
      </c>
      <c r="F6" s="21">
        <f t="shared" si="0"/>
        <v>13.313276875</v>
      </c>
      <c r="G6" s="4"/>
      <c r="H6" s="45">
        <f>Expenses!$F$9</f>
        <v>974.90000000000009</v>
      </c>
      <c r="I6" s="45"/>
      <c r="J6" s="45">
        <f>Expenses!D7/2</f>
        <v>389.96000000000004</v>
      </c>
      <c r="K6" s="45"/>
      <c r="L6" s="45">
        <f>SUM(Expenses!$F$10:$F$14)</f>
        <v>438.70500000000004</v>
      </c>
    </row>
    <row r="7" spans="1:12" x14ac:dyDescent="0.25">
      <c r="A7" t="s">
        <v>32</v>
      </c>
      <c r="B7" s="23">
        <f>Income!E8+Income!E9</f>
        <v>1062.5</v>
      </c>
      <c r="C7" s="4">
        <f t="shared" ref="C7:C13" si="2">E6+B7</f>
        <v>7106.7749999999996</v>
      </c>
      <c r="D7" s="4">
        <f t="shared" si="1"/>
        <v>1413.605</v>
      </c>
      <c r="E7" s="4">
        <f t="shared" ref="E7:E13" si="3">C7-D7</f>
        <v>5693.17</v>
      </c>
      <c r="F7" s="21">
        <f t="shared" si="0"/>
        <v>12.266613958333332</v>
      </c>
      <c r="G7" s="4"/>
      <c r="H7" s="45">
        <f>Expenses!$F$9</f>
        <v>974.90000000000009</v>
      </c>
      <c r="I7" s="45"/>
      <c r="J7" s="45"/>
      <c r="K7" s="45"/>
      <c r="L7" s="45">
        <f>SUM(Expenses!$F$10:$F$14)</f>
        <v>438.70500000000004</v>
      </c>
    </row>
    <row r="8" spans="1:12" x14ac:dyDescent="0.25">
      <c r="A8" t="s">
        <v>33</v>
      </c>
      <c r="B8" s="23">
        <f>Income!E8+Income!E9</f>
        <v>1062.5</v>
      </c>
      <c r="C8" s="4">
        <f t="shared" si="2"/>
        <v>6755.67</v>
      </c>
      <c r="D8" s="4">
        <f t="shared" si="1"/>
        <v>4728.2650000000003</v>
      </c>
      <c r="E8" s="4">
        <f t="shared" si="3"/>
        <v>2027.4049999999997</v>
      </c>
      <c r="F8" s="21">
        <f t="shared" si="0"/>
        <v>8.4171135416666676</v>
      </c>
      <c r="G8" s="4"/>
      <c r="H8" s="45">
        <f>Expenses!$F$9</f>
        <v>974.90000000000009</v>
      </c>
      <c r="I8" s="45">
        <f>Expenses!D6/2</f>
        <v>3314.6600000000003</v>
      </c>
      <c r="J8" s="45"/>
      <c r="K8" s="45"/>
      <c r="L8" s="45">
        <f>SUM(Expenses!$F$10:$F$14)</f>
        <v>438.70500000000004</v>
      </c>
    </row>
    <row r="9" spans="1:12" x14ac:dyDescent="0.25">
      <c r="A9" t="s">
        <v>34</v>
      </c>
      <c r="B9" s="23">
        <f>Income!E8+Income!E9</f>
        <v>1062.5</v>
      </c>
      <c r="C9" s="4">
        <f t="shared" si="2"/>
        <v>3089.9049999999997</v>
      </c>
      <c r="D9" s="4">
        <f t="shared" si="1"/>
        <v>1803.5650000000001</v>
      </c>
      <c r="E9" s="4">
        <f t="shared" si="3"/>
        <v>1286.3399999999997</v>
      </c>
      <c r="F9" s="21">
        <f t="shared" si="0"/>
        <v>4.1939014583333325</v>
      </c>
      <c r="G9" s="4"/>
      <c r="H9" s="45">
        <f>Expenses!$F$9</f>
        <v>974.90000000000009</v>
      </c>
      <c r="I9" s="45"/>
      <c r="J9" s="45"/>
      <c r="K9" s="45">
        <f>Expenses!D8/2</f>
        <v>389.96000000000004</v>
      </c>
      <c r="L9" s="45">
        <f>SUM(Expenses!$F$10:$F$14)</f>
        <v>438.70500000000004</v>
      </c>
    </row>
    <row r="10" spans="1:12" x14ac:dyDescent="0.25">
      <c r="A10" t="s">
        <v>35</v>
      </c>
      <c r="B10" s="23">
        <f>Income!E8+Income!E9+Income!C7/2</f>
        <v>2062.5</v>
      </c>
      <c r="C10" s="4">
        <f t="shared" si="2"/>
        <v>3348.8399999999997</v>
      </c>
      <c r="D10" s="4">
        <f t="shared" si="1"/>
        <v>1803.5650000000001</v>
      </c>
      <c r="E10" s="4">
        <f t="shared" si="3"/>
        <v>1545.2749999999996</v>
      </c>
      <c r="F10" s="21">
        <f t="shared" si="0"/>
        <v>4.6901935416666669</v>
      </c>
      <c r="G10" s="4"/>
      <c r="H10" s="45">
        <f>Expenses!$F$9</f>
        <v>974.90000000000009</v>
      </c>
      <c r="I10" s="45"/>
      <c r="J10" s="45">
        <f>Expenses!D7/2</f>
        <v>389.96000000000004</v>
      </c>
      <c r="K10" s="45"/>
      <c r="L10" s="45">
        <f>SUM(Expenses!$F$10:$F$14)</f>
        <v>438.70500000000004</v>
      </c>
    </row>
    <row r="11" spans="1:12" x14ac:dyDescent="0.25">
      <c r="A11" t="s">
        <v>36</v>
      </c>
      <c r="B11" s="23">
        <f>Income!E8+Income!E9</f>
        <v>1062.5</v>
      </c>
      <c r="C11" s="4">
        <f t="shared" si="2"/>
        <v>2607.7749999999996</v>
      </c>
      <c r="D11" s="4">
        <f t="shared" si="1"/>
        <v>1413.605</v>
      </c>
      <c r="E11" s="4">
        <f t="shared" si="3"/>
        <v>1194.1699999999996</v>
      </c>
      <c r="F11" s="21">
        <f t="shared" si="0"/>
        <v>3.643530624999999</v>
      </c>
      <c r="G11" s="4"/>
      <c r="H11" s="45">
        <f>Expenses!$F$9</f>
        <v>974.90000000000009</v>
      </c>
      <c r="I11" s="45"/>
      <c r="J11" s="45"/>
      <c r="K11" s="45"/>
      <c r="L11" s="45">
        <f>SUM(Expenses!$F$10:$F$14)</f>
        <v>438.70500000000004</v>
      </c>
    </row>
    <row r="12" spans="1:12" x14ac:dyDescent="0.25">
      <c r="A12" t="s">
        <v>37</v>
      </c>
      <c r="B12" s="23">
        <f>Income!E8+Income!E9</f>
        <v>1062.5</v>
      </c>
      <c r="C12" s="4">
        <f t="shared" si="2"/>
        <v>2256.6699999999996</v>
      </c>
      <c r="D12" s="4">
        <f t="shared" si="1"/>
        <v>1413.605</v>
      </c>
      <c r="E12" s="4">
        <f t="shared" si="3"/>
        <v>843.0649999999996</v>
      </c>
      <c r="F12" s="21">
        <f t="shared" si="0"/>
        <v>2.9705793749999994</v>
      </c>
      <c r="G12" s="4"/>
      <c r="H12" s="45">
        <f>Expenses!$F$9</f>
        <v>974.90000000000009</v>
      </c>
      <c r="I12" s="45"/>
      <c r="J12" s="45"/>
      <c r="K12" s="45"/>
      <c r="L12" s="45">
        <f>SUM(Expenses!$F$10:$F$14)</f>
        <v>438.70500000000004</v>
      </c>
    </row>
    <row r="13" spans="1:12" x14ac:dyDescent="0.25">
      <c r="A13" t="s">
        <v>38</v>
      </c>
      <c r="B13" s="24">
        <f>Income!E8+Income!E9</f>
        <v>1062.5</v>
      </c>
      <c r="C13" s="12">
        <f t="shared" si="2"/>
        <v>1905.5649999999996</v>
      </c>
      <c r="D13" s="13">
        <f t="shared" si="1"/>
        <v>1803.5650000000001</v>
      </c>
      <c r="E13" s="12">
        <f t="shared" si="3"/>
        <v>101.99999999999955</v>
      </c>
      <c r="F13" s="47">
        <f t="shared" si="0"/>
        <v>1.9239164583333324</v>
      </c>
      <c r="G13" s="14"/>
      <c r="H13" s="52">
        <f>Expenses!$F$9</f>
        <v>974.90000000000009</v>
      </c>
      <c r="I13" s="52"/>
      <c r="J13" s="52"/>
      <c r="K13" s="52">
        <f>Expenses!D8/2</f>
        <v>389.96000000000004</v>
      </c>
      <c r="L13" s="52">
        <f>SUM(Expenses!$F$10:$F$14)</f>
        <v>438.70500000000004</v>
      </c>
    </row>
    <row r="14" spans="1:12" x14ac:dyDescent="0.25">
      <c r="B14" s="4">
        <f>SUM(B5:B13)</f>
        <v>19600</v>
      </c>
      <c r="C14" s="4"/>
      <c r="D14" s="4">
        <f>SUM(D5:D13)</f>
        <v>19498</v>
      </c>
      <c r="E14" s="4">
        <f>B14-D14</f>
        <v>102</v>
      </c>
      <c r="F14" s="21">
        <f>SUM(F5:F13)</f>
        <v>58.017576666666656</v>
      </c>
      <c r="G14" s="4"/>
      <c r="H14" s="46"/>
      <c r="I14" s="46"/>
      <c r="J14" s="46"/>
      <c r="K14" s="46"/>
      <c r="L14" s="53">
        <f>SUM(H5:L13)</f>
        <v>19498</v>
      </c>
    </row>
    <row r="16" spans="1:12" x14ac:dyDescent="0.25">
      <c r="C16" s="20"/>
    </row>
  </sheetData>
  <mergeCells count="2">
    <mergeCell ref="H3:K3"/>
    <mergeCell ref="L3:L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Income</vt:lpstr>
      <vt:lpstr>Expenses</vt:lpstr>
      <vt:lpstr>Bank Account Flows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2018-06-13T23:38:05Z</dcterms:created>
  <dcterms:modified xsi:type="dcterms:W3CDTF">2019-05-03T21:50:49Z</dcterms:modified>
</cp:coreProperties>
</file>