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omchai\Desktop\"/>
    </mc:Choice>
  </mc:AlternateContent>
  <xr:revisionPtr revIDLastSave="0" documentId="13_ncr:1_{88E67876-EDDA-4228-BA5B-8645C6D65374}" xr6:coauthVersionLast="45" xr6:coauthVersionMax="45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สรุปผลการวัด ฑธ" sheetId="26" state="hidden" r:id="rId1"/>
    <sheet name="Sheet6" sheetId="8" state="hidden" r:id="rId2"/>
    <sheet name="ห้องชั้น 1" sheetId="23" r:id="rId3"/>
    <sheet name="Sheet1" sheetId="24" state="hidden" r:id="rId4"/>
    <sheet name="Sheet2" sheetId="25" state="hidden" r:id="rId5"/>
  </sheets>
  <definedNames>
    <definedName name="alpha" localSheetId="0">'สรุปผลการวัด ฑธ'!$V$22:$AE$41</definedName>
    <definedName name="alpha">'ห้องชั้น 1'!$V$21:$AE$39</definedName>
    <definedName name="alpha1" localSheetId="0">'สรุปผลการวัด ฑธ'!$V$22:$AE$109</definedName>
    <definedName name="alpha1">'ห้องชั้น 1'!$V$21:$AE$109</definedName>
    <definedName name="ar_1" localSheetId="0">'สรุปผลการวัด ฑธ'!$I$53</definedName>
    <definedName name="ar_1">'ห้องชั้น 1'!$I$52</definedName>
    <definedName name="ar_11" localSheetId="0">'สรุปผลการวัด ฑธ'!$I$56</definedName>
    <definedName name="ar_11">'ห้องชั้น 1'!$I$55</definedName>
    <definedName name="ar_2" localSheetId="0">'สรุปผลการวัด ฑธ'!$I$54</definedName>
    <definedName name="ar_2">'ห้องชั้น 1'!$I$53</definedName>
    <definedName name="ar_3" localSheetId="0">'สรุปผลการวัด ฑธ'!$I$55</definedName>
    <definedName name="ar_3">'ห้องชั้น 1'!$I$54</definedName>
    <definedName name="ar_4" localSheetId="0">'สรุปผลการวัด ฑธ'!$I$57</definedName>
    <definedName name="ar_4">'ห้องชั้น 1'!$I$56</definedName>
    <definedName name="ar_5" localSheetId="0">'สรุปผลการวัด ฑธ'!$I$58</definedName>
    <definedName name="ar_5">'ห้องชั้น 1'!$I$57</definedName>
    <definedName name="ar_6" localSheetId="0">'สรุปผลการวัด ฑธ'!$I$59</definedName>
    <definedName name="ar_6">'ห้องชั้น 1'!$I$58</definedName>
    <definedName name="ar_7" localSheetId="0">'สรุปผลการวัด ฑธ'!$I$60</definedName>
    <definedName name="ar_7">'ห้องชั้น 1'!$I$59</definedName>
    <definedName name="ar_8" localSheetId="0">'สรุปผลการวัด ฑธ'!$I$61</definedName>
    <definedName name="ar_8">'ห้องชั้น 1'!$I$60</definedName>
    <definedName name="ar_9" localSheetId="0">'สรุปผลการวัด ฑธ'!$I$62</definedName>
    <definedName name="ar_9">'ห้องชั้น 1'!$I$61</definedName>
    <definedName name="mat_1" localSheetId="0">'สรุปผลการวัด ฑธ'!$E$53</definedName>
    <definedName name="mat_1">'ห้องชั้น 1'!$E$52</definedName>
    <definedName name="mat_10" localSheetId="0">'สรุปผลการวัด ฑธ'!$E$63</definedName>
    <definedName name="mat_10">'ห้องชั้น 1'!$E$62</definedName>
    <definedName name="mat_11" localSheetId="0">'สรุปผลการวัด ฑธ'!$E$56</definedName>
    <definedName name="mat_11">'ห้องชั้น 1'!$E$55</definedName>
    <definedName name="mat_2" localSheetId="0">'สรุปผลการวัด ฑธ'!$E$54</definedName>
    <definedName name="mat_2">'ห้องชั้น 1'!$E$53</definedName>
    <definedName name="mat_3" localSheetId="0">'สรุปผลการวัด ฑธ'!$E$55</definedName>
    <definedName name="mat_3">'ห้องชั้น 1'!$E$54</definedName>
    <definedName name="mat_4" localSheetId="0">'สรุปผลการวัด ฑธ'!$E$57</definedName>
    <definedName name="mat_4">'ห้องชั้น 1'!$E$56</definedName>
    <definedName name="mat_5" localSheetId="0">'สรุปผลการวัด ฑธ'!$E$58</definedName>
    <definedName name="mat_5">'ห้องชั้น 1'!$E$57</definedName>
    <definedName name="mat_6" localSheetId="0">'สรุปผลการวัด ฑธ'!$E$59</definedName>
    <definedName name="mat_6">'ห้องชั้น 1'!$E$58</definedName>
    <definedName name="mat_7" localSheetId="0">'สรุปผลการวัด ฑธ'!$E$60</definedName>
    <definedName name="mat_7">'ห้องชั้น 1'!$E$59</definedName>
    <definedName name="mat_8" localSheetId="0">'สรุปผลการวัด ฑธ'!$E$61</definedName>
    <definedName name="mat_8">'ห้องชั้น 1'!$E$60</definedName>
    <definedName name="mat_9" localSheetId="0">'สรุปผลการวัด ฑธ'!$E$62</definedName>
    <definedName name="mat_9">'ห้องชั้น 1'!$E$61</definedName>
    <definedName name="_xlnm.Print_Area" localSheetId="0">'สรุปผลการวัด ฑธ'!$D$10:$T$109</definedName>
    <definedName name="_xlnm.Print_Area" localSheetId="2">'ห้องชั้น 1'!$D$9:$T$111</definedName>
    <definedName name="vol_" localSheetId="0">'สรุปผลการวัด ฑธ'!$L$23</definedName>
    <definedName name="vol_">'ห้องชั้น 1'!$L$22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8" i="23" l="1"/>
  <c r="I37" i="23"/>
  <c r="Q61" i="23" l="1"/>
  <c r="P61" i="23"/>
  <c r="O61" i="23"/>
  <c r="N61" i="23"/>
  <c r="M61" i="23"/>
  <c r="L61" i="23"/>
  <c r="Q59" i="23"/>
  <c r="P59" i="23"/>
  <c r="O59" i="23"/>
  <c r="N59" i="23"/>
  <c r="M59" i="23"/>
  <c r="L59" i="23"/>
  <c r="Q57" i="23"/>
  <c r="P57" i="23"/>
  <c r="O57" i="23"/>
  <c r="N57" i="23"/>
  <c r="M57" i="23"/>
  <c r="L57" i="23"/>
  <c r="Q55" i="23"/>
  <c r="P55" i="23"/>
  <c r="O55" i="23"/>
  <c r="N55" i="23"/>
  <c r="M55" i="23"/>
  <c r="L55" i="23"/>
  <c r="L53" i="23"/>
  <c r="Q53" i="23"/>
  <c r="W50" i="23"/>
  <c r="W49" i="23"/>
  <c r="Q45" i="23"/>
  <c r="P45" i="23"/>
  <c r="O45" i="23"/>
  <c r="N45" i="23"/>
  <c r="M45" i="23"/>
  <c r="L45" i="23"/>
  <c r="Q44" i="23"/>
  <c r="P44" i="23"/>
  <c r="O44" i="23"/>
  <c r="N44" i="23"/>
  <c r="M44" i="23"/>
  <c r="L44" i="23"/>
  <c r="Q43" i="23"/>
  <c r="P43" i="23"/>
  <c r="O43" i="23"/>
  <c r="N43" i="23"/>
  <c r="M43" i="23"/>
  <c r="L43" i="23"/>
  <c r="Q42" i="23"/>
  <c r="P42" i="23"/>
  <c r="O42" i="23"/>
  <c r="N42" i="23"/>
  <c r="M42" i="23"/>
  <c r="L42" i="23"/>
  <c r="Q41" i="23"/>
  <c r="P41" i="23"/>
  <c r="O41" i="23"/>
  <c r="N41" i="23"/>
  <c r="M41" i="23"/>
  <c r="L41" i="23"/>
  <c r="Q40" i="23"/>
  <c r="P40" i="23"/>
  <c r="O40" i="23"/>
  <c r="N40" i="23"/>
  <c r="M40" i="23"/>
  <c r="L40" i="23"/>
  <c r="Q39" i="23"/>
  <c r="P39" i="23"/>
  <c r="O39" i="23"/>
  <c r="N39" i="23"/>
  <c r="M39" i="23"/>
  <c r="L39" i="23"/>
  <c r="G30" i="23"/>
  <c r="G29" i="23"/>
  <c r="I58" i="23" s="1"/>
  <c r="Q58" i="23" s="1"/>
  <c r="G28" i="23"/>
  <c r="I60" i="23" s="1"/>
  <c r="G27" i="23"/>
  <c r="I52" i="23" s="1"/>
  <c r="Q52" i="23" s="1"/>
  <c r="G26" i="23"/>
  <c r="I56" i="23" s="1"/>
  <c r="G25" i="23"/>
  <c r="I54" i="23" s="1"/>
  <c r="L22" i="23"/>
  <c r="L21" i="23"/>
  <c r="I34" i="23" s="1"/>
  <c r="Q51" i="8"/>
  <c r="M45" i="8"/>
  <c r="O38" i="8"/>
  <c r="M27" i="8"/>
  <c r="O20" i="8"/>
  <c r="Q15" i="8"/>
  <c r="Q62" i="26"/>
  <c r="P62" i="26"/>
  <c r="O62" i="26"/>
  <c r="N62" i="26"/>
  <c r="M62" i="26"/>
  <c r="L62" i="26"/>
  <c r="I61" i="26"/>
  <c r="N61" i="26" s="1"/>
  <c r="Q60" i="26"/>
  <c r="P60" i="26"/>
  <c r="O60" i="26"/>
  <c r="N60" i="26"/>
  <c r="M60" i="26"/>
  <c r="L60" i="26"/>
  <c r="Q58" i="26"/>
  <c r="P58" i="26"/>
  <c r="O58" i="26"/>
  <c r="N58" i="26"/>
  <c r="M58" i="26"/>
  <c r="L58" i="26"/>
  <c r="Q56" i="26"/>
  <c r="P56" i="26"/>
  <c r="O56" i="26"/>
  <c r="N56" i="26"/>
  <c r="M56" i="26"/>
  <c r="L56" i="26"/>
  <c r="I55" i="26"/>
  <c r="Q55" i="26" s="1"/>
  <c r="Q54" i="26"/>
  <c r="P54" i="26"/>
  <c r="O54" i="26"/>
  <c r="N54" i="26"/>
  <c r="M54" i="26"/>
  <c r="L54" i="26"/>
  <c r="Q46" i="26"/>
  <c r="P46" i="26"/>
  <c r="O46" i="26"/>
  <c r="N46" i="26"/>
  <c r="M46" i="26"/>
  <c r="L46" i="26"/>
  <c r="Q45" i="26"/>
  <c r="P45" i="26"/>
  <c r="O45" i="26"/>
  <c r="N45" i="26"/>
  <c r="M45" i="26"/>
  <c r="L45" i="26"/>
  <c r="Q44" i="26"/>
  <c r="P44" i="26"/>
  <c r="O44" i="26"/>
  <c r="N44" i="26"/>
  <c r="M44" i="26"/>
  <c r="L44" i="26"/>
  <c r="Q43" i="26"/>
  <c r="P43" i="26"/>
  <c r="O43" i="26"/>
  <c r="N43" i="26"/>
  <c r="M43" i="26"/>
  <c r="L43" i="26"/>
  <c r="Q42" i="26"/>
  <c r="P42" i="26"/>
  <c r="O42" i="26"/>
  <c r="N42" i="26"/>
  <c r="M42" i="26"/>
  <c r="L42" i="26"/>
  <c r="Q41" i="26"/>
  <c r="P41" i="26"/>
  <c r="O41" i="26"/>
  <c r="N41" i="26"/>
  <c r="M41" i="26"/>
  <c r="L41" i="26"/>
  <c r="Q40" i="26"/>
  <c r="P40" i="26"/>
  <c r="O40" i="26"/>
  <c r="N40" i="26"/>
  <c r="M40" i="26"/>
  <c r="L40" i="26"/>
  <c r="G31" i="26"/>
  <c r="G30" i="26"/>
  <c r="I59" i="26" s="1"/>
  <c r="G29" i="26"/>
  <c r="I39" i="26" s="1"/>
  <c r="G28" i="26"/>
  <c r="I53" i="26" s="1"/>
  <c r="G27" i="26"/>
  <c r="I57" i="26" s="1"/>
  <c r="G26" i="26"/>
  <c r="L26" i="26" s="1"/>
  <c r="L23" i="26"/>
  <c r="N71" i="26" s="1"/>
  <c r="L22" i="26"/>
  <c r="I35" i="26" s="1"/>
  <c r="I36" i="23" l="1"/>
  <c r="L36" i="23" s="1"/>
  <c r="L25" i="23"/>
  <c r="J25" i="23"/>
  <c r="I50" i="23" s="1"/>
  <c r="O38" i="23"/>
  <c r="L54" i="23"/>
  <c r="Q54" i="23"/>
  <c r="P54" i="23"/>
  <c r="O54" i="23"/>
  <c r="N54" i="23"/>
  <c r="M54" i="23"/>
  <c r="O39" i="26"/>
  <c r="P39" i="26"/>
  <c r="N39" i="26"/>
  <c r="M39" i="26"/>
  <c r="L39" i="26"/>
  <c r="Q39" i="26"/>
  <c r="O56" i="23"/>
  <c r="N56" i="23"/>
  <c r="M56" i="23"/>
  <c r="L56" i="23"/>
  <c r="Q56" i="23"/>
  <c r="P56" i="23"/>
  <c r="N53" i="26"/>
  <c r="Q53" i="26"/>
  <c r="O53" i="26"/>
  <c r="O66" i="26" s="1"/>
  <c r="M53" i="26"/>
  <c r="I64" i="26"/>
  <c r="L53" i="26"/>
  <c r="P53" i="26"/>
  <c r="O59" i="26"/>
  <c r="L59" i="26"/>
  <c r="Q59" i="26"/>
  <c r="P59" i="26"/>
  <c r="N59" i="26"/>
  <c r="M59" i="26"/>
  <c r="M60" i="23"/>
  <c r="L60" i="23"/>
  <c r="Q60" i="23"/>
  <c r="P60" i="23"/>
  <c r="O60" i="23"/>
  <c r="N60" i="23"/>
  <c r="L57" i="26"/>
  <c r="Q57" i="26"/>
  <c r="P57" i="26"/>
  <c r="M57" i="26"/>
  <c r="O57" i="26"/>
  <c r="N57" i="26"/>
  <c r="Q71" i="26"/>
  <c r="N72" i="26"/>
  <c r="L71" i="26"/>
  <c r="N73" i="26"/>
  <c r="N78" i="26"/>
  <c r="P71" i="26"/>
  <c r="O71" i="26"/>
  <c r="N79" i="26"/>
  <c r="M71" i="26"/>
  <c r="M36" i="23"/>
  <c r="L52" i="23"/>
  <c r="M53" i="23"/>
  <c r="L58" i="23"/>
  <c r="N70" i="23"/>
  <c r="P38" i="23"/>
  <c r="M52" i="23"/>
  <c r="N53" i="23"/>
  <c r="M58" i="23"/>
  <c r="I63" i="23"/>
  <c r="N52" i="23"/>
  <c r="O53" i="23"/>
  <c r="N58" i="23"/>
  <c r="M61" i="26"/>
  <c r="M55" i="26"/>
  <c r="I38" i="26"/>
  <c r="N55" i="26"/>
  <c r="O61" i="26"/>
  <c r="J26" i="26"/>
  <c r="I51" i="26" s="1"/>
  <c r="I37" i="26"/>
  <c r="O55" i="26"/>
  <c r="P61" i="26"/>
  <c r="P55" i="26"/>
  <c r="Q61" i="26"/>
  <c r="O52" i="23"/>
  <c r="P53" i="23"/>
  <c r="O58" i="23"/>
  <c r="L61" i="26"/>
  <c r="L55" i="26"/>
  <c r="P52" i="23"/>
  <c r="P58" i="23"/>
  <c r="Q65" i="23" l="1"/>
  <c r="Q77" i="23" s="1"/>
  <c r="I47" i="23"/>
  <c r="Q38" i="23"/>
  <c r="P36" i="23"/>
  <c r="O36" i="23"/>
  <c r="Q36" i="23"/>
  <c r="N36" i="23"/>
  <c r="L38" i="23"/>
  <c r="N38" i="23"/>
  <c r="M38" i="23"/>
  <c r="O65" i="23"/>
  <c r="O77" i="23" s="1"/>
  <c r="N79" i="23"/>
  <c r="N71" i="23"/>
  <c r="L70" i="23"/>
  <c r="N80" i="23"/>
  <c r="N72" i="23"/>
  <c r="Q70" i="23"/>
  <c r="P70" i="23"/>
  <c r="O70" i="23"/>
  <c r="M70" i="23"/>
  <c r="N66" i="26"/>
  <c r="P65" i="23"/>
  <c r="P77" i="23" s="1"/>
  <c r="M73" i="26"/>
  <c r="M78" i="26"/>
  <c r="M79" i="26"/>
  <c r="M72" i="26"/>
  <c r="O78" i="26"/>
  <c r="O79" i="26"/>
  <c r="O72" i="26"/>
  <c r="O73" i="26"/>
  <c r="N38" i="26"/>
  <c r="O38" i="26"/>
  <c r="M38" i="26"/>
  <c r="L38" i="26"/>
  <c r="Q38" i="26"/>
  <c r="P38" i="26"/>
  <c r="N65" i="23"/>
  <c r="N77" i="23" s="1"/>
  <c r="P73" i="26"/>
  <c r="P79" i="26"/>
  <c r="P72" i="26"/>
  <c r="P78" i="26"/>
  <c r="P66" i="26"/>
  <c r="Q79" i="26"/>
  <c r="Q72" i="26"/>
  <c r="Q73" i="26"/>
  <c r="Q78" i="26"/>
  <c r="M65" i="23"/>
  <c r="M77" i="23" s="1"/>
  <c r="L65" i="23"/>
  <c r="L77" i="23" s="1"/>
  <c r="L66" i="26"/>
  <c r="L37" i="23"/>
  <c r="Q37" i="23"/>
  <c r="P37" i="23"/>
  <c r="P48" i="23" s="1"/>
  <c r="O37" i="23"/>
  <c r="O48" i="23" s="1"/>
  <c r="N37" i="23"/>
  <c r="M37" i="23"/>
  <c r="M37" i="26"/>
  <c r="M49" i="26" s="1"/>
  <c r="I48" i="26"/>
  <c r="Q37" i="26"/>
  <c r="Q49" i="26" s="1"/>
  <c r="Q67" i="26" s="1"/>
  <c r="N37" i="26"/>
  <c r="L37" i="26"/>
  <c r="L49" i="26" s="1"/>
  <c r="L67" i="26" s="1"/>
  <c r="P37" i="26"/>
  <c r="P49" i="26" s="1"/>
  <c r="P67" i="26" s="1"/>
  <c r="O37" i="26"/>
  <c r="Q66" i="26"/>
  <c r="L79" i="26"/>
  <c r="L73" i="26"/>
  <c r="L78" i="26"/>
  <c r="L72" i="26"/>
  <c r="M66" i="26"/>
  <c r="Q48" i="23" l="1"/>
  <c r="M48" i="23"/>
  <c r="L48" i="23"/>
  <c r="L75" i="23" s="1"/>
  <c r="N48" i="23"/>
  <c r="N75" i="23" s="1"/>
  <c r="O75" i="23"/>
  <c r="P75" i="23"/>
  <c r="N49" i="26"/>
  <c r="N67" i="26" s="1"/>
  <c r="L79" i="23"/>
  <c r="L71" i="23"/>
  <c r="L80" i="23"/>
  <c r="L72" i="23"/>
  <c r="Q79" i="23"/>
  <c r="Q71" i="23"/>
  <c r="Q80" i="23"/>
  <c r="Q72" i="23"/>
  <c r="M67" i="26"/>
  <c r="M79" i="23"/>
  <c r="M71" i="23"/>
  <c r="M80" i="23"/>
  <c r="M72" i="23"/>
  <c r="O80" i="23"/>
  <c r="O72" i="23"/>
  <c r="O79" i="23"/>
  <c r="O71" i="23"/>
  <c r="O49" i="26"/>
  <c r="O67" i="26" s="1"/>
  <c r="P80" i="23"/>
  <c r="P72" i="23"/>
  <c r="P79" i="23"/>
  <c r="P71" i="23"/>
  <c r="Q75" i="23" l="1"/>
  <c r="M75" i="23"/>
</calcChain>
</file>

<file path=xl/sharedStrings.xml><?xml version="1.0" encoding="utf-8"?>
<sst xmlns="http://schemas.openxmlformats.org/spreadsheetml/2006/main" count="322" uniqueCount="119">
  <si>
    <t>Floor</t>
  </si>
  <si>
    <t>1k</t>
  </si>
  <si>
    <t>2k</t>
  </si>
  <si>
    <t>4k</t>
  </si>
  <si>
    <t xml:space="preserve">Zandera </t>
  </si>
  <si>
    <t>Brick</t>
  </si>
  <si>
    <t>Width</t>
  </si>
  <si>
    <t>Length</t>
  </si>
  <si>
    <t>Height</t>
  </si>
  <si>
    <t>m</t>
  </si>
  <si>
    <t xml:space="preserve">Volume </t>
  </si>
  <si>
    <t>Front Wall</t>
  </si>
  <si>
    <t>Behide Wall</t>
  </si>
  <si>
    <t>Celling</t>
  </si>
  <si>
    <t>Right Wall</t>
  </si>
  <si>
    <t>Left Wall</t>
  </si>
  <si>
    <t>Wondery</t>
  </si>
  <si>
    <t>Room Surface include floor</t>
  </si>
  <si>
    <t>Golden Cuboid Listening Room</t>
  </si>
  <si>
    <t>สำหรับการออกแบบสร้างห้องฟังรูปทรงกล่องสี่เหลี่ยม</t>
  </si>
  <si>
    <t>ปรับปรุงครั้งล่าสุดเมื่อ 31 มกราคม 2548</t>
  </si>
  <si>
    <t>http://www.sound-map.com</t>
  </si>
  <si>
    <t>1. กรณีต้องการกำหนดที่ความยาวของห้อง (L)</t>
  </si>
  <si>
    <t>L =</t>
  </si>
  <si>
    <t>H =</t>
  </si>
  <si>
    <t>W =</t>
  </si>
  <si>
    <t>2. กรณีต้องการกำหนดที่ความสูงของห้อง (H)</t>
  </si>
  <si>
    <t>3. กรณีต้องการกำหนดที่ความกว้างของห้อง (W)</t>
  </si>
  <si>
    <t>Except Floor</t>
  </si>
  <si>
    <t>Libraries</t>
  </si>
  <si>
    <t xml:space="preserve">Input Dimension of Room </t>
  </si>
  <si>
    <t>Find Absorption Value</t>
  </si>
  <si>
    <t>Carpet</t>
  </si>
  <si>
    <t>Sum of Absorption (Sabine)</t>
  </si>
  <si>
    <t>PROJECT:</t>
  </si>
  <si>
    <t xml:space="preserve">DATE: </t>
  </si>
  <si>
    <t>OWNER:</t>
  </si>
  <si>
    <t xml:space="preserve">DESIGN BY: </t>
  </si>
  <si>
    <t>ค่าที่ต้องป้อน</t>
  </si>
  <si>
    <t>xxx</t>
  </si>
  <si>
    <t>ค่าแนะนำ</t>
  </si>
  <si>
    <t>Curtain</t>
  </si>
  <si>
    <t>Glass</t>
  </si>
  <si>
    <t>Acoustic Board</t>
  </si>
  <si>
    <t>Tile on Concrete</t>
  </si>
  <si>
    <t>Smart Board / Gypsum Board</t>
  </si>
  <si>
    <t>Parquet</t>
  </si>
  <si>
    <t>Total Surface Area</t>
  </si>
  <si>
    <t>Calculation RT and Recommend RT</t>
  </si>
  <si>
    <t>Steel</t>
  </si>
  <si>
    <t>Cylence Baffle</t>
  </si>
  <si>
    <t>BEFORE IMPROVED</t>
  </si>
  <si>
    <t>AFTER IMPROVED</t>
  </si>
  <si>
    <t>Cylence Zoftone W025M</t>
  </si>
  <si>
    <t>Laminate Wood</t>
  </si>
  <si>
    <t>floor</t>
  </si>
  <si>
    <t>ค่าความก้องที่เหมาะสม</t>
  </si>
  <si>
    <t>ค่าความก้องก่อนการติดตั้งวัสดุดูดซับเสียง</t>
  </si>
  <si>
    <t xml:space="preserve">พื้นปูนปูกระเบื้องยาง </t>
  </si>
  <si>
    <t>พื้นปาเก้</t>
  </si>
  <si>
    <t xml:space="preserve">พื้นไม้ลามิเนต </t>
  </si>
  <si>
    <t>ฝ้าอคูสติก</t>
  </si>
  <si>
    <t xml:space="preserve"> </t>
  </si>
  <si>
    <t>Armstrong E-mont</t>
  </si>
  <si>
    <t>Upper Limit</t>
  </si>
  <si>
    <t>Lower Limit</t>
  </si>
  <si>
    <t>Korea Armstrong A mount</t>
  </si>
  <si>
    <t>ผลวัดค่าความก้องหลังติดตั้ง</t>
  </si>
  <si>
    <t>Aulex from Australia</t>
  </si>
  <si>
    <t>ceiling</t>
  </si>
  <si>
    <t>Wall</t>
  </si>
  <si>
    <t>AcouSoft</t>
  </si>
  <si>
    <t>ค่าความก้องภายหลังติดตั้งวัสดุดูดซับเสียง</t>
  </si>
  <si>
    <t>Calcutaion sheet to design quantity of absorption material</t>
  </si>
  <si>
    <t>Ceiling 2</t>
  </si>
  <si>
    <t>Ceiling 1</t>
  </si>
  <si>
    <t>Behing wall 1</t>
  </si>
  <si>
    <t>Behing wall 2</t>
  </si>
  <si>
    <t>side wall 1</t>
  </si>
  <si>
    <t>side wall 2</t>
  </si>
  <si>
    <t>ผลวัดก่อนติดตั้ง</t>
  </si>
  <si>
    <t>floor1</t>
  </si>
  <si>
    <t>front wall 1</t>
  </si>
  <si>
    <t>front wall 2</t>
  </si>
  <si>
    <t>Echo Bloc ยิปซั่มเจาะรู</t>
  </si>
  <si>
    <t xml:space="preserve">แผ่นชายธง ห่างทุก 1 เมตร </t>
  </si>
  <si>
    <t>แผ่น Arm stroung แขวน T bar</t>
  </si>
  <si>
    <t xml:space="preserve">แผ่น Arm strong หนา 15 มม. ติดบน แผ่นยิปซั่ม </t>
  </si>
  <si>
    <t xml:space="preserve">แผ่น เกาหลี 9 มม ติดบน แผ่นยิปซั่ม </t>
  </si>
  <si>
    <t xml:space="preserve">โพลี เอสเตอร์ หนา 12 มม. </t>
  </si>
  <si>
    <t xml:space="preserve">โพลี 40 k หนา 2 นิ้ว </t>
  </si>
  <si>
    <t xml:space="preserve">โพลี เอสเตอร์ หนา 12 มม. ความหนาแน่น 100 k </t>
  </si>
  <si>
    <r>
      <t>m</t>
    </r>
    <r>
      <rPr>
        <vertAlign val="superscript"/>
        <sz val="10"/>
        <rFont val="Arial"/>
        <family val="2"/>
        <charset val="222"/>
      </rPr>
      <t>2</t>
    </r>
  </si>
  <si>
    <r>
      <t>m</t>
    </r>
    <r>
      <rPr>
        <vertAlign val="superscript"/>
        <sz val="10"/>
        <rFont val="Arial"/>
        <family val="2"/>
        <charset val="222"/>
      </rPr>
      <t>3</t>
    </r>
  </si>
  <si>
    <t>ผลวัดหลังติดตั้ง</t>
  </si>
  <si>
    <t>R-panel</t>
  </si>
  <si>
    <t>M-Board</t>
  </si>
  <si>
    <t xml:space="preserve">REPORTER: </t>
  </si>
  <si>
    <t xml:space="preserve">รายงานสรุปผลการวัดค่าความก้อง (Reverberation Time) </t>
  </si>
  <si>
    <t>โครงการ</t>
  </si>
  <si>
    <t>นำเสนอต่อ</t>
  </si>
  <si>
    <t>วันที่ทำการตรวจวัด</t>
  </si>
  <si>
    <t>ผู้ทำการตรวจวัด</t>
  </si>
  <si>
    <t>ขนาดห้อง</t>
  </si>
  <si>
    <t>กว้าง</t>
  </si>
  <si>
    <t>ยาว</t>
  </si>
  <si>
    <t xml:space="preserve">สูง </t>
  </si>
  <si>
    <t>สรุปผลการวัด</t>
  </si>
  <si>
    <t xml:space="preserve">ภูมิใจ ประเสริฐกุลวงศ์ (Msc. Sound and Vibration Studies, University of Southampton) </t>
  </si>
  <si>
    <t>ห้องกรรมธิการ</t>
  </si>
  <si>
    <t>เครื่องวัดเสียง</t>
  </si>
  <si>
    <t>A2A-</t>
  </si>
  <si>
    <t xml:space="preserve">27 สิงหาคม 2562 </t>
  </si>
  <si>
    <r>
      <t>m</t>
    </r>
    <r>
      <rPr>
        <vertAlign val="superscript"/>
        <sz val="28"/>
        <color theme="0"/>
        <rFont val="BrowalliaUPC"/>
        <family val="2"/>
      </rPr>
      <t>2</t>
    </r>
  </si>
  <si>
    <r>
      <t>m</t>
    </r>
    <r>
      <rPr>
        <vertAlign val="superscript"/>
        <sz val="28"/>
        <color theme="0"/>
        <rFont val="BrowalliaUPC"/>
        <family val="2"/>
      </rPr>
      <t>3</t>
    </r>
  </si>
  <si>
    <r>
      <t>m</t>
    </r>
    <r>
      <rPr>
        <vertAlign val="superscript"/>
        <sz val="28"/>
        <rFont val="BrowalliaUPC"/>
        <family val="2"/>
      </rPr>
      <t>2</t>
    </r>
  </si>
  <si>
    <t>wall2</t>
  </si>
  <si>
    <t>floor2</t>
  </si>
  <si>
    <t>100k 25mm thickness fiberglass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</si>
</sst>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7" x14ac:knownFonts="1">
    <font>
      <sz val="10"/>
      <name val="Arial"/>
      <charset val="222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8"/>
      <name val="Arial"/>
      <family val="2"/>
    </font>
    <font>
      <b/>
      <sz val="34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  <charset val="222"/>
    </font>
    <font>
      <b/>
      <sz val="24"/>
      <color indexed="10"/>
      <name val="Arial"/>
      <family val="2"/>
    </font>
    <font>
      <b/>
      <sz val="18"/>
      <color indexed="10"/>
      <name val="Arial"/>
      <family val="2"/>
    </font>
    <font>
      <b/>
      <sz val="18"/>
      <color indexed="14"/>
      <name val="Arial"/>
      <family val="2"/>
    </font>
    <font>
      <b/>
      <sz val="18"/>
      <color theme="1"/>
      <name val="Arial"/>
      <family val="2"/>
    </font>
    <font>
      <b/>
      <sz val="18"/>
      <color rgb="FFFF0000"/>
      <name val="Arial"/>
      <family val="2"/>
    </font>
    <font>
      <b/>
      <sz val="18"/>
      <color indexed="22"/>
      <name val="Arial"/>
      <family val="2"/>
    </font>
    <font>
      <b/>
      <sz val="24"/>
      <color rgb="FFFF0000"/>
      <name val="Arial"/>
      <family val="2"/>
    </font>
    <font>
      <b/>
      <sz val="20"/>
      <name val="Tahoma"/>
      <family val="2"/>
    </font>
    <font>
      <b/>
      <sz val="24"/>
      <color indexed="10"/>
      <name val="BrowalliaUPC"/>
      <family val="2"/>
    </font>
    <font>
      <b/>
      <sz val="24"/>
      <color rgb="FFFF0000"/>
      <name val="BrowalliaUPC"/>
      <family val="2"/>
    </font>
    <font>
      <b/>
      <sz val="24"/>
      <name val="BrowalliaUPC"/>
      <family val="2"/>
    </font>
    <font>
      <sz val="24"/>
      <name val="BrowalliaUPC"/>
      <family val="2"/>
    </font>
    <font>
      <b/>
      <sz val="24"/>
      <color theme="1"/>
      <name val="BrowalliaUPC"/>
      <family val="2"/>
    </font>
    <font>
      <b/>
      <sz val="24"/>
      <color indexed="22"/>
      <name val="BrowalliaUPC"/>
      <family val="2"/>
    </font>
    <font>
      <b/>
      <sz val="26"/>
      <name val="BrowalliaUPC"/>
      <family val="2"/>
    </font>
    <font>
      <b/>
      <sz val="28"/>
      <name val="BrowalliaUPC"/>
      <family val="2"/>
    </font>
    <font>
      <b/>
      <sz val="28"/>
      <color indexed="10"/>
      <name val="BrowalliaUPC"/>
      <family val="2"/>
    </font>
    <font>
      <b/>
      <sz val="28"/>
      <color theme="0"/>
      <name val="BrowalliaUPC"/>
      <family val="2"/>
    </font>
    <font>
      <vertAlign val="superscript"/>
      <sz val="28"/>
      <color theme="0"/>
      <name val="BrowalliaUPC"/>
      <family val="2"/>
    </font>
    <font>
      <b/>
      <sz val="28"/>
      <color indexed="14"/>
      <name val="BrowalliaUPC"/>
      <family val="2"/>
    </font>
    <font>
      <vertAlign val="superscript"/>
      <sz val="28"/>
      <name val="BrowalliaUPC"/>
      <family val="2"/>
    </font>
    <font>
      <b/>
      <sz val="28"/>
      <color theme="1"/>
      <name val="BrowalliaUPC"/>
      <family val="2"/>
    </font>
    <font>
      <b/>
      <sz val="28"/>
      <color rgb="FFFF0000"/>
      <name val="BrowalliaUPC"/>
      <family val="2"/>
    </font>
    <font>
      <b/>
      <sz val="48"/>
      <name val="BrowalliaUPC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 diagonalUp="1">
      <left/>
      <right style="dotted">
        <color indexed="64"/>
      </right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>
      <left/>
      <right style="dotted">
        <color indexed="64"/>
      </right>
      <top/>
      <bottom/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/>
      <bottom/>
      <diagonal style="dotted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/>
      <right style="thin">
        <color indexed="64"/>
      </right>
      <top/>
      <bottom/>
      <diagonal style="dotted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1" fillId="0" borderId="0" applyFont="0" applyFill="0" applyBorder="0" applyAlignment="0" applyProtection="0"/>
  </cellStyleXfs>
  <cellXfs count="383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1" applyAlignment="1" applyProtection="1"/>
    <xf numFmtId="0" fontId="5" fillId="0" borderId="0" xfId="1" applyFont="1" applyAlignment="1" applyProtection="1">
      <alignment horizontal="right"/>
    </xf>
    <xf numFmtId="0" fontId="6" fillId="0" borderId="0" xfId="0" applyFont="1"/>
    <xf numFmtId="0" fontId="7" fillId="0" borderId="0" xfId="0" applyFont="1"/>
    <xf numFmtId="49" fontId="7" fillId="0" borderId="0" xfId="0" applyNumberFormat="1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0" xfId="0" applyFont="1" applyAlignment="1">
      <alignment horizontal="right"/>
    </xf>
    <xf numFmtId="0" fontId="7" fillId="0" borderId="12" xfId="0" applyFont="1" applyBorder="1"/>
    <xf numFmtId="0" fontId="7" fillId="0" borderId="13" xfId="0" applyFont="1" applyBorder="1"/>
    <xf numFmtId="0" fontId="7" fillId="2" borderId="0" xfId="0" applyFont="1" applyFill="1"/>
    <xf numFmtId="49" fontId="7" fillId="2" borderId="0" xfId="0" applyNumberFormat="1" applyFont="1" applyFill="1"/>
    <xf numFmtId="0" fontId="7" fillId="2" borderId="0" xfId="0" applyFont="1" applyFill="1" applyAlignment="1">
      <alignment horizontal="right"/>
    </xf>
    <xf numFmtId="0" fontId="0" fillId="0" borderId="26" xfId="0" applyBorder="1" applyAlignment="1">
      <alignment horizontal="center"/>
    </xf>
    <xf numFmtId="0" fontId="9" fillId="0" borderId="0" xfId="0" applyFont="1"/>
    <xf numFmtId="0" fontId="11" fillId="0" borderId="0" xfId="0" applyFont="1"/>
    <xf numFmtId="0" fontId="9" fillId="0" borderId="18" xfId="0" applyFont="1" applyBorder="1"/>
    <xf numFmtId="0" fontId="9" fillId="0" borderId="19" xfId="0" applyFont="1" applyBorder="1"/>
    <xf numFmtId="0" fontId="11" fillId="0" borderId="0" xfId="0" applyFont="1" applyAlignment="1">
      <alignment horizontal="center"/>
    </xf>
    <xf numFmtId="0" fontId="16" fillId="0" borderId="0" xfId="0" applyFont="1"/>
    <xf numFmtId="22" fontId="9" fillId="0" borderId="0" xfId="0" applyNumberFormat="1" applyFont="1"/>
    <xf numFmtId="2" fontId="11" fillId="0" borderId="0" xfId="0" applyNumberFormat="1" applyFont="1" applyAlignment="1">
      <alignment horizontal="center"/>
    </xf>
    <xf numFmtId="0" fontId="17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0" fontId="9" fillId="0" borderId="23" xfId="0" applyFont="1" applyBorder="1"/>
    <xf numFmtId="0" fontId="9" fillId="0" borderId="17" xfId="0" applyFont="1" applyBorder="1"/>
    <xf numFmtId="0" fontId="9" fillId="0" borderId="24" xfId="0" applyFont="1" applyBorder="1"/>
    <xf numFmtId="1" fontId="14" fillId="0" borderId="17" xfId="0" applyNumberFormat="1" applyFont="1" applyBorder="1" applyAlignment="1">
      <alignment horizontal="center"/>
    </xf>
    <xf numFmtId="1" fontId="14" fillId="0" borderId="24" xfId="0" applyNumberFormat="1" applyFont="1" applyBorder="1" applyAlignment="1">
      <alignment horizontal="center"/>
    </xf>
    <xf numFmtId="0" fontId="9" fillId="5" borderId="18" xfId="0" applyFont="1" applyFill="1" applyBorder="1"/>
    <xf numFmtId="0" fontId="9" fillId="5" borderId="0" xfId="0" applyFont="1" applyFill="1"/>
    <xf numFmtId="2" fontId="9" fillId="5" borderId="0" xfId="0" applyNumberFormat="1" applyFont="1" applyFill="1" applyAlignment="1">
      <alignment horizontal="center"/>
    </xf>
    <xf numFmtId="2" fontId="9" fillId="5" borderId="19" xfId="0" applyNumberFormat="1" applyFont="1" applyFill="1" applyBorder="1" applyAlignment="1">
      <alignment horizontal="center"/>
    </xf>
    <xf numFmtId="0" fontId="16" fillId="5" borderId="18" xfId="0" applyFont="1" applyFill="1" applyBorder="1"/>
    <xf numFmtId="0" fontId="16" fillId="5" borderId="0" xfId="0" applyFont="1" applyFill="1"/>
    <xf numFmtId="2" fontId="16" fillId="5" borderId="0" xfId="0" applyNumberFormat="1" applyFont="1" applyFill="1" applyAlignment="1">
      <alignment horizontal="center"/>
    </xf>
    <xf numFmtId="2" fontId="16" fillId="5" borderId="19" xfId="0" applyNumberFormat="1" applyFont="1" applyFill="1" applyBorder="1" applyAlignment="1">
      <alignment horizontal="center"/>
    </xf>
    <xf numFmtId="0" fontId="9" fillId="3" borderId="18" xfId="0" applyFont="1" applyFill="1" applyBorder="1"/>
    <xf numFmtId="0" fontId="9" fillId="3" borderId="0" xfId="0" applyFont="1" applyFill="1"/>
    <xf numFmtId="2" fontId="9" fillId="3" borderId="0" xfId="0" applyNumberFormat="1" applyFont="1" applyFill="1" applyAlignment="1">
      <alignment horizontal="center"/>
    </xf>
    <xf numFmtId="2" fontId="9" fillId="3" borderId="19" xfId="0" applyNumberFormat="1" applyFont="1" applyFill="1" applyBorder="1" applyAlignment="1">
      <alignment horizontal="center"/>
    </xf>
    <xf numFmtId="0" fontId="9" fillId="3" borderId="20" xfId="0" applyFont="1" applyFill="1" applyBorder="1"/>
    <xf numFmtId="0" fontId="9" fillId="3" borderId="21" xfId="0" applyFont="1" applyFill="1" applyBorder="1"/>
    <xf numFmtId="2" fontId="9" fillId="3" borderId="21" xfId="0" applyNumberFormat="1" applyFont="1" applyFill="1" applyBorder="1" applyAlignment="1">
      <alignment horizontal="center"/>
    </xf>
    <xf numFmtId="2" fontId="9" fillId="3" borderId="22" xfId="0" applyNumberFormat="1" applyFont="1" applyFill="1" applyBorder="1" applyAlignment="1">
      <alignment horizont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20" xfId="0" applyFont="1" applyBorder="1"/>
    <xf numFmtId="0" fontId="9" fillId="0" borderId="21" xfId="0" applyFont="1" applyBorder="1"/>
    <xf numFmtId="2" fontId="9" fillId="0" borderId="21" xfId="0" applyNumberFormat="1" applyFont="1" applyBorder="1" applyAlignment="1">
      <alignment horizontal="center"/>
    </xf>
    <xf numFmtId="0" fontId="9" fillId="0" borderId="22" xfId="0" applyFont="1" applyBorder="1"/>
    <xf numFmtId="0" fontId="9" fillId="0" borderId="14" xfId="0" applyFont="1" applyBorder="1"/>
    <xf numFmtId="0" fontId="9" fillId="0" borderId="15" xfId="0" applyFont="1" applyBorder="1" applyAlignment="1">
      <alignment horizontal="center"/>
    </xf>
    <xf numFmtId="0" fontId="9" fillId="0" borderId="15" xfId="0" applyFont="1" applyBorder="1"/>
    <xf numFmtId="2" fontId="9" fillId="0" borderId="15" xfId="0" applyNumberFormat="1" applyFont="1" applyBorder="1" applyAlignment="1">
      <alignment horizontal="center"/>
    </xf>
    <xf numFmtId="165" fontId="9" fillId="0" borderId="15" xfId="0" applyNumberFormat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2" fontId="9" fillId="0" borderId="22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165" fontId="9" fillId="0" borderId="0" xfId="0" applyNumberFormat="1" applyFont="1"/>
    <xf numFmtId="165" fontId="9" fillId="0" borderId="21" xfId="0" applyNumberFormat="1" applyFont="1" applyBorder="1" applyAlignment="1">
      <alignment horizontal="center"/>
    </xf>
    <xf numFmtId="0" fontId="16" fillId="0" borderId="18" xfId="0" applyFont="1" applyBorder="1"/>
    <xf numFmtId="165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5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19" xfId="0" applyFont="1" applyBorder="1"/>
    <xf numFmtId="2" fontId="9" fillId="0" borderId="16" xfId="0" applyNumberFormat="1" applyFont="1" applyBorder="1" applyAlignment="1">
      <alignment horizontal="center"/>
    </xf>
    <xf numFmtId="1" fontId="14" fillId="0" borderId="15" xfId="0" applyNumberFormat="1" applyFont="1" applyBorder="1" applyAlignment="1">
      <alignment horizontal="center"/>
    </xf>
    <xf numFmtId="0" fontId="9" fillId="0" borderId="16" xfId="0" applyFont="1" applyBorder="1"/>
    <xf numFmtId="0" fontId="14" fillId="4" borderId="14" xfId="0" applyFont="1" applyFill="1" applyBorder="1" applyAlignment="1">
      <alignment horizontal="left"/>
    </xf>
    <xf numFmtId="0" fontId="14" fillId="4" borderId="15" xfId="0" applyFont="1" applyFill="1" applyBorder="1" applyAlignment="1">
      <alignment horizontal="center"/>
    </xf>
    <xf numFmtId="0" fontId="9" fillId="4" borderId="15" xfId="0" applyFont="1" applyFill="1" applyBorder="1"/>
    <xf numFmtId="165" fontId="14" fillId="4" borderId="15" xfId="0" applyNumberFormat="1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  <xf numFmtId="0" fontId="14" fillId="0" borderId="18" xfId="0" applyFont="1" applyBorder="1" applyAlignment="1">
      <alignment horizontal="left"/>
    </xf>
    <xf numFmtId="165" fontId="15" fillId="0" borderId="0" xfId="0" applyNumberFormat="1" applyFont="1" applyAlignment="1">
      <alignment horizontal="center"/>
    </xf>
    <xf numFmtId="0" fontId="9" fillId="0" borderId="22" xfId="0" applyFont="1" applyBorder="1" applyAlignment="1">
      <alignment horizontal="center"/>
    </xf>
    <xf numFmtId="165" fontId="9" fillId="0" borderId="17" xfId="0" applyNumberFormat="1" applyFont="1" applyBorder="1" applyAlignment="1">
      <alignment horizontal="center"/>
    </xf>
    <xf numFmtId="2" fontId="9" fillId="0" borderId="17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/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14" fillId="0" borderId="14" xfId="0" applyFont="1" applyBorder="1"/>
    <xf numFmtId="0" fontId="14" fillId="0" borderId="18" xfId="0" applyFont="1" applyBorder="1"/>
    <xf numFmtId="0" fontId="9" fillId="3" borderId="0" xfId="0" applyFont="1" applyFill="1" applyAlignment="1">
      <alignment horizontal="center"/>
    </xf>
    <xf numFmtId="0" fontId="9" fillId="3" borderId="19" xfId="0" applyFont="1" applyFill="1" applyBorder="1" applyAlignment="1">
      <alignment horizontal="center"/>
    </xf>
    <xf numFmtId="2" fontId="9" fillId="0" borderId="20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17" fillId="0" borderId="18" xfId="0" applyFont="1" applyBorder="1"/>
    <xf numFmtId="0" fontId="17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17" fillId="0" borderId="19" xfId="0" applyFont="1" applyBorder="1"/>
    <xf numFmtId="2" fontId="17" fillId="0" borderId="0" xfId="0" applyNumberFormat="1" applyFont="1" applyAlignment="1">
      <alignment horizontal="center"/>
    </xf>
    <xf numFmtId="2" fontId="9" fillId="0" borderId="21" xfId="0" applyNumberFormat="1" applyFont="1" applyBorder="1"/>
    <xf numFmtId="2" fontId="9" fillId="3" borderId="15" xfId="0" applyNumberFormat="1" applyFont="1" applyFill="1" applyBorder="1" applyAlignment="1" applyProtection="1">
      <alignment horizontal="center"/>
      <protection locked="0"/>
    </xf>
    <xf numFmtId="2" fontId="9" fillId="3" borderId="0" xfId="0" applyNumberFormat="1" applyFont="1" applyFill="1" applyAlignment="1" applyProtection="1">
      <alignment horizontal="center"/>
      <protection locked="0"/>
    </xf>
    <xf numFmtId="2" fontId="9" fillId="3" borderId="21" xfId="0" applyNumberFormat="1" applyFont="1" applyFill="1" applyBorder="1" applyAlignment="1" applyProtection="1">
      <alignment horizontal="center"/>
      <protection locked="0"/>
    </xf>
    <xf numFmtId="2" fontId="9" fillId="6" borderId="0" xfId="0" applyNumberFormat="1" applyFont="1" applyFill="1" applyAlignment="1" applyProtection="1">
      <alignment horizontal="center"/>
      <protection locked="0"/>
    </xf>
    <xf numFmtId="165" fontId="9" fillId="6" borderId="0" xfId="0" applyNumberFormat="1" applyFont="1" applyFill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2" fontId="11" fillId="0" borderId="0" xfId="0" applyNumberFormat="1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2" fontId="9" fillId="0" borderId="0" xfId="0" applyNumberFormat="1" applyFont="1" applyProtection="1">
      <protection locked="0"/>
    </xf>
    <xf numFmtId="165" fontId="9" fillId="7" borderId="0" xfId="0" applyNumberFormat="1" applyFont="1" applyFill="1" applyAlignment="1">
      <alignment horizontal="center"/>
    </xf>
    <xf numFmtId="0" fontId="9" fillId="7" borderId="14" xfId="0" applyFont="1" applyFill="1" applyBorder="1"/>
    <xf numFmtId="2" fontId="9" fillId="7" borderId="15" xfId="0" applyNumberFormat="1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9" fillId="7" borderId="16" xfId="0" applyFont="1" applyFill="1" applyBorder="1" applyAlignment="1">
      <alignment horizontal="center"/>
    </xf>
    <xf numFmtId="0" fontId="9" fillId="7" borderId="18" xfId="0" applyFont="1" applyFill="1" applyBorder="1"/>
    <xf numFmtId="2" fontId="9" fillId="7" borderId="0" xfId="0" applyNumberFormat="1" applyFont="1" applyFill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19" xfId="0" applyFont="1" applyFill="1" applyBorder="1" applyAlignment="1">
      <alignment horizontal="center"/>
    </xf>
    <xf numFmtId="0" fontId="9" fillId="0" borderId="18" xfId="0" applyFont="1" applyBorder="1" applyProtection="1">
      <protection locked="0"/>
    </xf>
    <xf numFmtId="0" fontId="9" fillId="0" borderId="20" xfId="0" applyFont="1" applyBorder="1" applyProtection="1">
      <protection locked="0"/>
    </xf>
    <xf numFmtId="0" fontId="20" fillId="0" borderId="0" xfId="0" applyFont="1"/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20" fillId="0" borderId="0" xfId="0" applyFont="1" applyProtection="1">
      <protection locked="0"/>
    </xf>
    <xf numFmtId="0" fontId="20" fillId="0" borderId="0" xfId="0" applyFont="1" applyAlignment="1" applyProtection="1">
      <alignment horizontal="center"/>
      <protection locked="0"/>
    </xf>
    <xf numFmtId="164" fontId="20" fillId="0" borderId="0" xfId="2" applyFont="1" applyAlignment="1">
      <alignment horizontal="center"/>
    </xf>
    <xf numFmtId="164" fontId="20" fillId="0" borderId="0" xfId="2" applyFont="1" applyAlignment="1" applyProtection="1">
      <alignment horizontal="center"/>
      <protection locked="0"/>
    </xf>
    <xf numFmtId="0" fontId="21" fillId="0" borderId="0" xfId="0" applyFont="1"/>
    <xf numFmtId="0" fontId="23" fillId="0" borderId="0" xfId="0" applyFont="1"/>
    <xf numFmtId="2" fontId="23" fillId="0" borderId="0" xfId="0" applyNumberFormat="1" applyFont="1" applyAlignment="1">
      <alignment horizontal="center"/>
    </xf>
    <xf numFmtId="0" fontId="24" fillId="0" borderId="0" xfId="0" applyFont="1"/>
    <xf numFmtId="0" fontId="23" fillId="0" borderId="18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18" xfId="0" applyFont="1" applyBorder="1"/>
    <xf numFmtId="0" fontId="23" fillId="0" borderId="19" xfId="0" applyFont="1" applyBorder="1"/>
    <xf numFmtId="0" fontId="23" fillId="0" borderId="20" xfId="0" applyFont="1" applyBorder="1"/>
    <xf numFmtId="0" fontId="23" fillId="0" borderId="21" xfId="0" applyFont="1" applyBorder="1"/>
    <xf numFmtId="2" fontId="23" fillId="0" borderId="21" xfId="0" applyNumberFormat="1" applyFont="1" applyBorder="1" applyAlignment="1">
      <alignment horizontal="center"/>
    </xf>
    <xf numFmtId="0" fontId="23" fillId="0" borderId="22" xfId="0" applyFont="1" applyBorder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23" fillId="0" borderId="23" xfId="0" applyFont="1" applyBorder="1"/>
    <xf numFmtId="0" fontId="23" fillId="0" borderId="17" xfId="0" applyFont="1" applyBorder="1"/>
    <xf numFmtId="1" fontId="21" fillId="0" borderId="17" xfId="0" applyNumberFormat="1" applyFont="1" applyBorder="1" applyAlignment="1">
      <alignment horizontal="center"/>
    </xf>
    <xf numFmtId="1" fontId="21" fillId="0" borderId="24" xfId="0" applyNumberFormat="1" applyFont="1" applyBorder="1" applyAlignment="1">
      <alignment horizontal="center"/>
    </xf>
    <xf numFmtId="0" fontId="23" fillId="5" borderId="18" xfId="0" applyFont="1" applyFill="1" applyBorder="1"/>
    <xf numFmtId="0" fontId="23" fillId="5" borderId="0" xfId="0" applyFont="1" applyFill="1"/>
    <xf numFmtId="2" fontId="23" fillId="5" borderId="0" xfId="0" applyNumberFormat="1" applyFont="1" applyFill="1" applyAlignment="1">
      <alignment horizontal="center"/>
    </xf>
    <xf numFmtId="2" fontId="23" fillId="5" borderId="19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5" borderId="18" xfId="0" applyFont="1" applyFill="1" applyBorder="1"/>
    <xf numFmtId="0" fontId="25" fillId="5" borderId="0" xfId="0" applyFont="1" applyFill="1"/>
    <xf numFmtId="2" fontId="25" fillId="5" borderId="0" xfId="0" applyNumberFormat="1" applyFont="1" applyFill="1" applyAlignment="1">
      <alignment horizontal="center"/>
    </xf>
    <xf numFmtId="2" fontId="25" fillId="5" borderId="19" xfId="0" applyNumberFormat="1" applyFont="1" applyFill="1" applyBorder="1" applyAlignment="1">
      <alignment horizontal="center"/>
    </xf>
    <xf numFmtId="0" fontId="25" fillId="0" borderId="0" xfId="0" applyFont="1"/>
    <xf numFmtId="0" fontId="25" fillId="0" borderId="18" xfId="0" applyFont="1" applyBorder="1"/>
    <xf numFmtId="0" fontId="23" fillId="3" borderId="18" xfId="0" applyFont="1" applyFill="1" applyBorder="1"/>
    <xf numFmtId="0" fontId="23" fillId="3" borderId="0" xfId="0" applyFont="1" applyFill="1"/>
    <xf numFmtId="2" fontId="23" fillId="3" borderId="0" xfId="0" applyNumberFormat="1" applyFont="1" applyFill="1" applyAlignment="1">
      <alignment horizontal="center"/>
    </xf>
    <xf numFmtId="2" fontId="23" fillId="3" borderId="19" xfId="0" applyNumberFormat="1" applyFont="1" applyFill="1" applyBorder="1" applyAlignment="1">
      <alignment horizontal="center"/>
    </xf>
    <xf numFmtId="0" fontId="23" fillId="3" borderId="20" xfId="0" applyFont="1" applyFill="1" applyBorder="1"/>
    <xf numFmtId="0" fontId="23" fillId="3" borderId="21" xfId="0" applyFont="1" applyFill="1" applyBorder="1"/>
    <xf numFmtId="2" fontId="23" fillId="3" borderId="21" xfId="0" applyNumberFormat="1" applyFont="1" applyFill="1" applyBorder="1" applyAlignment="1">
      <alignment horizontal="center"/>
    </xf>
    <xf numFmtId="2" fontId="23" fillId="3" borderId="22" xfId="0" applyNumberFormat="1" applyFont="1" applyFill="1" applyBorder="1" applyAlignment="1">
      <alignment horizontal="center"/>
    </xf>
    <xf numFmtId="22" fontId="23" fillId="0" borderId="0" xfId="0" applyNumberFormat="1" applyFont="1"/>
    <xf numFmtId="2" fontId="24" fillId="0" borderId="0" xfId="0" applyNumberFormat="1" applyFont="1" applyAlignment="1">
      <alignment horizontal="center"/>
    </xf>
    <xf numFmtId="164" fontId="23" fillId="0" borderId="0" xfId="2" applyFont="1" applyAlignment="1">
      <alignment horizontal="center"/>
    </xf>
    <xf numFmtId="0" fontId="23" fillId="0" borderId="0" xfId="0" applyFont="1" applyProtection="1">
      <protection locked="0"/>
    </xf>
    <xf numFmtId="0" fontId="23" fillId="0" borderId="0" xfId="0" applyFont="1" applyAlignment="1" applyProtection="1">
      <alignment horizontal="center"/>
      <protection locked="0"/>
    </xf>
    <xf numFmtId="2" fontId="24" fillId="0" borderId="0" xfId="0" applyNumberFormat="1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164" fontId="23" fillId="0" borderId="0" xfId="2" applyFont="1" applyAlignment="1" applyProtection="1">
      <alignment horizontal="center"/>
      <protection locked="0"/>
    </xf>
    <xf numFmtId="0" fontId="23" fillId="0" borderId="25" xfId="0" applyFont="1" applyBorder="1"/>
    <xf numFmtId="0" fontId="22" fillId="0" borderId="0" xfId="0" applyFont="1"/>
    <xf numFmtId="0" fontId="22" fillId="0" borderId="18" xfId="0" applyFont="1" applyBorder="1"/>
    <xf numFmtId="0" fontId="22" fillId="0" borderId="0" xfId="0" applyFont="1" applyAlignment="1">
      <alignment horizontal="left" vertical="center"/>
    </xf>
    <xf numFmtId="2" fontId="22" fillId="0" borderId="0" xfId="0" applyNumberFormat="1" applyFont="1" applyAlignment="1">
      <alignment horizontal="center" vertical="center"/>
    </xf>
    <xf numFmtId="0" fontId="22" fillId="0" borderId="19" xfId="0" applyFont="1" applyBorder="1"/>
    <xf numFmtId="0" fontId="22" fillId="0" borderId="0" xfId="0" applyFont="1" applyProtection="1">
      <protection locked="0"/>
    </xf>
    <xf numFmtId="2" fontId="22" fillId="0" borderId="0" xfId="0" applyNumberFormat="1" applyFont="1" applyAlignment="1">
      <alignment horizontal="center"/>
    </xf>
    <xf numFmtId="0" fontId="26" fillId="0" borderId="0" xfId="0" applyFont="1" applyProtection="1">
      <protection locked="0"/>
    </xf>
    <xf numFmtId="2" fontId="23" fillId="0" borderId="21" xfId="0" applyNumberFormat="1" applyFont="1" applyBorder="1"/>
    <xf numFmtId="2" fontId="23" fillId="0" borderId="0" xfId="0" applyNumberFormat="1" applyFont="1" applyProtection="1">
      <protection locked="0"/>
    </xf>
    <xf numFmtId="0" fontId="27" fillId="0" borderId="0" xfId="0" applyFont="1"/>
    <xf numFmtId="0" fontId="27" fillId="0" borderId="0" xfId="0" applyFont="1" applyAlignment="1">
      <alignment horizontal="center" vertical="center"/>
    </xf>
    <xf numFmtId="0" fontId="27" fillId="0" borderId="21" xfId="0" applyFont="1" applyBorder="1"/>
    <xf numFmtId="2" fontId="27" fillId="0" borderId="21" xfId="0" applyNumberFormat="1" applyFont="1" applyBorder="1" applyAlignment="1">
      <alignment horizontal="center"/>
    </xf>
    <xf numFmtId="0" fontId="28" fillId="0" borderId="0" xfId="0" applyFont="1"/>
    <xf numFmtId="2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18" xfId="0" applyFont="1" applyBorder="1"/>
    <xf numFmtId="0" fontId="28" fillId="0" borderId="19" xfId="0" applyFont="1" applyBorder="1"/>
    <xf numFmtId="0" fontId="28" fillId="0" borderId="20" xfId="0" applyFont="1" applyBorder="1"/>
    <xf numFmtId="0" fontId="28" fillId="0" borderId="21" xfId="0" applyFont="1" applyBorder="1"/>
    <xf numFmtId="2" fontId="28" fillId="0" borderId="21" xfId="0" applyNumberFormat="1" applyFont="1" applyBorder="1" applyAlignment="1">
      <alignment horizontal="center"/>
    </xf>
    <xf numFmtId="0" fontId="28" fillId="0" borderId="22" xfId="0" applyFont="1" applyBorder="1"/>
    <xf numFmtId="0" fontId="29" fillId="0" borderId="0" xfId="0" applyFont="1"/>
    <xf numFmtId="0" fontId="28" fillId="0" borderId="0" xfId="0" applyFont="1" applyAlignment="1">
      <alignment horizontal="center"/>
    </xf>
    <xf numFmtId="0" fontId="28" fillId="0" borderId="14" xfId="0" applyFont="1" applyBorder="1"/>
    <xf numFmtId="0" fontId="28" fillId="0" borderId="16" xfId="0" applyFont="1" applyBorder="1" applyAlignment="1">
      <alignment horizontal="center"/>
    </xf>
    <xf numFmtId="0" fontId="30" fillId="0" borderId="0" xfId="0" applyFont="1" applyBorder="1"/>
    <xf numFmtId="2" fontId="30" fillId="0" borderId="0" xfId="0" applyNumberFormat="1" applyFont="1" applyBorder="1" applyAlignment="1">
      <alignment horizontal="center"/>
    </xf>
    <xf numFmtId="165" fontId="30" fillId="0" borderId="0" xfId="0" applyNumberFormat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2" fontId="28" fillId="7" borderId="0" xfId="0" applyNumberFormat="1" applyFont="1" applyFill="1" applyAlignment="1">
      <alignment horizontal="center"/>
    </xf>
    <xf numFmtId="0" fontId="28" fillId="7" borderId="0" xfId="0" applyFont="1" applyFill="1"/>
    <xf numFmtId="0" fontId="28" fillId="0" borderId="23" xfId="0" applyFont="1" applyBorder="1"/>
    <xf numFmtId="0" fontId="28" fillId="0" borderId="17" xfId="0" applyFont="1" applyBorder="1"/>
    <xf numFmtId="0" fontId="28" fillId="0" borderId="19" xfId="0" applyFont="1" applyBorder="1" applyAlignment="1">
      <alignment horizontal="center"/>
    </xf>
    <xf numFmtId="0" fontId="28" fillId="0" borderId="22" xfId="0" applyFont="1" applyBorder="1" applyAlignment="1">
      <alignment horizontal="center"/>
    </xf>
    <xf numFmtId="0" fontId="32" fillId="7" borderId="0" xfId="0" applyFont="1" applyFill="1" applyAlignment="1">
      <alignment horizontal="center"/>
    </xf>
    <xf numFmtId="0" fontId="28" fillId="0" borderId="15" xfId="0" applyFont="1" applyBorder="1"/>
    <xf numFmtId="165" fontId="28" fillId="0" borderId="15" xfId="0" applyNumberFormat="1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165" fontId="28" fillId="0" borderId="0" xfId="0" applyNumberFormat="1" applyFont="1" applyAlignment="1">
      <alignment horizontal="center"/>
    </xf>
    <xf numFmtId="165" fontId="28" fillId="0" borderId="0" xfId="0" applyNumberFormat="1" applyFont="1"/>
    <xf numFmtId="165" fontId="28" fillId="0" borderId="21" xfId="0" applyNumberFormat="1" applyFont="1" applyBorder="1" applyAlignment="1">
      <alignment horizontal="center"/>
    </xf>
    <xf numFmtId="0" fontId="28" fillId="0" borderId="21" xfId="0" applyFont="1" applyBorder="1" applyAlignment="1">
      <alignment horizontal="center"/>
    </xf>
    <xf numFmtId="0" fontId="34" fillId="0" borderId="0" xfId="0" applyFont="1"/>
    <xf numFmtId="165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165" fontId="34" fillId="0" borderId="0" xfId="0" applyNumberFormat="1" applyFont="1" applyAlignment="1">
      <alignment horizontal="center" vertical="center"/>
    </xf>
    <xf numFmtId="2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19" xfId="0" applyFont="1" applyBorder="1"/>
    <xf numFmtId="2" fontId="28" fillId="0" borderId="16" xfId="0" applyNumberFormat="1" applyFont="1" applyBorder="1" applyAlignment="1">
      <alignment horizontal="center"/>
    </xf>
    <xf numFmtId="1" fontId="29" fillId="0" borderId="15" xfId="0" applyNumberFormat="1" applyFont="1" applyBorder="1" applyAlignment="1">
      <alignment horizontal="center"/>
    </xf>
    <xf numFmtId="0" fontId="28" fillId="0" borderId="16" xfId="0" applyFont="1" applyBorder="1"/>
    <xf numFmtId="0" fontId="29" fillId="4" borderId="14" xfId="0" applyFont="1" applyFill="1" applyBorder="1" applyAlignment="1">
      <alignment horizontal="left"/>
    </xf>
    <xf numFmtId="0" fontId="29" fillId="4" borderId="15" xfId="0" applyFont="1" applyFill="1" applyBorder="1" applyAlignment="1">
      <alignment horizontal="center"/>
    </xf>
    <xf numFmtId="0" fontId="28" fillId="4" borderId="15" xfId="0" applyFont="1" applyFill="1" applyBorder="1"/>
    <xf numFmtId="165" fontId="29" fillId="4" borderId="15" xfId="0" applyNumberFormat="1" applyFont="1" applyFill="1" applyBorder="1" applyAlignment="1">
      <alignment horizontal="center"/>
    </xf>
    <xf numFmtId="0" fontId="29" fillId="4" borderId="16" xfId="0" applyFont="1" applyFill="1" applyBorder="1" applyAlignment="1">
      <alignment horizontal="center"/>
    </xf>
    <xf numFmtId="2" fontId="28" fillId="0" borderId="15" xfId="0" applyNumberFormat="1" applyFont="1" applyBorder="1" applyAlignment="1">
      <alignment horizontal="center"/>
    </xf>
    <xf numFmtId="0" fontId="29" fillId="0" borderId="18" xfId="0" applyFont="1" applyBorder="1" applyAlignment="1">
      <alignment horizontal="left"/>
    </xf>
    <xf numFmtId="0" fontId="28" fillId="0" borderId="18" xfId="0" applyFont="1" applyBorder="1" applyProtection="1">
      <protection locked="0"/>
    </xf>
    <xf numFmtId="165" fontId="32" fillId="0" borderId="0" xfId="0" applyNumberFormat="1" applyFont="1" applyAlignment="1">
      <alignment horizontal="center"/>
    </xf>
    <xf numFmtId="2" fontId="28" fillId="6" borderId="0" xfId="0" applyNumberFormat="1" applyFont="1" applyFill="1" applyAlignment="1" applyProtection="1">
      <alignment horizontal="center"/>
      <protection locked="0"/>
    </xf>
    <xf numFmtId="165" fontId="28" fillId="6" borderId="0" xfId="0" applyNumberFormat="1" applyFont="1" applyFill="1" applyAlignment="1" applyProtection="1">
      <alignment horizontal="center"/>
      <protection locked="0"/>
    </xf>
    <xf numFmtId="0" fontId="28" fillId="0" borderId="20" xfId="0" applyFont="1" applyBorder="1" applyProtection="1">
      <protection locked="0"/>
    </xf>
    <xf numFmtId="165" fontId="28" fillId="0" borderId="17" xfId="0" applyNumberFormat="1" applyFont="1" applyBorder="1" applyAlignment="1">
      <alignment horizontal="center"/>
    </xf>
    <xf numFmtId="2" fontId="28" fillId="0" borderId="17" xfId="0" applyNumberFormat="1" applyFont="1" applyBorder="1" applyAlignment="1">
      <alignment horizontal="center"/>
    </xf>
    <xf numFmtId="0" fontId="28" fillId="0" borderId="24" xfId="0" applyFont="1" applyBorder="1"/>
    <xf numFmtId="165" fontId="28" fillId="7" borderId="0" xfId="0" applyNumberFormat="1" applyFont="1" applyFill="1" applyAlignment="1">
      <alignment horizontal="center"/>
    </xf>
    <xf numFmtId="0" fontId="28" fillId="0" borderId="24" xfId="0" applyFont="1" applyBorder="1" applyAlignment="1">
      <alignment horizontal="center"/>
    </xf>
    <xf numFmtId="0" fontId="28" fillId="0" borderId="25" xfId="0" applyFont="1" applyBorder="1"/>
    <xf numFmtId="2" fontId="28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/>
    </xf>
    <xf numFmtId="0" fontId="29" fillId="0" borderId="14" xfId="0" applyFont="1" applyBorder="1"/>
    <xf numFmtId="0" fontId="28" fillId="7" borderId="14" xfId="0" applyFont="1" applyFill="1" applyBorder="1"/>
    <xf numFmtId="2" fontId="28" fillId="7" borderId="15" xfId="0" applyNumberFormat="1" applyFont="1" applyFill="1" applyBorder="1" applyAlignment="1">
      <alignment horizontal="center"/>
    </xf>
    <xf numFmtId="0" fontId="28" fillId="7" borderId="15" xfId="0" applyFont="1" applyFill="1" applyBorder="1" applyAlignment="1">
      <alignment horizontal="center"/>
    </xf>
    <xf numFmtId="0" fontId="28" fillId="7" borderId="16" xfId="0" applyFont="1" applyFill="1" applyBorder="1" applyAlignment="1">
      <alignment horizontal="center"/>
    </xf>
    <xf numFmtId="0" fontId="29" fillId="0" borderId="18" xfId="0" applyFont="1" applyBorder="1"/>
    <xf numFmtId="0" fontId="28" fillId="7" borderId="18" xfId="0" applyFont="1" applyFill="1" applyBorder="1"/>
    <xf numFmtId="0" fontId="28" fillId="7" borderId="0" xfId="0" applyFont="1" applyFill="1" applyAlignment="1">
      <alignment horizontal="center"/>
    </xf>
    <xf numFmtId="0" fontId="28" fillId="7" borderId="19" xfId="0" applyFont="1" applyFill="1" applyBorder="1" applyAlignment="1">
      <alignment horizontal="center"/>
    </xf>
    <xf numFmtId="2" fontId="28" fillId="0" borderId="20" xfId="0" applyNumberFormat="1" applyFont="1" applyBorder="1" applyAlignment="1">
      <alignment horizontal="center" vertical="center"/>
    </xf>
    <xf numFmtId="2" fontId="28" fillId="0" borderId="21" xfId="0" applyNumberFormat="1" applyFont="1" applyBorder="1" applyAlignment="1">
      <alignment horizontal="center" vertical="center"/>
    </xf>
    <xf numFmtId="2" fontId="28" fillId="0" borderId="22" xfId="0" applyNumberFormat="1" applyFont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2" fontId="35" fillId="0" borderId="0" xfId="0" applyNumberFormat="1" applyFont="1" applyAlignment="1">
      <alignment horizontal="center" vertical="center"/>
    </xf>
    <xf numFmtId="0" fontId="35" fillId="0" borderId="19" xfId="0" applyFont="1" applyBorder="1"/>
    <xf numFmtId="0" fontId="28" fillId="0" borderId="0" xfId="0" applyFont="1" applyFill="1"/>
    <xf numFmtId="2" fontId="28" fillId="0" borderId="15" xfId="0" applyNumberFormat="1" applyFont="1" applyFill="1" applyBorder="1" applyAlignment="1" applyProtection="1">
      <alignment horizontal="center"/>
      <protection locked="0"/>
    </xf>
    <xf numFmtId="2" fontId="28" fillId="0" borderId="0" xfId="0" applyNumberFormat="1" applyFont="1" applyFill="1" applyBorder="1" applyAlignment="1" applyProtection="1">
      <alignment horizontal="center"/>
      <protection locked="0"/>
    </xf>
    <xf numFmtId="2" fontId="28" fillId="0" borderId="21" xfId="0" applyNumberFormat="1" applyFont="1" applyFill="1" applyBorder="1" applyAlignment="1" applyProtection="1">
      <alignment horizontal="center"/>
      <protection locked="0"/>
    </xf>
    <xf numFmtId="0" fontId="28" fillId="0" borderId="18" xfId="0" applyFont="1" applyFill="1" applyBorder="1"/>
    <xf numFmtId="2" fontId="28" fillId="0" borderId="0" xfId="0" applyNumberFormat="1" applyFont="1" applyFill="1" applyAlignment="1" applyProtection="1">
      <alignment horizontal="center"/>
      <protection locked="0"/>
    </xf>
    <xf numFmtId="0" fontId="28" fillId="0" borderId="0" xfId="0" applyFont="1" applyFill="1" applyAlignment="1">
      <alignment horizontal="center"/>
    </xf>
    <xf numFmtId="0" fontId="28" fillId="0" borderId="19" xfId="0" applyFont="1" applyFill="1" applyBorder="1" applyAlignment="1">
      <alignment horizontal="center"/>
    </xf>
    <xf numFmtId="165" fontId="9" fillId="6" borderId="0" xfId="0" applyNumberFormat="1" applyFont="1" applyFill="1" applyAlignment="1">
      <alignment horizontal="center"/>
    </xf>
    <xf numFmtId="2" fontId="9" fillId="0" borderId="21" xfId="0" applyNumberFormat="1" applyFont="1" applyBorder="1" applyAlignment="1">
      <alignment horizontal="center" vertical="center"/>
    </xf>
    <xf numFmtId="2" fontId="28" fillId="0" borderId="15" xfId="0" applyNumberFormat="1" applyFont="1" applyBorder="1" applyAlignment="1">
      <alignment horizontal="center" vertical="center"/>
    </xf>
    <xf numFmtId="2" fontId="28" fillId="0" borderId="21" xfId="0" applyNumberFormat="1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27" fillId="0" borderId="21" xfId="0" applyFont="1" applyBorder="1" applyAlignment="1" applyProtection="1">
      <alignment horizontal="center"/>
      <protection locked="0"/>
    </xf>
    <xf numFmtId="22" fontId="27" fillId="0" borderId="21" xfId="0" applyNumberFormat="1" applyFont="1" applyBorder="1" applyAlignment="1" applyProtection="1">
      <alignment horizontal="center"/>
      <protection locked="0"/>
    </xf>
    <xf numFmtId="0" fontId="27" fillId="0" borderId="17" xfId="0" applyFont="1" applyBorder="1" applyAlignment="1" applyProtection="1">
      <alignment horizontal="center"/>
      <protection locked="0"/>
    </xf>
    <xf numFmtId="165" fontId="28" fillId="0" borderId="15" xfId="0" applyNumberFormat="1" applyFont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8" fillId="0" borderId="21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14" xfId="0" applyNumberFormat="1" applyFont="1" applyBorder="1" applyAlignment="1">
      <alignment horizontal="center" vertical="center"/>
    </xf>
    <xf numFmtId="165" fontId="28" fillId="0" borderId="18" xfId="0" applyNumberFormat="1" applyFont="1" applyBorder="1" applyAlignment="1">
      <alignment horizontal="center" vertical="center"/>
    </xf>
    <xf numFmtId="165" fontId="28" fillId="0" borderId="20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2" xfId="0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28" fillId="0" borderId="20" xfId="0" applyFont="1" applyBorder="1" applyAlignment="1">
      <alignment horizontal="left" vertical="center"/>
    </xf>
    <xf numFmtId="0" fontId="28" fillId="0" borderId="21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22" fontId="27" fillId="0" borderId="17" xfId="0" applyNumberFormat="1" applyFont="1" applyBorder="1" applyAlignment="1" applyProtection="1">
      <alignment horizontal="center"/>
      <protection locked="0"/>
    </xf>
    <xf numFmtId="0" fontId="28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/>
    </xf>
    <xf numFmtId="0" fontId="28" fillId="0" borderId="20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2" fontId="9" fillId="0" borderId="15" xfId="0" applyNumberFormat="1" applyFont="1" applyBorder="1" applyAlignment="1">
      <alignment horizontal="center" vertical="center"/>
    </xf>
    <xf numFmtId="2" fontId="9" fillId="0" borderId="2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 applyAlignment="1" applyProtection="1">
      <alignment horizontal="center"/>
      <protection locked="0"/>
    </xf>
    <xf numFmtId="22" fontId="9" fillId="0" borderId="21" xfId="0" applyNumberFormat="1" applyFont="1" applyBorder="1" applyAlignment="1" applyProtection="1">
      <alignment horizontal="center"/>
      <protection locked="0"/>
    </xf>
    <xf numFmtId="0" fontId="9" fillId="0" borderId="17" xfId="0" applyFont="1" applyBorder="1" applyAlignment="1" applyProtection="1">
      <alignment horizontal="center"/>
      <protection locked="0"/>
    </xf>
    <xf numFmtId="165" fontId="9" fillId="0" borderId="15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5" fontId="9" fillId="0" borderId="18" xfId="0" applyNumberFormat="1" applyFont="1" applyBorder="1" applyAlignment="1">
      <alignment horizontal="center" vertical="center"/>
    </xf>
    <xf numFmtId="165" fontId="9" fillId="0" borderId="2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2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24" xfId="0" applyFont="1" applyBorder="1" applyAlignment="1">
      <alignment horizontal="center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9900CC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800" b="1"/>
            </a:pPr>
            <a:r>
              <a:rPr lang="th-TH" sz="4800" b="1"/>
              <a:t>ผลการวัดค่าความก้องภายในห้อง </a:t>
            </a:r>
            <a:r>
              <a:rPr lang="en-US" sz="4800" b="1"/>
              <a:t>Reverberation Time</a:t>
            </a:r>
            <a:endParaRPr lang="th-TH" sz="4800" b="1"/>
          </a:p>
        </c:rich>
      </c:tx>
      <c:layout>
        <c:manualLayout>
          <c:xMode val="edge"/>
          <c:yMode val="edge"/>
          <c:x val="0.23159470878234364"/>
          <c:y val="2.91587204218274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4538095798738E-2"/>
          <c:y val="0.11483953896123567"/>
          <c:w val="0.86708885119863865"/>
          <c:h val="0.58719766394972617"/>
        </c:manualLayout>
      </c:layout>
      <c:lineChart>
        <c:grouping val="standard"/>
        <c:varyColors val="0"/>
        <c:ser>
          <c:idx val="0"/>
          <c:order val="0"/>
          <c:tx>
            <c:strRef>
              <c:f>'สรุปผลการวัด ฑธ'!$E$71</c:f>
              <c:strCache>
                <c:ptCount val="1"/>
                <c:pt idx="0">
                  <c:v>ค่าความก้องที่เหมาะสม</c:v>
                </c:pt>
              </c:strCache>
            </c:strRef>
          </c:tx>
          <c:spPr>
            <a:ln w="635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'สรุปผลการวัด ฑธ'!$L$70:$Q$70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'สรุปผลการวัด ฑธ'!$L$71:$Q$71</c:f>
              <c:numCache>
                <c:formatCode>0.00</c:formatCode>
                <c:ptCount val="6"/>
                <c:pt idx="0">
                  <c:v>2.6368581937179267</c:v>
                </c:pt>
                <c:pt idx="1">
                  <c:v>1.8952418267347595</c:v>
                </c:pt>
                <c:pt idx="2">
                  <c:v>1.648036371073704</c:v>
                </c:pt>
                <c:pt idx="3">
                  <c:v>1.648036371073704</c:v>
                </c:pt>
                <c:pt idx="4">
                  <c:v>1.648036371073704</c:v>
                </c:pt>
                <c:pt idx="5">
                  <c:v>1.648036371073704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2-48FF-B94A-D4836DE313BD}"/>
            </c:ext>
          </c:extLst>
        </c:ser>
        <c:ser>
          <c:idx val="2"/>
          <c:order val="1"/>
          <c:tx>
            <c:strRef>
              <c:f>'สรุปผลการวัด ฑธ'!$E$76:$J$76</c:f>
              <c:strCache>
                <c:ptCount val="6"/>
                <c:pt idx="0">
                  <c:v>ผลวัดหลังติดตั้ง</c:v>
                </c:pt>
              </c:strCache>
            </c:strRef>
          </c:tx>
          <c:spPr>
            <a:ln w="76200">
              <a:solidFill>
                <a:srgbClr val="FF0000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993300"/>
              </a:solidFill>
              <a:ln w="76200">
                <a:solidFill>
                  <a:srgbClr val="FF0000"/>
                </a:solidFill>
                <a:prstDash val="dash"/>
              </a:ln>
            </c:spPr>
          </c:marker>
          <c:cat>
            <c:strRef>
              <c:f>'สรุปผลการวัด ฑธ'!$L$70:$Q$70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'สรุปผลการวัด ฑธ'!$L$76:$Q$76</c:f>
              <c:numCache>
                <c:formatCode>0.00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2-48FF-B94A-D4836DE313BD}"/>
            </c:ext>
          </c:extLst>
        </c:ser>
        <c:ser>
          <c:idx val="3"/>
          <c:order val="2"/>
          <c:tx>
            <c:strRef>
              <c:f>'ห้องชั้น 1'!$E$76</c:f>
              <c:strCache>
                <c:ptCount val="1"/>
                <c:pt idx="0">
                  <c:v>ผลวัดค่าความก้องหลังติดตั้ง</c:v>
                </c:pt>
              </c:strCache>
            </c:strRef>
          </c:tx>
          <c:spPr>
            <a:ln w="63500"/>
          </c:spPr>
          <c:val>
            <c:numRef>
              <c:f>'ห้องชั้น 1'!$L$76:$Q$76</c:f>
            </c:numRef>
          </c:val>
          <c:smooth val="0"/>
          <c:extLst>
            <c:ext xmlns:c16="http://schemas.microsoft.com/office/drawing/2014/chart" uri="{C3380CC4-5D6E-409C-BE32-E72D297353CC}">
              <c16:uniqueId val="{00000002-2032-48FF-B94A-D4836DE313BD}"/>
            </c:ext>
          </c:extLst>
        </c:ser>
        <c:ser>
          <c:idx val="4"/>
          <c:order val="3"/>
          <c:tx>
            <c:strRef>
              <c:f>'สรุปผลการวัด ฑธ'!$E$72</c:f>
              <c:strCache>
                <c:ptCount val="1"/>
                <c:pt idx="0">
                  <c:v>Upper Limit</c:v>
                </c:pt>
              </c:strCache>
            </c:strRef>
          </c:tx>
          <c:spPr>
            <a:ln>
              <a:solidFill>
                <a:srgbClr val="9900CC"/>
              </a:solidFill>
            </a:ln>
          </c:spPr>
          <c:marker>
            <c:symbol val="none"/>
          </c:marker>
          <c:val>
            <c:numRef>
              <c:f>'สรุปผลการวัด ฑธ'!$L$72:$Q$72</c:f>
              <c:numCache>
                <c:formatCode>0.00</c:formatCode>
                <c:ptCount val="6"/>
                <c:pt idx="0">
                  <c:v>3.1642298324615119</c:v>
                </c:pt>
                <c:pt idx="1">
                  <c:v>2.2742901920817111</c:v>
                </c:pt>
                <c:pt idx="2">
                  <c:v>1.9776436452884447</c:v>
                </c:pt>
                <c:pt idx="3">
                  <c:v>1.9776436452884447</c:v>
                </c:pt>
                <c:pt idx="4">
                  <c:v>1.9776436452884447</c:v>
                </c:pt>
                <c:pt idx="5">
                  <c:v>1.9776436452884447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32-48FF-B94A-D4836DE313BD}"/>
            </c:ext>
          </c:extLst>
        </c:ser>
        <c:ser>
          <c:idx val="5"/>
          <c:order val="4"/>
          <c:tx>
            <c:strRef>
              <c:f>'สรุปผลการวัด ฑธ'!$E$73</c:f>
              <c:strCache>
                <c:ptCount val="1"/>
                <c:pt idx="0">
                  <c:v>Lower Limit</c:v>
                </c:pt>
              </c:strCache>
            </c:strRef>
          </c:tx>
          <c:spPr>
            <a:ln>
              <a:solidFill>
                <a:srgbClr val="9900CC"/>
              </a:solidFill>
            </a:ln>
          </c:spPr>
          <c:marker>
            <c:symbol val="none"/>
          </c:marker>
          <c:val>
            <c:numRef>
              <c:f>'สรุปผลการวัด ฑธ'!$L$73:$Q$73</c:f>
              <c:numCache>
                <c:formatCode>0.00</c:formatCode>
                <c:ptCount val="6"/>
                <c:pt idx="0">
                  <c:v>2.1094865549743416</c:v>
                </c:pt>
                <c:pt idx="1">
                  <c:v>1.5161934613878076</c:v>
                </c:pt>
                <c:pt idx="2">
                  <c:v>1.3184290968589634</c:v>
                </c:pt>
                <c:pt idx="3">
                  <c:v>1.3184290968589634</c:v>
                </c:pt>
                <c:pt idx="4">
                  <c:v>1.3184290968589634</c:v>
                </c:pt>
                <c:pt idx="5">
                  <c:v>1.3184290968589634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32-48FF-B94A-D4836DE313BD}"/>
            </c:ext>
          </c:extLst>
        </c:ser>
        <c:ser>
          <c:idx val="1"/>
          <c:order val="5"/>
          <c:tx>
            <c:v>ก่อนการปรับปรุง</c:v>
          </c:tx>
          <c:val>
            <c:numRef>
              <c:f>'สรุปผลการวัด ฑธ'!#REF!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2032-48FF-B94A-D4836DE313BD}"/>
            </c:ext>
          </c:extLst>
        </c:ser>
        <c:ser>
          <c:idx val="6"/>
          <c:order val="6"/>
          <c:tx>
            <c:v>ผลการวัดก่อนติดตั้ง</c:v>
          </c:tx>
          <c:val>
            <c:numRef>
              <c:f>'สรุปผลการวัด ฑธ'!$L$74:$Q$74</c:f>
              <c:numCache>
                <c:formatCode>0.00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32-48FF-B94A-D4836DE3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87528"/>
        <c:axId val="229885960"/>
        <c:extLst/>
      </c:lineChart>
      <c:catAx>
        <c:axId val="229887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200" b="1"/>
                </a:pPr>
                <a:r>
                  <a:rPr lang="en-US" sz="3200" b="1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2888352630150334"/>
              <c:y val="0.762963914792599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n-US"/>
          </a:p>
        </c:txPr>
        <c:crossAx val="229885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885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3200" b="1"/>
                </a:pPr>
                <a:r>
                  <a:rPr lang="en-US" sz="3200" b="1"/>
                  <a:t>RT (s)</a:t>
                </a:r>
              </a:p>
            </c:rich>
          </c:tx>
          <c:layout>
            <c:manualLayout>
              <c:xMode val="edge"/>
              <c:yMode val="edge"/>
              <c:x val="2.8768654341218875E-3"/>
              <c:y val="0.476114984034645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/>
            </a:pPr>
            <a:endParaRPr lang="en-US"/>
          </a:p>
        </c:txPr>
        <c:crossAx val="2298875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2379436832452257E-2"/>
          <c:y val="0.8205094164052017"/>
          <c:w val="0.92645524365663323"/>
          <c:h val="0.14801972056895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200" b="1"/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BrowalliaUPC" panose="020B0604020202020204" pitchFamily="34" charset="-34"/>
          <a:ea typeface="Arial"/>
          <a:cs typeface="BrowalliaUPC" panose="020B0604020202020204" pitchFamily="34" charset="-34"/>
        </a:defRPr>
      </a:pPr>
      <a:endParaRPr lang="en-US"/>
    </a:p>
  </c:txPr>
  <c:printSettings>
    <c:headerFooter alignWithMargins="0"/>
    <c:pageMargins b="1" l="0.750000000000006" r="0.750000000000006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3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3200"/>
              <a:t>เปรียบเทียบระหว่างค่าเวลากังวานก่อนปรับปรุงกับค่าแนะนำและค่าหลังปรับปรุง</a:t>
            </a:r>
            <a:endParaRPr lang="th-TH" sz="3200" baseline="0"/>
          </a:p>
        </c:rich>
      </c:tx>
      <c:layout>
        <c:manualLayout>
          <c:xMode val="edge"/>
          <c:yMode val="edge"/>
          <c:x val="0.11464249299292105"/>
          <c:y val="2.91587292513859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4538095798738E-2"/>
          <c:y val="0.11483953896123567"/>
          <c:w val="0.86708885119863865"/>
          <c:h val="0.58719766394972617"/>
        </c:manualLayout>
      </c:layout>
      <c:lineChart>
        <c:grouping val="standard"/>
        <c:varyColors val="0"/>
        <c:ser>
          <c:idx val="0"/>
          <c:order val="0"/>
          <c:tx>
            <c:strRef>
              <c:f>'ห้องชั้น 1'!$E$70</c:f>
              <c:strCache>
                <c:ptCount val="1"/>
                <c:pt idx="0">
                  <c:v>ค่าความก้องที่เหมาะสม</c:v>
                </c:pt>
              </c:strCache>
            </c:strRef>
          </c:tx>
          <c:spPr>
            <a:ln w="635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'ห้องชั้น 1'!$L$69:$Q$69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'ห้องชั้น 1'!$L$70:$Q$70</c:f>
              <c:numCache>
                <c:formatCode>0.00</c:formatCode>
                <c:ptCount val="6"/>
                <c:pt idx="0">
                  <c:v>1.2217220857959756</c:v>
                </c:pt>
                <c:pt idx="1">
                  <c:v>0.87811274916585735</c:v>
                </c:pt>
                <c:pt idx="2">
                  <c:v>0.76357630362248474</c:v>
                </c:pt>
                <c:pt idx="3">
                  <c:v>0.76357630362248474</c:v>
                </c:pt>
                <c:pt idx="4">
                  <c:v>0.76357630362248474</c:v>
                </c:pt>
                <c:pt idx="5">
                  <c:v>0.76357630362248474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6-4667-BCDD-F17154A7CD28}"/>
            </c:ext>
          </c:extLst>
        </c:ser>
        <c:ser>
          <c:idx val="2"/>
          <c:order val="1"/>
          <c:tx>
            <c:strRef>
              <c:f>'ห้องชั้น 1'!$E$77:$J$77</c:f>
              <c:strCache>
                <c:ptCount val="6"/>
                <c:pt idx="0">
                  <c:v>ค่าความก้องภายหลังติดตั้งวัสดุดูดซับเสียง</c:v>
                </c:pt>
              </c:strCache>
            </c:strRef>
          </c:tx>
          <c:spPr>
            <a:ln w="76200">
              <a:solidFill>
                <a:srgbClr val="FF0000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993300"/>
              </a:solidFill>
              <a:ln w="76200">
                <a:solidFill>
                  <a:srgbClr val="FF0000"/>
                </a:solidFill>
                <a:prstDash val="dash"/>
              </a:ln>
            </c:spPr>
          </c:marker>
          <c:cat>
            <c:strRef>
              <c:f>'ห้องชั้น 1'!$L$69:$Q$69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'ห้องชั้น 1'!$L$77:$Q$77</c:f>
              <c:numCache>
                <c:formatCode>0.00</c:formatCode>
                <c:ptCount val="6"/>
                <c:pt idx="0">
                  <c:v>1.4263565891472869</c:v>
                </c:pt>
                <c:pt idx="1">
                  <c:v>1.8737270875763747</c:v>
                </c:pt>
                <c:pt idx="2">
                  <c:v>0.73836276083467089</c:v>
                </c:pt>
                <c:pt idx="3">
                  <c:v>0.6740914419695192</c:v>
                </c:pt>
                <c:pt idx="4">
                  <c:v>0.54912259758863557</c:v>
                </c:pt>
                <c:pt idx="5">
                  <c:v>0.47422680412371132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6-4667-BCDD-F17154A7CD28}"/>
            </c:ext>
          </c:extLst>
        </c:ser>
        <c:ser>
          <c:idx val="3"/>
          <c:order val="2"/>
          <c:tx>
            <c:strRef>
              <c:f>'ห้องชั้น 1'!$E$76</c:f>
              <c:strCache>
                <c:ptCount val="1"/>
                <c:pt idx="0">
                  <c:v>ผลวัดค่าความก้องหลังติดตั้ง</c:v>
                </c:pt>
              </c:strCache>
            </c:strRef>
          </c:tx>
          <c:spPr>
            <a:ln w="63500"/>
          </c:spPr>
          <c:val>
            <c:numRef>
              <c:f>'ห้องชั้น 1'!$L$76:$Q$76</c:f>
            </c:numRef>
          </c:val>
          <c:smooth val="0"/>
          <c:extLst>
            <c:ext xmlns:c16="http://schemas.microsoft.com/office/drawing/2014/chart" uri="{C3380CC4-5D6E-409C-BE32-E72D297353CC}">
              <c16:uniqueId val="{00000002-7106-4667-BCDD-F17154A7CD28}"/>
            </c:ext>
          </c:extLst>
        </c:ser>
        <c:ser>
          <c:idx val="4"/>
          <c:order val="3"/>
          <c:tx>
            <c:strRef>
              <c:f>'ห้องชั้น 1'!$E$71</c:f>
              <c:strCache>
                <c:ptCount val="1"/>
                <c:pt idx="0">
                  <c:v>Upper Limit</c:v>
                </c:pt>
              </c:strCache>
            </c:strRef>
          </c:tx>
          <c:spPr>
            <a:ln>
              <a:solidFill>
                <a:srgbClr val="9900CC"/>
              </a:solidFill>
            </a:ln>
          </c:spPr>
          <c:marker>
            <c:symbol val="none"/>
          </c:marker>
          <c:val>
            <c:numRef>
              <c:f>'ห้องชั้น 1'!$L$71:$Q$71</c:f>
              <c:numCache>
                <c:formatCode>0.00</c:formatCode>
                <c:ptCount val="6"/>
                <c:pt idx="0">
                  <c:v>1.4660665029551707</c:v>
                </c:pt>
                <c:pt idx="1">
                  <c:v>1.0537352989990287</c:v>
                </c:pt>
                <c:pt idx="2">
                  <c:v>0.91629156434698167</c:v>
                </c:pt>
                <c:pt idx="3">
                  <c:v>0.91629156434698167</c:v>
                </c:pt>
                <c:pt idx="4">
                  <c:v>0.91629156434698167</c:v>
                </c:pt>
                <c:pt idx="5">
                  <c:v>0.91629156434698167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06-4667-BCDD-F17154A7CD28}"/>
            </c:ext>
          </c:extLst>
        </c:ser>
        <c:ser>
          <c:idx val="5"/>
          <c:order val="4"/>
          <c:tx>
            <c:strRef>
              <c:f>'ห้องชั้น 1'!$E$72</c:f>
              <c:strCache>
                <c:ptCount val="1"/>
                <c:pt idx="0">
                  <c:v>Lower Limit</c:v>
                </c:pt>
              </c:strCache>
            </c:strRef>
          </c:tx>
          <c:spPr>
            <a:ln>
              <a:solidFill>
                <a:srgbClr val="9900CC"/>
              </a:solidFill>
            </a:ln>
          </c:spPr>
          <c:marker>
            <c:symbol val="none"/>
          </c:marker>
          <c:val>
            <c:numRef>
              <c:f>'ห้องชั้น 1'!$L$72:$Q$72</c:f>
              <c:numCache>
                <c:formatCode>0.00</c:formatCode>
                <c:ptCount val="6"/>
                <c:pt idx="0">
                  <c:v>0.97737766863678055</c:v>
                </c:pt>
                <c:pt idx="1">
                  <c:v>0.70249019933268597</c:v>
                </c:pt>
                <c:pt idx="2">
                  <c:v>0.61086104289798782</c:v>
                </c:pt>
                <c:pt idx="3">
                  <c:v>0.61086104289798782</c:v>
                </c:pt>
                <c:pt idx="4">
                  <c:v>0.61086104289798782</c:v>
                </c:pt>
                <c:pt idx="5">
                  <c:v>0.61086104289798782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106-4667-BCDD-F17154A7CD28}"/>
            </c:ext>
          </c:extLst>
        </c:ser>
        <c:ser>
          <c:idx val="1"/>
          <c:order val="5"/>
          <c:tx>
            <c:v>ก่อนการปรับปรุง</c:v>
          </c:tx>
          <c:val>
            <c:numRef>
              <c:f>'ห้องชั้น 1'!$L$75:$Q$75</c:f>
              <c:numCache>
                <c:formatCode>0.00</c:formatCode>
                <c:ptCount val="6"/>
                <c:pt idx="0">
                  <c:v>0.70121951219512191</c:v>
                </c:pt>
                <c:pt idx="1">
                  <c:v>1.8737270875763747</c:v>
                </c:pt>
                <c:pt idx="2">
                  <c:v>3.2857142857142856</c:v>
                </c:pt>
                <c:pt idx="3">
                  <c:v>3.8687973086627414</c:v>
                </c:pt>
                <c:pt idx="4">
                  <c:v>2.5246981339187702</c:v>
                </c:pt>
                <c:pt idx="5">
                  <c:v>1.9658119658119657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C8A5-443C-9ABE-8D7D6D8E36ED}"/>
            </c:ext>
          </c:extLst>
        </c:ser>
        <c:ser>
          <c:idx val="6"/>
          <c:order val="6"/>
          <c:tx>
            <c:v>ผลการวัดก่อนติดตั้ง</c:v>
          </c:tx>
          <c:spPr>
            <a:ln w="57150">
              <a:solidFill>
                <a:srgbClr val="92D050"/>
              </a:solidFill>
            </a:ln>
          </c:spPr>
          <c:marker>
            <c:spPr>
              <a:ln w="57150">
                <a:solidFill>
                  <a:srgbClr val="92D050"/>
                </a:solidFill>
              </a:ln>
            </c:spPr>
          </c:marker>
          <c:val>
            <c:numRef>
              <c:f>'ห้องชั้น 1'!$L$73:$Q$73</c:f>
              <c:numCache>
                <c:formatCode>0.00</c:formatCode>
                <c:ptCount val="6"/>
                <c:pt idx="0">
                  <c:v>1.31</c:v>
                </c:pt>
                <c:pt idx="1">
                  <c:v>1.45</c:v>
                </c:pt>
                <c:pt idx="2">
                  <c:v>1.43</c:v>
                </c:pt>
                <c:pt idx="3">
                  <c:v>1.87</c:v>
                </c:pt>
                <c:pt idx="4">
                  <c:v>1.82</c:v>
                </c:pt>
                <c:pt idx="5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A5-443C-9ABE-8D7D6D8E36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87528"/>
        <c:axId val="229885960"/>
        <c:extLst/>
      </c:lineChart>
      <c:catAx>
        <c:axId val="229887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th-TH" sz="2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5099032276697065"/>
              <c:y val="0.76962020876422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th-TH"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885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885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th-TH" sz="2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RT (s)</a:t>
                </a:r>
              </a:p>
            </c:rich>
          </c:tx>
          <c:layout>
            <c:manualLayout>
              <c:xMode val="edge"/>
              <c:yMode val="edge"/>
              <c:x val="2.8768654341218875E-3"/>
              <c:y val="0.476114984034645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th-TH"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8875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2379436832452257E-2"/>
          <c:y val="0.8205094164052017"/>
          <c:w val="0.92645524365663323"/>
          <c:h val="0.14801972056895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2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" r="0.75000000000000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ประสิทธิภาพในการดูดซับเสียง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Sheet1!$C$10</c:f>
              <c:strCache>
                <c:ptCount val="1"/>
                <c:pt idx="0">
                  <c:v>พื้นปูนปูกระเบื้องยาง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Sheet1!$D$9:$I$9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Sheet1!$D$10:$I$10</c:f>
              <c:numCache>
                <c:formatCode>General</c:formatCode>
                <c:ptCount val="6"/>
                <c:pt idx="0">
                  <c:v>0.02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6-4B13-A186-F0A375113842}"/>
            </c:ext>
          </c:extLst>
        </c:ser>
        <c:ser>
          <c:idx val="1"/>
          <c:order val="1"/>
          <c:tx>
            <c:strRef>
              <c:f>Sheet1!$C$11</c:f>
              <c:strCache>
                <c:ptCount val="1"/>
                <c:pt idx="0">
                  <c:v>พื้นปาเก้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Sheet1!$D$9:$I$9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Sheet1!$D$11:$I$11</c:f>
              <c:numCache>
                <c:formatCode>General</c:formatCode>
                <c:ptCount val="6"/>
                <c:pt idx="0">
                  <c:v>0.05</c:v>
                </c:pt>
                <c:pt idx="1">
                  <c:v>0.24</c:v>
                </c:pt>
                <c:pt idx="2">
                  <c:v>0.68</c:v>
                </c:pt>
                <c:pt idx="3">
                  <c:v>0.89</c:v>
                </c:pt>
                <c:pt idx="4">
                  <c:v>0.83</c:v>
                </c:pt>
                <c:pt idx="5">
                  <c:v>0.77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6-4B13-A186-F0A375113842}"/>
            </c:ext>
          </c:extLst>
        </c:ser>
        <c:ser>
          <c:idx val="2"/>
          <c:order val="2"/>
          <c:tx>
            <c:strRef>
              <c:f>Sheet1!$C$12</c:f>
              <c:strCache>
                <c:ptCount val="1"/>
                <c:pt idx="0">
                  <c:v>พื้นไม้ลามิเนต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Sheet1!$D$9:$I$9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Sheet1!$D$12:$I$12</c:f>
              <c:numCache>
                <c:formatCode>General</c:formatCode>
                <c:ptCount val="6"/>
                <c:pt idx="0">
                  <c:v>0.4</c:v>
                </c:pt>
                <c:pt idx="1">
                  <c:v>0.3</c:v>
                </c:pt>
                <c:pt idx="2">
                  <c:v>0.2</c:v>
                </c:pt>
                <c:pt idx="3">
                  <c:v>0.2</c:v>
                </c:pt>
                <c:pt idx="4">
                  <c:v>0.15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6-4B13-A186-F0A375113842}"/>
            </c:ext>
          </c:extLst>
        </c:ser>
        <c:ser>
          <c:idx val="3"/>
          <c:order val="3"/>
          <c:tx>
            <c:strRef>
              <c:f>Sheet1!$C$13</c:f>
              <c:strCache>
                <c:ptCount val="1"/>
                <c:pt idx="0">
                  <c:v>ฝ้าอคูสติก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Sheet1!$D$9:$I$9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Sheet1!$D$13:$I$13</c:f>
              <c:numCache>
                <c:formatCode>General</c:formatCode>
                <c:ptCount val="6"/>
                <c:pt idx="0">
                  <c:v>0.05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  <c:pt idx="4">
                  <c:v>0.1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6-4B13-A186-F0A375113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9889880"/>
        <c:axId val="229891056"/>
      </c:lineChart>
      <c:catAx>
        <c:axId val="229889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91056"/>
        <c:crosses val="autoZero"/>
        <c:auto val="1"/>
        <c:lblAlgn val="ctr"/>
        <c:lblOffset val="100"/>
        <c:noMultiLvlLbl val="0"/>
      </c:catAx>
      <c:valAx>
        <c:axId val="229891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89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th-TH" sz="3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3200"/>
              <a:t>เปรียบเทียบระหว่างค่าเวลากังวานก่อนปรับปรุงกับค่าแนะนำและค่าหลังปรับปรุง</a:t>
            </a:r>
            <a:endParaRPr lang="th-TH" sz="3200" baseline="0"/>
          </a:p>
        </c:rich>
      </c:tx>
      <c:layout>
        <c:manualLayout>
          <c:xMode val="edge"/>
          <c:yMode val="edge"/>
          <c:x val="0.11464249655959008"/>
          <c:y val="2.2124169962625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4538095798738E-2"/>
          <c:y val="0.11483953896123567"/>
          <c:w val="0.86708885119863865"/>
          <c:h val="0.58719766394972617"/>
        </c:manualLayout>
      </c:layout>
      <c:lineChart>
        <c:grouping val="standard"/>
        <c:varyColors val="0"/>
        <c:ser>
          <c:idx val="0"/>
          <c:order val="0"/>
          <c:tx>
            <c:strRef>
              <c:f>'ห้องชั้น 1'!$E$70</c:f>
              <c:strCache>
                <c:ptCount val="1"/>
                <c:pt idx="0">
                  <c:v>ค่าความก้องที่เหมาะสม</c:v>
                </c:pt>
              </c:strCache>
            </c:strRef>
          </c:tx>
          <c:spPr>
            <a:ln w="63500">
              <a:solidFill>
                <a:srgbClr val="000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'ห้องชั้น 1'!$L$69:$Q$69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'ห้องชั้น 1'!$L$70:$Q$70</c:f>
              <c:numCache>
                <c:formatCode>0.00</c:formatCode>
                <c:ptCount val="6"/>
                <c:pt idx="0">
                  <c:v>1.2217220857959756</c:v>
                </c:pt>
                <c:pt idx="1">
                  <c:v>0.87811274916585735</c:v>
                </c:pt>
                <c:pt idx="2">
                  <c:v>0.76357630362248474</c:v>
                </c:pt>
                <c:pt idx="3">
                  <c:v>0.76357630362248474</c:v>
                </c:pt>
                <c:pt idx="4">
                  <c:v>0.76357630362248474</c:v>
                </c:pt>
                <c:pt idx="5">
                  <c:v>0.76357630362248474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08-4865-9E1F-09E8D3C480CB}"/>
            </c:ext>
          </c:extLst>
        </c:ser>
        <c:ser>
          <c:idx val="2"/>
          <c:order val="1"/>
          <c:tx>
            <c:strRef>
              <c:f>'ห้องชั้น 1'!$E$77:$J$77</c:f>
              <c:strCache>
                <c:ptCount val="6"/>
                <c:pt idx="0">
                  <c:v>ค่าความก้องภายหลังติดตั้งวัสดุดูดซับเสียง</c:v>
                </c:pt>
              </c:strCache>
            </c:strRef>
          </c:tx>
          <c:spPr>
            <a:ln w="76200">
              <a:solidFill>
                <a:srgbClr val="FF0000"/>
              </a:solidFill>
              <a:prstDash val="dash"/>
            </a:ln>
          </c:spPr>
          <c:marker>
            <c:symbol val="triangle"/>
            <c:size val="7"/>
            <c:spPr>
              <a:solidFill>
                <a:srgbClr val="993300"/>
              </a:solidFill>
              <a:ln w="76200">
                <a:solidFill>
                  <a:srgbClr val="FF0000"/>
                </a:solidFill>
                <a:prstDash val="dash"/>
              </a:ln>
            </c:spPr>
          </c:marker>
          <c:cat>
            <c:strRef>
              <c:f>'ห้องชั้น 1'!$L$69:$Q$69</c:f>
              <c:strCache>
                <c:ptCount val="6"/>
                <c:pt idx="0">
                  <c:v>125</c:v>
                </c:pt>
                <c:pt idx="1">
                  <c:v>250</c:v>
                </c:pt>
                <c:pt idx="2">
                  <c:v>500</c:v>
                </c:pt>
                <c:pt idx="3">
                  <c:v>1k</c:v>
                </c:pt>
                <c:pt idx="4">
                  <c:v>2k</c:v>
                </c:pt>
                <c:pt idx="5">
                  <c:v>4k</c:v>
                </c:pt>
              </c:strCache>
            </c:strRef>
          </c:cat>
          <c:val>
            <c:numRef>
              <c:f>'ห้องชั้น 1'!$L$77:$Q$77</c:f>
              <c:numCache>
                <c:formatCode>0.00</c:formatCode>
                <c:ptCount val="6"/>
                <c:pt idx="0">
                  <c:v>1.4263565891472869</c:v>
                </c:pt>
                <c:pt idx="1">
                  <c:v>1.8737270875763747</c:v>
                </c:pt>
                <c:pt idx="2">
                  <c:v>0.73836276083467089</c:v>
                </c:pt>
                <c:pt idx="3">
                  <c:v>0.6740914419695192</c:v>
                </c:pt>
                <c:pt idx="4">
                  <c:v>0.54912259758863557</c:v>
                </c:pt>
                <c:pt idx="5">
                  <c:v>0.47422680412371132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8-4865-9E1F-09E8D3C480CB}"/>
            </c:ext>
          </c:extLst>
        </c:ser>
        <c:ser>
          <c:idx val="3"/>
          <c:order val="2"/>
          <c:tx>
            <c:strRef>
              <c:f>'ห้องชั้น 1'!$E$76</c:f>
              <c:strCache>
                <c:ptCount val="1"/>
                <c:pt idx="0">
                  <c:v>ผลวัดค่าความก้องหลังติดตั้ง</c:v>
                </c:pt>
              </c:strCache>
            </c:strRef>
          </c:tx>
          <c:spPr>
            <a:ln w="63500"/>
          </c:spPr>
          <c:val>
            <c:numRef>
              <c:f>'ห้องชั้น 1'!$L$76:$Q$76</c:f>
            </c:numRef>
          </c:val>
          <c:smooth val="0"/>
          <c:extLst>
            <c:ext xmlns:c16="http://schemas.microsoft.com/office/drawing/2014/chart" uri="{C3380CC4-5D6E-409C-BE32-E72D297353CC}">
              <c16:uniqueId val="{00000002-1E08-4865-9E1F-09E8D3C480CB}"/>
            </c:ext>
          </c:extLst>
        </c:ser>
        <c:ser>
          <c:idx val="4"/>
          <c:order val="3"/>
          <c:tx>
            <c:strRef>
              <c:f>'ห้องชั้น 1'!$E$71</c:f>
              <c:strCache>
                <c:ptCount val="1"/>
                <c:pt idx="0">
                  <c:v>Upper Limit</c:v>
                </c:pt>
              </c:strCache>
            </c:strRef>
          </c:tx>
          <c:spPr>
            <a:ln>
              <a:solidFill>
                <a:srgbClr val="9900CC"/>
              </a:solidFill>
            </a:ln>
          </c:spPr>
          <c:marker>
            <c:symbol val="none"/>
          </c:marker>
          <c:val>
            <c:numRef>
              <c:f>'ห้องชั้น 1'!$L$71:$Q$71</c:f>
              <c:numCache>
                <c:formatCode>0.00</c:formatCode>
                <c:ptCount val="6"/>
                <c:pt idx="0">
                  <c:v>1.4660665029551707</c:v>
                </c:pt>
                <c:pt idx="1">
                  <c:v>1.0537352989990287</c:v>
                </c:pt>
                <c:pt idx="2">
                  <c:v>0.91629156434698167</c:v>
                </c:pt>
                <c:pt idx="3">
                  <c:v>0.91629156434698167</c:v>
                </c:pt>
                <c:pt idx="4">
                  <c:v>0.91629156434698167</c:v>
                </c:pt>
                <c:pt idx="5">
                  <c:v>0.91629156434698167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08-4865-9E1F-09E8D3C480CB}"/>
            </c:ext>
          </c:extLst>
        </c:ser>
        <c:ser>
          <c:idx val="5"/>
          <c:order val="4"/>
          <c:tx>
            <c:strRef>
              <c:f>'ห้องชั้น 1'!$E$72</c:f>
              <c:strCache>
                <c:ptCount val="1"/>
                <c:pt idx="0">
                  <c:v>Lower Limit</c:v>
                </c:pt>
              </c:strCache>
            </c:strRef>
          </c:tx>
          <c:spPr>
            <a:ln>
              <a:solidFill>
                <a:srgbClr val="9900CC"/>
              </a:solidFill>
            </a:ln>
          </c:spPr>
          <c:marker>
            <c:symbol val="none"/>
          </c:marker>
          <c:val>
            <c:numRef>
              <c:f>'ห้องชั้น 1'!$L$72:$Q$72</c:f>
              <c:numCache>
                <c:formatCode>0.00</c:formatCode>
                <c:ptCount val="6"/>
                <c:pt idx="0">
                  <c:v>0.97737766863678055</c:v>
                </c:pt>
                <c:pt idx="1">
                  <c:v>0.70249019933268597</c:v>
                </c:pt>
                <c:pt idx="2">
                  <c:v>0.61086104289798782</c:v>
                </c:pt>
                <c:pt idx="3">
                  <c:v>0.61086104289798782</c:v>
                </c:pt>
                <c:pt idx="4">
                  <c:v>0.61086104289798782</c:v>
                </c:pt>
                <c:pt idx="5">
                  <c:v>0.61086104289798782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08-4865-9E1F-09E8D3C480CB}"/>
            </c:ext>
          </c:extLst>
        </c:ser>
        <c:ser>
          <c:idx val="1"/>
          <c:order val="5"/>
          <c:tx>
            <c:v>ก่อนการปรับปรุง</c:v>
          </c:tx>
          <c:val>
            <c:numRef>
              <c:f>'ห้องชั้น 1'!$L$75:$Q$75</c:f>
              <c:numCache>
                <c:formatCode>0.00</c:formatCode>
                <c:ptCount val="6"/>
                <c:pt idx="0">
                  <c:v>0.70121951219512191</c:v>
                </c:pt>
                <c:pt idx="1">
                  <c:v>1.8737270875763747</c:v>
                </c:pt>
                <c:pt idx="2">
                  <c:v>3.2857142857142856</c:v>
                </c:pt>
                <c:pt idx="3">
                  <c:v>3.8687973086627414</c:v>
                </c:pt>
                <c:pt idx="4">
                  <c:v>2.5246981339187702</c:v>
                </c:pt>
                <c:pt idx="5">
                  <c:v>1.9658119658119657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E08-4865-9E1F-09E8D3C480CB}"/>
            </c:ext>
          </c:extLst>
        </c:ser>
        <c:ser>
          <c:idx val="6"/>
          <c:order val="6"/>
          <c:tx>
            <c:v>ผลการวัดก่อนติดตั้ง</c:v>
          </c:tx>
          <c:val>
            <c:numRef>
              <c:f>'ห้องชั้น 1'!$L$73:$Q$73</c:f>
              <c:numCache>
                <c:formatCode>0.00</c:formatCode>
                <c:ptCount val="6"/>
                <c:pt idx="0">
                  <c:v>1.31</c:v>
                </c:pt>
                <c:pt idx="1">
                  <c:v>1.45</c:v>
                </c:pt>
                <c:pt idx="2">
                  <c:v>1.43</c:v>
                </c:pt>
                <c:pt idx="3">
                  <c:v>1.87</c:v>
                </c:pt>
                <c:pt idx="4">
                  <c:v>1.82</c:v>
                </c:pt>
                <c:pt idx="5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E08-4865-9E1F-09E8D3C48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887528"/>
        <c:axId val="229885960"/>
      </c:lineChart>
      <c:catAx>
        <c:axId val="229887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th-TH" sz="2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5099032276697065"/>
              <c:y val="0.769620208764226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th-TH"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885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9885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th-TH" sz="2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RT (s)</a:t>
                </a:r>
              </a:p>
            </c:rich>
          </c:tx>
          <c:layout>
            <c:manualLayout>
              <c:xMode val="edge"/>
              <c:yMode val="edge"/>
              <c:x val="2.8768654341218875E-3"/>
              <c:y val="0.4761149840346454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th-TH" sz="2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9887528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3.2379436832452257E-2"/>
          <c:y val="0.8205094164052017"/>
          <c:w val="0.92645524365663323"/>
          <c:h val="0.179490574663046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th-TH" sz="2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" r="0.750000000000006" t="1" header="0.5" footer="0.5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481493</xdr:colOff>
      <xdr:row>80</xdr:row>
      <xdr:rowOff>54008</xdr:rowOff>
    </xdr:from>
    <xdr:to>
      <xdr:col>19</xdr:col>
      <xdr:colOff>1768929</xdr:colOff>
      <xdr:row>108</xdr:row>
      <xdr:rowOff>1387928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A505B4AA-39F7-4125-917B-6ED657F4F6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535922</xdr:colOff>
      <xdr:row>78</xdr:row>
      <xdr:rowOff>67615</xdr:rowOff>
    </xdr:from>
    <xdr:to>
      <xdr:col>19</xdr:col>
      <xdr:colOff>135872</xdr:colOff>
      <xdr:row>109</xdr:row>
      <xdr:rowOff>87405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18</xdr:row>
      <xdr:rowOff>104775</xdr:rowOff>
    </xdr:from>
    <xdr:to>
      <xdr:col>13</xdr:col>
      <xdr:colOff>219075</xdr:colOff>
      <xdr:row>35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46</xdr:row>
      <xdr:rowOff>0</xdr:rowOff>
    </xdr:from>
    <xdr:to>
      <xdr:col>38</xdr:col>
      <xdr:colOff>127907</xdr:colOff>
      <xdr:row>101</xdr:row>
      <xdr:rowOff>145656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532A10E6-6759-4C22-874E-1FC5AB2E5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und-map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BE49-C937-4E15-BB94-7A555254273B}">
  <sheetPr>
    <pageSetUpPr fitToPage="1"/>
  </sheetPr>
  <dimension ref="C9:AM158"/>
  <sheetViews>
    <sheetView topLeftCell="A16" zoomScale="55" zoomScaleNormal="55" workbookViewId="0">
      <selection activeCell="Z74" sqref="Z74"/>
    </sheetView>
  </sheetViews>
  <sheetFormatPr defaultColWidth="12.26953125" defaultRowHeight="22.5" customHeight="1" x14ac:dyDescent="1.1000000000000001"/>
  <cols>
    <col min="1" max="4" width="9.1796875" style="152" customWidth="1"/>
    <col min="5" max="5" width="38.26953125" style="152" customWidth="1"/>
    <col min="6" max="6" width="16.453125" style="152" customWidth="1"/>
    <col min="7" max="7" width="23.54296875" style="152" customWidth="1"/>
    <col min="8" max="9" width="10" style="152" customWidth="1"/>
    <col min="10" max="10" width="10" style="153" customWidth="1"/>
    <col min="11" max="11" width="12.26953125" style="153" customWidth="1"/>
    <col min="12" max="15" width="17.26953125" style="153" customWidth="1"/>
    <col min="16" max="17" width="17.26953125" style="152" customWidth="1"/>
    <col min="18" max="18" width="8.7265625" style="152" customWidth="1"/>
    <col min="19" max="19" width="6.1796875" style="152" customWidth="1"/>
    <col min="20" max="20" width="33.54296875" style="152" customWidth="1"/>
    <col min="21" max="21" width="12.26953125" style="152"/>
    <col min="22" max="22" width="30.1796875" style="152" customWidth="1"/>
    <col min="23" max="23" width="38.1796875" style="152" customWidth="1"/>
    <col min="24" max="24" width="18.7265625" style="152" customWidth="1"/>
    <col min="25" max="25" width="15.1796875" style="152" customWidth="1"/>
    <col min="26" max="26" width="24.54296875" style="152" customWidth="1"/>
    <col min="27" max="31" width="15.54296875" style="152" customWidth="1"/>
    <col min="32" max="16384" width="12.26953125" style="152"/>
  </cols>
  <sheetData>
    <row r="9" spans="4:28" ht="22.5" customHeight="1" thickBot="1" x14ac:dyDescent="1.1499999999999999"/>
    <row r="10" spans="4:28" ht="22.5" customHeight="1" x14ac:dyDescent="1.1000000000000001">
      <c r="D10" s="301" t="s">
        <v>98</v>
      </c>
      <c r="E10" s="302"/>
      <c r="F10" s="302"/>
      <c r="G10" s="302"/>
      <c r="H10" s="302"/>
      <c r="I10" s="302"/>
      <c r="J10" s="302"/>
      <c r="K10" s="302"/>
      <c r="L10" s="302"/>
      <c r="M10" s="302"/>
      <c r="N10" s="302"/>
      <c r="O10" s="302"/>
      <c r="P10" s="302"/>
      <c r="Q10" s="302"/>
      <c r="R10" s="302"/>
      <c r="S10" s="302"/>
      <c r="T10" s="303"/>
    </row>
    <row r="11" spans="4:28" ht="22.5" customHeight="1" x14ac:dyDescent="1.1000000000000001">
      <c r="D11" s="304"/>
      <c r="E11" s="305"/>
      <c r="F11" s="305"/>
      <c r="G11" s="305"/>
      <c r="H11" s="305"/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6"/>
    </row>
    <row r="12" spans="4:28" ht="22.5" customHeight="1" thickBot="1" x14ac:dyDescent="1.1499999999999999">
      <c r="D12" s="307"/>
      <c r="E12" s="308"/>
      <c r="F12" s="308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9"/>
      <c r="AB12" s="154"/>
    </row>
    <row r="13" spans="4:28" ht="22.5" customHeight="1" x14ac:dyDescent="1.1000000000000001">
      <c r="D13" s="155"/>
      <c r="E13" s="209"/>
      <c r="F13" s="209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156"/>
      <c r="R13" s="156"/>
      <c r="S13" s="156"/>
      <c r="T13" s="157"/>
    </row>
    <row r="14" spans="4:28" ht="39" customHeight="1" thickBot="1" x14ac:dyDescent="1.2">
      <c r="D14" s="158"/>
      <c r="E14" s="208" t="s">
        <v>99</v>
      </c>
      <c r="F14" s="208"/>
      <c r="G14" s="310" t="s">
        <v>109</v>
      </c>
      <c r="H14" s="310"/>
      <c r="I14" s="310"/>
      <c r="J14" s="310"/>
      <c r="K14" s="310"/>
      <c r="L14" s="310"/>
      <c r="M14" s="310"/>
      <c r="N14" s="310"/>
      <c r="O14" s="310"/>
      <c r="P14" s="208"/>
      <c r="T14" s="159"/>
    </row>
    <row r="15" spans="4:28" ht="39" customHeight="1" thickBot="1" x14ac:dyDescent="1.2">
      <c r="D15" s="158"/>
      <c r="E15" s="208" t="s">
        <v>100</v>
      </c>
      <c r="F15" s="208"/>
      <c r="G15" s="310"/>
      <c r="H15" s="310"/>
      <c r="I15" s="310"/>
      <c r="J15" s="310"/>
      <c r="K15" s="310"/>
      <c r="L15" s="310"/>
      <c r="M15" s="310"/>
      <c r="N15" s="310"/>
      <c r="O15" s="310"/>
      <c r="P15" s="208"/>
      <c r="T15" s="159"/>
    </row>
    <row r="16" spans="4:28" ht="39" customHeight="1" thickBot="1" x14ac:dyDescent="1.2">
      <c r="D16" s="158"/>
      <c r="E16" s="208" t="s">
        <v>101</v>
      </c>
      <c r="F16" s="208"/>
      <c r="G16" s="311" t="s">
        <v>112</v>
      </c>
      <c r="H16" s="310"/>
      <c r="I16" s="310"/>
      <c r="J16" s="310"/>
      <c r="K16" s="310"/>
      <c r="L16" s="310"/>
      <c r="M16" s="310"/>
      <c r="N16" s="310"/>
      <c r="O16" s="310"/>
      <c r="P16" s="208"/>
      <c r="T16" s="159"/>
    </row>
    <row r="17" spans="4:36" ht="39" customHeight="1" thickBot="1" x14ac:dyDescent="1.2">
      <c r="D17" s="158"/>
      <c r="E17" s="208" t="s">
        <v>110</v>
      </c>
      <c r="F17" s="208"/>
      <c r="G17" s="332" t="s">
        <v>111</v>
      </c>
      <c r="H17" s="332"/>
      <c r="I17" s="332"/>
      <c r="J17" s="332"/>
      <c r="K17" s="332"/>
      <c r="L17" s="332"/>
      <c r="M17" s="332"/>
      <c r="N17" s="332"/>
      <c r="O17" s="332"/>
      <c r="P17" s="208"/>
      <c r="T17" s="159"/>
    </row>
    <row r="18" spans="4:36" ht="39" customHeight="1" thickBot="1" x14ac:dyDescent="1.2">
      <c r="D18" s="158"/>
      <c r="E18" s="208" t="s">
        <v>102</v>
      </c>
      <c r="F18" s="208"/>
      <c r="G18" s="312" t="s">
        <v>108</v>
      </c>
      <c r="H18" s="312"/>
      <c r="I18" s="312"/>
      <c r="J18" s="312"/>
      <c r="K18" s="312"/>
      <c r="L18" s="312"/>
      <c r="M18" s="312"/>
      <c r="N18" s="312"/>
      <c r="O18" s="312"/>
      <c r="P18" s="208"/>
      <c r="T18" s="159"/>
    </row>
    <row r="19" spans="4:36" ht="48.75" customHeight="1" thickBot="1" x14ac:dyDescent="1.2">
      <c r="D19" s="160"/>
      <c r="E19" s="210"/>
      <c r="F19" s="210"/>
      <c r="G19" s="210"/>
      <c r="H19" s="210"/>
      <c r="I19" s="210"/>
      <c r="J19" s="211"/>
      <c r="K19" s="211"/>
      <c r="L19" s="211"/>
      <c r="M19" s="211"/>
      <c r="N19" s="211"/>
      <c r="O19" s="211"/>
      <c r="P19" s="210"/>
      <c r="Q19" s="161"/>
      <c r="R19" s="161"/>
      <c r="S19" s="161"/>
      <c r="T19" s="163"/>
    </row>
    <row r="20" spans="4:36" ht="35" x14ac:dyDescent="1.1000000000000001">
      <c r="D20" s="158"/>
      <c r="T20" s="159"/>
    </row>
    <row r="21" spans="4:36" ht="37.5" customHeight="1" thickBot="1" x14ac:dyDescent="1.3">
      <c r="D21" s="158"/>
      <c r="E21" s="221" t="s">
        <v>103</v>
      </c>
      <c r="F21" s="289"/>
      <c r="G21" s="212"/>
      <c r="H21" s="212"/>
      <c r="I21" s="212"/>
      <c r="J21" s="213"/>
      <c r="K21" s="213"/>
      <c r="L21" s="213"/>
      <c r="M21" s="213"/>
      <c r="N21" s="213"/>
      <c r="O21" s="213"/>
      <c r="P21" s="212"/>
      <c r="Q21" s="212"/>
      <c r="R21" s="212"/>
      <c r="S21" s="212"/>
      <c r="T21" s="216"/>
      <c r="V21" s="151" t="s">
        <v>29</v>
      </c>
      <c r="Y21" s="164"/>
      <c r="Z21" s="153"/>
      <c r="AA21" s="153"/>
      <c r="AB21" s="153"/>
      <c r="AC21" s="153"/>
      <c r="AD21" s="165"/>
      <c r="AE21" s="165"/>
    </row>
    <row r="22" spans="4:36" ht="37.5" customHeight="1" thickBot="1" x14ac:dyDescent="1.3">
      <c r="D22" s="158"/>
      <c r="E22" s="223" t="s">
        <v>104</v>
      </c>
      <c r="F22" s="290">
        <v>31.4</v>
      </c>
      <c r="G22" s="224" t="s">
        <v>9</v>
      </c>
      <c r="H22" s="225" t="s">
        <v>17</v>
      </c>
      <c r="I22" s="225"/>
      <c r="J22" s="226"/>
      <c r="K22" s="226"/>
      <c r="L22" s="227">
        <f>(2*F22*F23)+(2*F23*F24)+(2*F22*F24)</f>
        <v>5182</v>
      </c>
      <c r="M22" s="228" t="s">
        <v>113</v>
      </c>
      <c r="N22" s="213"/>
      <c r="O22" s="229"/>
      <c r="P22" s="230"/>
      <c r="Q22" s="230"/>
      <c r="R22" s="230"/>
      <c r="S22" s="230"/>
      <c r="T22" s="216"/>
      <c r="V22" s="166"/>
      <c r="W22" s="167"/>
      <c r="X22" s="167"/>
      <c r="Y22" s="167"/>
      <c r="Z22" s="168">
        <v>125</v>
      </c>
      <c r="AA22" s="168">
        <v>250</v>
      </c>
      <c r="AB22" s="168">
        <v>500</v>
      </c>
      <c r="AC22" s="168" t="s">
        <v>1</v>
      </c>
      <c r="AD22" s="168" t="s">
        <v>2</v>
      </c>
      <c r="AE22" s="169" t="s">
        <v>3</v>
      </c>
    </row>
    <row r="23" spans="4:36" ht="37.5" customHeight="1" x14ac:dyDescent="1.25">
      <c r="D23" s="158"/>
      <c r="E23" s="215" t="s">
        <v>105</v>
      </c>
      <c r="F23" s="291">
        <v>55</v>
      </c>
      <c r="G23" s="233" t="s">
        <v>9</v>
      </c>
      <c r="H23" s="225" t="s">
        <v>10</v>
      </c>
      <c r="I23" s="225"/>
      <c r="J23" s="226"/>
      <c r="K23" s="226"/>
      <c r="L23" s="227">
        <f>F22*F23*F24</f>
        <v>17270</v>
      </c>
      <c r="M23" s="228" t="s">
        <v>114</v>
      </c>
      <c r="N23" s="213"/>
      <c r="O23" s="229"/>
      <c r="P23" s="230"/>
      <c r="Q23" s="230"/>
      <c r="R23" s="230"/>
      <c r="S23" s="230"/>
      <c r="T23" s="216"/>
      <c r="V23" s="170" t="s">
        <v>4</v>
      </c>
      <c r="W23" s="171"/>
      <c r="X23" s="171"/>
      <c r="Y23" s="171"/>
      <c r="Z23" s="172">
        <v>0.05</v>
      </c>
      <c r="AA23" s="172">
        <v>0.24</v>
      </c>
      <c r="AB23" s="172">
        <v>0.68</v>
      </c>
      <c r="AC23" s="172">
        <v>0.89</v>
      </c>
      <c r="AD23" s="172">
        <v>0.83</v>
      </c>
      <c r="AE23" s="173">
        <v>0.77</v>
      </c>
      <c r="AJ23" s="174"/>
    </row>
    <row r="24" spans="4:36" ht="37.5" customHeight="1" thickBot="1" x14ac:dyDescent="1.3">
      <c r="D24" s="158"/>
      <c r="E24" s="217" t="s">
        <v>106</v>
      </c>
      <c r="F24" s="292">
        <v>10</v>
      </c>
      <c r="G24" s="234" t="s">
        <v>9</v>
      </c>
      <c r="H24" s="225"/>
      <c r="I24" s="225"/>
      <c r="J24" s="226"/>
      <c r="K24" s="226"/>
      <c r="L24" s="226"/>
      <c r="M24" s="226"/>
      <c r="N24" s="213"/>
      <c r="O24" s="229"/>
      <c r="P24" s="235"/>
      <c r="Q24" s="230"/>
      <c r="R24" s="230"/>
      <c r="S24" s="230"/>
      <c r="T24" s="216"/>
      <c r="V24" s="170" t="s">
        <v>54</v>
      </c>
      <c r="W24" s="171"/>
      <c r="X24" s="171"/>
      <c r="Y24" s="171"/>
      <c r="Z24" s="172">
        <v>0.4</v>
      </c>
      <c r="AA24" s="172">
        <v>0.3</v>
      </c>
      <c r="AB24" s="172">
        <v>0.2</v>
      </c>
      <c r="AC24" s="172">
        <v>0.2</v>
      </c>
      <c r="AD24" s="172">
        <v>0.15</v>
      </c>
      <c r="AE24" s="173">
        <v>0.1</v>
      </c>
      <c r="AJ24" s="174"/>
    </row>
    <row r="25" spans="4:36" ht="40.5" x14ac:dyDescent="1.25">
      <c r="D25" s="158"/>
      <c r="E25" s="212"/>
      <c r="F25" s="289"/>
      <c r="G25" s="212"/>
      <c r="H25" s="212"/>
      <c r="I25" s="212"/>
      <c r="J25" s="213"/>
      <c r="K25" s="213"/>
      <c r="L25" s="213"/>
      <c r="M25" s="213"/>
      <c r="N25" s="213"/>
      <c r="O25" s="229"/>
      <c r="P25" s="230"/>
      <c r="Q25" s="230"/>
      <c r="R25" s="230"/>
      <c r="S25" s="230"/>
      <c r="T25" s="216"/>
      <c r="V25" s="170" t="s">
        <v>46</v>
      </c>
      <c r="W25" s="171"/>
      <c r="X25" s="171"/>
      <c r="Y25" s="171"/>
      <c r="Z25" s="172">
        <v>0.05</v>
      </c>
      <c r="AA25" s="172">
        <v>0.03</v>
      </c>
      <c r="AB25" s="172">
        <v>0.06</v>
      </c>
      <c r="AC25" s="172">
        <v>0.09</v>
      </c>
      <c r="AD25" s="172">
        <v>0.1</v>
      </c>
      <c r="AE25" s="173">
        <v>0.2</v>
      </c>
      <c r="AJ25" s="174"/>
    </row>
    <row r="26" spans="4:36" ht="28.5" hidden="1" customHeight="1" x14ac:dyDescent="1.25">
      <c r="D26" s="158"/>
      <c r="E26" s="223" t="s">
        <v>11</v>
      </c>
      <c r="F26" s="236"/>
      <c r="G26" s="237">
        <f>F24*F22</f>
        <v>314</v>
      </c>
      <c r="H26" s="238" t="s">
        <v>115</v>
      </c>
      <c r="I26" s="236"/>
      <c r="J26" s="313">
        <f>SUM(G26:G31)</f>
        <v>5182</v>
      </c>
      <c r="K26" s="299" t="s">
        <v>115</v>
      </c>
      <c r="L26" s="317">
        <f>G26+G27+G28+G30+G31</f>
        <v>3455</v>
      </c>
      <c r="M26" s="320" t="s">
        <v>115</v>
      </c>
      <c r="N26" s="323" t="s">
        <v>28</v>
      </c>
      <c r="O26" s="212"/>
      <c r="P26" s="212"/>
      <c r="Q26" s="212"/>
      <c r="R26" s="212"/>
      <c r="S26" s="212"/>
      <c r="T26" s="216"/>
      <c r="V26" s="170" t="s">
        <v>5</v>
      </c>
      <c r="W26" s="171"/>
      <c r="X26" s="171"/>
      <c r="Y26" s="171"/>
      <c r="Z26" s="172">
        <v>0.03</v>
      </c>
      <c r="AA26" s="172">
        <v>0.03</v>
      </c>
      <c r="AB26" s="172">
        <v>0.03</v>
      </c>
      <c r="AC26" s="172">
        <v>0.04</v>
      </c>
      <c r="AD26" s="172">
        <v>0.05</v>
      </c>
      <c r="AE26" s="173">
        <v>7.0000000000000007E-2</v>
      </c>
      <c r="AJ26" s="174"/>
    </row>
    <row r="27" spans="4:36" ht="28.5" hidden="1" customHeight="1" x14ac:dyDescent="1.25">
      <c r="D27" s="158"/>
      <c r="E27" s="215" t="s">
        <v>12</v>
      </c>
      <c r="F27" s="212"/>
      <c r="G27" s="239">
        <f>F24*F22</f>
        <v>314</v>
      </c>
      <c r="H27" s="222" t="s">
        <v>115</v>
      </c>
      <c r="I27" s="212"/>
      <c r="J27" s="314"/>
      <c r="K27" s="316"/>
      <c r="L27" s="318"/>
      <c r="M27" s="321"/>
      <c r="N27" s="324"/>
      <c r="O27" s="212"/>
      <c r="P27" s="240"/>
      <c r="Q27" s="212"/>
      <c r="R27" s="212"/>
      <c r="S27" s="212"/>
      <c r="T27" s="216"/>
      <c r="V27" s="170" t="s">
        <v>45</v>
      </c>
      <c r="W27" s="171"/>
      <c r="X27" s="171"/>
      <c r="Y27" s="171"/>
      <c r="Z27" s="172">
        <v>0.3</v>
      </c>
      <c r="AA27" s="172">
        <v>0.1</v>
      </c>
      <c r="AB27" s="172">
        <v>0.05</v>
      </c>
      <c r="AC27" s="172">
        <v>0.04</v>
      </c>
      <c r="AD27" s="172">
        <v>7.0000000000000007E-2</v>
      </c>
      <c r="AE27" s="173">
        <v>0.1</v>
      </c>
      <c r="AJ27" s="174"/>
    </row>
    <row r="28" spans="4:36" ht="28.5" hidden="1" customHeight="1" x14ac:dyDescent="1.25">
      <c r="D28" s="158"/>
      <c r="E28" s="215" t="s">
        <v>13</v>
      </c>
      <c r="F28" s="212"/>
      <c r="G28" s="239">
        <f>F22*F23</f>
        <v>1727</v>
      </c>
      <c r="H28" s="222" t="s">
        <v>115</v>
      </c>
      <c r="I28" s="212"/>
      <c r="J28" s="314"/>
      <c r="K28" s="316"/>
      <c r="L28" s="318"/>
      <c r="M28" s="321"/>
      <c r="N28" s="324"/>
      <c r="O28" s="212"/>
      <c r="P28" s="212"/>
      <c r="Q28" s="212"/>
      <c r="R28" s="212"/>
      <c r="S28" s="212"/>
      <c r="T28" s="216"/>
      <c r="V28" s="170" t="s">
        <v>16</v>
      </c>
      <c r="W28" s="171"/>
      <c r="X28" s="171"/>
      <c r="Y28" s="171"/>
      <c r="Z28" s="172">
        <v>0.4</v>
      </c>
      <c r="AA28" s="172">
        <v>0.3</v>
      </c>
      <c r="AB28" s="172">
        <v>0.62</v>
      </c>
      <c r="AC28" s="172">
        <v>0.81</v>
      </c>
      <c r="AD28" s="172">
        <v>0.87</v>
      </c>
      <c r="AE28" s="173">
        <v>0.89</v>
      </c>
      <c r="AJ28" s="174"/>
    </row>
    <row r="29" spans="4:36" ht="28.5" hidden="1" customHeight="1" x14ac:dyDescent="1.25">
      <c r="D29" s="158"/>
      <c r="E29" s="215" t="s">
        <v>0</v>
      </c>
      <c r="F29" s="212"/>
      <c r="G29" s="239">
        <f>F22*F23</f>
        <v>1727</v>
      </c>
      <c r="H29" s="222" t="s">
        <v>115</v>
      </c>
      <c r="I29" s="212"/>
      <c r="J29" s="314"/>
      <c r="K29" s="316"/>
      <c r="L29" s="318"/>
      <c r="M29" s="321"/>
      <c r="N29" s="324"/>
      <c r="O29" s="212"/>
      <c r="P29" s="212"/>
      <c r="Q29" s="212"/>
      <c r="R29" s="212"/>
      <c r="S29" s="212"/>
      <c r="T29" s="216"/>
      <c r="V29" s="170" t="s">
        <v>32</v>
      </c>
      <c r="W29" s="171"/>
      <c r="X29" s="171"/>
      <c r="Y29" s="171"/>
      <c r="Z29" s="172">
        <v>0.02</v>
      </c>
      <c r="AA29" s="172">
        <v>0.06</v>
      </c>
      <c r="AB29" s="172">
        <v>0.15</v>
      </c>
      <c r="AC29" s="172">
        <v>0.4</v>
      </c>
      <c r="AD29" s="172">
        <v>0.6</v>
      </c>
      <c r="AE29" s="173">
        <v>0.6</v>
      </c>
      <c r="AJ29" s="174"/>
    </row>
    <row r="30" spans="4:36" ht="28.5" hidden="1" customHeight="1" x14ac:dyDescent="1.25">
      <c r="D30" s="158"/>
      <c r="E30" s="215" t="s">
        <v>14</v>
      </c>
      <c r="F30" s="212"/>
      <c r="G30" s="239">
        <f>F23*F24</f>
        <v>550</v>
      </c>
      <c r="H30" s="222" t="s">
        <v>115</v>
      </c>
      <c r="I30" s="212"/>
      <c r="J30" s="314"/>
      <c r="K30" s="316"/>
      <c r="L30" s="318"/>
      <c r="M30" s="321"/>
      <c r="N30" s="324"/>
      <c r="O30" s="212"/>
      <c r="P30" s="212"/>
      <c r="Q30" s="212"/>
      <c r="R30" s="212"/>
      <c r="S30" s="212"/>
      <c r="T30" s="216"/>
      <c r="V30" s="170" t="s">
        <v>41</v>
      </c>
      <c r="W30" s="171"/>
      <c r="X30" s="171"/>
      <c r="Y30" s="171"/>
      <c r="Z30" s="172">
        <v>7.0000000000000007E-2</v>
      </c>
      <c r="AA30" s="172">
        <v>0.3</v>
      </c>
      <c r="AB30" s="172">
        <v>0.5</v>
      </c>
      <c r="AC30" s="172">
        <v>0.7</v>
      </c>
      <c r="AD30" s="172">
        <v>0.7</v>
      </c>
      <c r="AE30" s="173">
        <v>0.6</v>
      </c>
      <c r="AJ30" s="174"/>
    </row>
    <row r="31" spans="4:36" ht="28.5" hidden="1" customHeight="1" thickBot="1" x14ac:dyDescent="1.3">
      <c r="D31" s="158"/>
      <c r="E31" s="217" t="s">
        <v>15</v>
      </c>
      <c r="F31" s="218"/>
      <c r="G31" s="241">
        <f>F23*F24</f>
        <v>550</v>
      </c>
      <c r="H31" s="242" t="s">
        <v>115</v>
      </c>
      <c r="I31" s="218"/>
      <c r="J31" s="315"/>
      <c r="K31" s="300"/>
      <c r="L31" s="319"/>
      <c r="M31" s="322"/>
      <c r="N31" s="325"/>
      <c r="O31" s="212"/>
      <c r="P31" s="212"/>
      <c r="Q31" s="212"/>
      <c r="R31" s="212"/>
      <c r="S31" s="212"/>
      <c r="T31" s="216"/>
      <c r="V31" s="175" t="s">
        <v>49</v>
      </c>
      <c r="W31" s="176"/>
      <c r="X31" s="176"/>
      <c r="Y31" s="176"/>
      <c r="Z31" s="177">
        <v>0.05</v>
      </c>
      <c r="AA31" s="177">
        <v>0.1</v>
      </c>
      <c r="AB31" s="177">
        <v>0.1</v>
      </c>
      <c r="AC31" s="177">
        <v>0.1</v>
      </c>
      <c r="AD31" s="177">
        <v>7.0000000000000007E-2</v>
      </c>
      <c r="AE31" s="178">
        <v>0.02</v>
      </c>
      <c r="AJ31" s="174"/>
    </row>
    <row r="32" spans="4:36" s="179" customFormat="1" ht="28.5" hidden="1" customHeight="1" x14ac:dyDescent="1.25">
      <c r="D32" s="180"/>
      <c r="E32" s="243"/>
      <c r="F32" s="243"/>
      <c r="G32" s="244"/>
      <c r="H32" s="245"/>
      <c r="I32" s="243"/>
      <c r="J32" s="246"/>
      <c r="K32" s="247"/>
      <c r="L32" s="246"/>
      <c r="M32" s="248"/>
      <c r="N32" s="249"/>
      <c r="O32" s="243"/>
      <c r="P32" s="243"/>
      <c r="Q32" s="243"/>
      <c r="R32" s="243"/>
      <c r="S32" s="243"/>
      <c r="T32" s="250"/>
      <c r="V32" s="181" t="s">
        <v>44</v>
      </c>
      <c r="W32" s="182"/>
      <c r="X32" s="182"/>
      <c r="Y32" s="182"/>
      <c r="Z32" s="183">
        <v>0.02</v>
      </c>
      <c r="AA32" s="183">
        <v>0.03</v>
      </c>
      <c r="AB32" s="183">
        <v>0.03</v>
      </c>
      <c r="AC32" s="183">
        <v>0.03</v>
      </c>
      <c r="AD32" s="183">
        <v>0.03</v>
      </c>
      <c r="AE32" s="184">
        <v>0.02</v>
      </c>
      <c r="AJ32" s="174"/>
    </row>
    <row r="33" spans="4:36" s="179" customFormat="1" ht="28.5" hidden="1" customHeight="1" thickBot="1" x14ac:dyDescent="1.3">
      <c r="D33" s="158"/>
      <c r="E33" s="221" t="s">
        <v>31</v>
      </c>
      <c r="F33" s="212"/>
      <c r="G33" s="212"/>
      <c r="H33" s="212"/>
      <c r="I33" s="222"/>
      <c r="J33" s="213"/>
      <c r="K33" s="213"/>
      <c r="L33" s="213"/>
      <c r="M33" s="213"/>
      <c r="N33" s="213"/>
      <c r="O33" s="213"/>
      <c r="P33" s="212"/>
      <c r="Q33" s="212"/>
      <c r="R33" s="212"/>
      <c r="S33" s="212"/>
      <c r="T33" s="216"/>
      <c r="V33" s="170" t="s">
        <v>42</v>
      </c>
      <c r="W33" s="171"/>
      <c r="X33" s="171"/>
      <c r="Y33" s="171"/>
      <c r="Z33" s="172">
        <v>0.3</v>
      </c>
      <c r="AA33" s="172">
        <v>0.2</v>
      </c>
      <c r="AB33" s="172">
        <v>0.2</v>
      </c>
      <c r="AC33" s="172">
        <v>0.1</v>
      </c>
      <c r="AD33" s="172">
        <v>7.0000000000000007E-2</v>
      </c>
      <c r="AE33" s="173">
        <v>0.04</v>
      </c>
      <c r="AJ33" s="174"/>
    </row>
    <row r="34" spans="4:36" s="179" customFormat="1" ht="28.5" hidden="1" customHeight="1" thickBot="1" x14ac:dyDescent="1.3">
      <c r="D34" s="158"/>
      <c r="E34" s="223"/>
      <c r="F34" s="236"/>
      <c r="G34" s="236"/>
      <c r="H34" s="236"/>
      <c r="I34" s="238"/>
      <c r="J34" s="251"/>
      <c r="K34" s="236"/>
      <c r="L34" s="252">
        <v>125</v>
      </c>
      <c r="M34" s="252">
        <v>250</v>
      </c>
      <c r="N34" s="252">
        <v>500</v>
      </c>
      <c r="O34" s="252" t="s">
        <v>1</v>
      </c>
      <c r="P34" s="252" t="s">
        <v>2</v>
      </c>
      <c r="Q34" s="252" t="s">
        <v>3</v>
      </c>
      <c r="R34" s="236"/>
      <c r="S34" s="253"/>
      <c r="T34" s="216"/>
      <c r="V34" s="181" t="s">
        <v>43</v>
      </c>
      <c r="W34" s="182"/>
      <c r="X34" s="182"/>
      <c r="Y34" s="182"/>
      <c r="Z34" s="183">
        <v>0.67</v>
      </c>
      <c r="AA34" s="183">
        <v>0.96</v>
      </c>
      <c r="AB34" s="183">
        <v>0.81</v>
      </c>
      <c r="AC34" s="183">
        <v>0.66</v>
      </c>
      <c r="AD34" s="183">
        <v>0.53</v>
      </c>
      <c r="AE34" s="184">
        <v>0.49</v>
      </c>
      <c r="AF34" s="179" t="s">
        <v>84</v>
      </c>
      <c r="AJ34" s="174"/>
    </row>
    <row r="35" spans="4:36" s="179" customFormat="1" ht="28.5" hidden="1" customHeight="1" x14ac:dyDescent="1.25">
      <c r="D35" s="158"/>
      <c r="E35" s="254" t="s">
        <v>51</v>
      </c>
      <c r="F35" s="255"/>
      <c r="G35" s="255"/>
      <c r="H35" s="256"/>
      <c r="I35" s="257">
        <f>L22</f>
        <v>5182</v>
      </c>
      <c r="J35" s="258" t="s">
        <v>115</v>
      </c>
      <c r="K35" s="236"/>
      <c r="L35" s="259"/>
      <c r="M35" s="259"/>
      <c r="N35" s="259"/>
      <c r="O35" s="259"/>
      <c r="P35" s="259"/>
      <c r="Q35" s="259"/>
      <c r="R35" s="236"/>
      <c r="S35" s="253"/>
      <c r="T35" s="216"/>
      <c r="V35" s="181" t="s">
        <v>50</v>
      </c>
      <c r="W35" s="182"/>
      <c r="X35" s="182"/>
      <c r="Y35" s="182"/>
      <c r="Z35" s="183">
        <v>0.37</v>
      </c>
      <c r="AA35" s="183">
        <v>0.7</v>
      </c>
      <c r="AB35" s="183">
        <v>0.73</v>
      </c>
      <c r="AC35" s="183">
        <v>1.17</v>
      </c>
      <c r="AD35" s="183">
        <v>1.28</v>
      </c>
      <c r="AE35" s="184">
        <v>1.39</v>
      </c>
      <c r="AF35" s="179" t="s">
        <v>85</v>
      </c>
      <c r="AJ35" s="174"/>
    </row>
    <row r="36" spans="4:36" s="179" customFormat="1" ht="28.5" hidden="1" customHeight="1" x14ac:dyDescent="1.25">
      <c r="D36" s="158"/>
      <c r="E36" s="260"/>
      <c r="F36" s="222"/>
      <c r="G36" s="222"/>
      <c r="H36" s="222"/>
      <c r="I36" s="239"/>
      <c r="J36" s="233"/>
      <c r="K36" s="212"/>
      <c r="L36" s="213"/>
      <c r="M36" s="213"/>
      <c r="N36" s="213"/>
      <c r="O36" s="213"/>
      <c r="P36" s="213"/>
      <c r="Q36" s="213"/>
      <c r="R36" s="212"/>
      <c r="S36" s="216"/>
      <c r="T36" s="216"/>
      <c r="V36" s="181" t="s">
        <v>63</v>
      </c>
      <c r="W36" s="182"/>
      <c r="X36" s="182"/>
      <c r="Y36" s="182"/>
      <c r="Z36" s="183">
        <v>0.41</v>
      </c>
      <c r="AA36" s="183">
        <v>0.39</v>
      </c>
      <c r="AB36" s="183">
        <v>0.7</v>
      </c>
      <c r="AC36" s="183">
        <v>0.93</v>
      </c>
      <c r="AD36" s="183">
        <v>0.89</v>
      </c>
      <c r="AE36" s="184">
        <v>0.65</v>
      </c>
      <c r="AF36" s="179" t="s">
        <v>86</v>
      </c>
      <c r="AJ36" s="174"/>
    </row>
    <row r="37" spans="4:36" s="179" customFormat="1" ht="28.5" hidden="1" customHeight="1" x14ac:dyDescent="1.25">
      <c r="D37" s="158"/>
      <c r="E37" s="261" t="s">
        <v>45</v>
      </c>
      <c r="F37" s="222"/>
      <c r="G37" s="212" t="s">
        <v>69</v>
      </c>
      <c r="H37" s="262"/>
      <c r="I37" s="263">
        <f>G28</f>
        <v>1727</v>
      </c>
      <c r="J37" s="233" t="s">
        <v>115</v>
      </c>
      <c r="K37" s="212"/>
      <c r="L37" s="213">
        <f>VLOOKUP(E37,alpha,5,FALSE)*I37</f>
        <v>518.1</v>
      </c>
      <c r="M37" s="213">
        <f>VLOOKUP($E$37,alpha,6,FALSE)*I37</f>
        <v>172.70000000000002</v>
      </c>
      <c r="N37" s="213">
        <f>VLOOKUP($E$37,alpha,7,FALSE)*I37</f>
        <v>86.350000000000009</v>
      </c>
      <c r="O37" s="213">
        <f>VLOOKUP($E$37,$V$22:$AE$45,8,FALSE)*I37</f>
        <v>69.08</v>
      </c>
      <c r="P37" s="213">
        <f>VLOOKUP($E$37,$V$22:$AE$45,9,FALSE)*I37</f>
        <v>120.89000000000001</v>
      </c>
      <c r="Q37" s="213">
        <f>VLOOKUP($E$37,$V$22:$AE$45,10,FALSE)*I37</f>
        <v>172.70000000000002</v>
      </c>
      <c r="R37" s="212"/>
      <c r="S37" s="216"/>
      <c r="T37" s="216"/>
      <c r="V37" s="170" t="s">
        <v>96</v>
      </c>
      <c r="W37" s="171"/>
      <c r="X37" s="171"/>
      <c r="Y37" s="171"/>
      <c r="Z37" s="177">
        <v>0.01</v>
      </c>
      <c r="AA37" s="177">
        <v>0.1</v>
      </c>
      <c r="AB37" s="177">
        <v>0.47</v>
      </c>
      <c r="AC37" s="177">
        <v>0.53</v>
      </c>
      <c r="AD37" s="177">
        <v>0.64</v>
      </c>
      <c r="AE37" s="178">
        <v>0.74</v>
      </c>
      <c r="AF37" s="179" t="s">
        <v>87</v>
      </c>
      <c r="AJ37" s="174"/>
    </row>
    <row r="38" spans="4:36" s="179" customFormat="1" ht="28.5" hidden="1" customHeight="1" x14ac:dyDescent="1.25">
      <c r="D38" s="158"/>
      <c r="E38" s="261" t="s">
        <v>45</v>
      </c>
      <c r="F38" s="222"/>
      <c r="G38" s="212" t="s">
        <v>70</v>
      </c>
      <c r="H38" s="262"/>
      <c r="I38" s="264">
        <f>SUM(G26,G27,G30,G31)</f>
        <v>1728</v>
      </c>
      <c r="J38" s="233" t="s">
        <v>115</v>
      </c>
      <c r="K38" s="212"/>
      <c r="L38" s="213">
        <f>VLOOKUP($E$38,$V$22:$AE$45,5,FALSE)*I38</f>
        <v>518.4</v>
      </c>
      <c r="M38" s="213">
        <f>VLOOKUP($E$38,$V$22:$AE$45,6,FALSE)*I38</f>
        <v>172.8</v>
      </c>
      <c r="N38" s="213">
        <f>VLOOKUP($E$38,$V$22:$AE$45,7,FALSE)*I38</f>
        <v>86.4</v>
      </c>
      <c r="O38" s="213">
        <f>VLOOKUP($E$38,$V$22:$AE$45,8,FALSE)*I38</f>
        <v>69.12</v>
      </c>
      <c r="P38" s="213">
        <f>VLOOKUP($E$38,$V$22:$AE$45,9,FALSE)*I38</f>
        <v>120.96000000000001</v>
      </c>
      <c r="Q38" s="213">
        <f>VLOOKUP($E$38,$V$22:$AE$45,10,FALSE)*I38</f>
        <v>172.8</v>
      </c>
      <c r="R38" s="212"/>
      <c r="S38" s="216"/>
      <c r="T38" s="216"/>
      <c r="V38" s="170" t="s">
        <v>66</v>
      </c>
      <c r="W38" s="171"/>
      <c r="X38" s="171"/>
      <c r="Y38" s="171"/>
      <c r="Z38" s="177">
        <v>0.1</v>
      </c>
      <c r="AA38" s="177">
        <v>0.3</v>
      </c>
      <c r="AB38" s="177">
        <v>0.37</v>
      </c>
      <c r="AC38" s="177">
        <v>0.4</v>
      </c>
      <c r="AD38" s="177">
        <v>0.4</v>
      </c>
      <c r="AE38" s="178">
        <v>0.4</v>
      </c>
      <c r="AF38" s="179" t="s">
        <v>88</v>
      </c>
      <c r="AJ38" s="174"/>
    </row>
    <row r="39" spans="4:36" s="179" customFormat="1" ht="28.5" hidden="1" customHeight="1" x14ac:dyDescent="1.25">
      <c r="D39" s="158"/>
      <c r="E39" s="261" t="s">
        <v>44</v>
      </c>
      <c r="F39" s="222"/>
      <c r="G39" s="212" t="s">
        <v>55</v>
      </c>
      <c r="H39" s="262"/>
      <c r="I39" s="264">
        <f>G29-I40</f>
        <v>1287</v>
      </c>
      <c r="J39" s="233" t="s">
        <v>115</v>
      </c>
      <c r="K39" s="212"/>
      <c r="L39" s="213">
        <f>VLOOKUP($E$39,$V$22:$AE$45,5,FALSE)*$I$39</f>
        <v>25.740000000000002</v>
      </c>
      <c r="M39" s="213">
        <f>VLOOKUP($E$39,$V$22:$AE$45,6,FALSE)*$I$39</f>
        <v>38.61</v>
      </c>
      <c r="N39" s="213">
        <f>VLOOKUP($E$39,$V$22:$AE$45,7,FALSE)*$I$39</f>
        <v>38.61</v>
      </c>
      <c r="O39" s="213">
        <f>VLOOKUP($E$39,$V$22:$AE$45,8,FALSE)*$I$39</f>
        <v>38.61</v>
      </c>
      <c r="P39" s="213">
        <f>VLOOKUP($E$39,$V$22:$AE$45,9,FALSE)*$I$39</f>
        <v>38.61</v>
      </c>
      <c r="Q39" s="213">
        <f>VLOOKUP($E$39,$V$22:$AE$45,10,FALSE)*$I$39</f>
        <v>25.740000000000002</v>
      </c>
      <c r="R39" s="212"/>
      <c r="S39" s="216"/>
      <c r="T39" s="216"/>
      <c r="V39" s="170" t="s">
        <v>68</v>
      </c>
      <c r="W39" s="171"/>
      <c r="X39" s="171"/>
      <c r="Y39" s="171"/>
      <c r="Z39" s="177">
        <v>0</v>
      </c>
      <c r="AA39" s="177">
        <v>0.08</v>
      </c>
      <c r="AB39" s="177">
        <v>0.21</v>
      </c>
      <c r="AC39" s="177">
        <v>0.46</v>
      </c>
      <c r="AD39" s="177">
        <v>0.69</v>
      </c>
      <c r="AE39" s="178">
        <v>0.79</v>
      </c>
      <c r="AF39" s="179" t="s">
        <v>89</v>
      </c>
      <c r="AJ39" s="174"/>
    </row>
    <row r="40" spans="4:36" s="179" customFormat="1" ht="28.5" hidden="1" customHeight="1" x14ac:dyDescent="1.25">
      <c r="D40" s="158"/>
      <c r="E40" s="261" t="s">
        <v>66</v>
      </c>
      <c r="F40" s="222"/>
      <c r="G40" s="212"/>
      <c r="H40" s="262"/>
      <c r="I40" s="263">
        <v>440</v>
      </c>
      <c r="J40" s="233" t="s">
        <v>115</v>
      </c>
      <c r="K40" s="212"/>
      <c r="L40" s="213">
        <f>VLOOKUP($E$40,$V$22:$AE$45,5,FALSE)*$I$40</f>
        <v>44</v>
      </c>
      <c r="M40" s="213">
        <f>VLOOKUP($E$40,$V$22:$AE$45,6,FALSE)*$I$40</f>
        <v>132</v>
      </c>
      <c r="N40" s="213">
        <f>VLOOKUP($E$40,$V$22:$AE$45,7,FALSE)*$I$40</f>
        <v>162.80000000000001</v>
      </c>
      <c r="O40" s="213">
        <f>VLOOKUP($E$40,$V$22:$AE$45,8,FALSE)*$I$40</f>
        <v>176</v>
      </c>
      <c r="P40" s="213">
        <f>VLOOKUP($E$40,$V$22:$AE$45,9,FALSE)*$I$40</f>
        <v>176</v>
      </c>
      <c r="Q40" s="213">
        <f>VLOOKUP($E$40,$V$22:$AE$45,10,FALSE)*$I$40</f>
        <v>176</v>
      </c>
      <c r="R40" s="212"/>
      <c r="S40" s="216"/>
      <c r="T40" s="216"/>
      <c r="V40" s="170" t="s">
        <v>95</v>
      </c>
      <c r="W40" s="171"/>
      <c r="X40" s="171"/>
      <c r="Y40" s="171"/>
      <c r="Z40" s="177">
        <v>0.2</v>
      </c>
      <c r="AA40" s="177">
        <v>0.68</v>
      </c>
      <c r="AB40" s="177">
        <v>0.87</v>
      </c>
      <c r="AC40" s="177">
        <v>1</v>
      </c>
      <c r="AD40" s="177">
        <v>1</v>
      </c>
      <c r="AE40" s="178">
        <v>0.95</v>
      </c>
      <c r="AF40" s="179" t="s">
        <v>90</v>
      </c>
      <c r="AJ40" s="174"/>
    </row>
    <row r="41" spans="4:36" s="179" customFormat="1" ht="28.5" hidden="1" customHeight="1" x14ac:dyDescent="1.25">
      <c r="D41" s="158"/>
      <c r="E41" s="261" t="s">
        <v>44</v>
      </c>
      <c r="F41" s="222"/>
      <c r="G41" s="212"/>
      <c r="H41" s="262"/>
      <c r="I41" s="264">
        <v>0</v>
      </c>
      <c r="J41" s="233" t="s">
        <v>115</v>
      </c>
      <c r="K41" s="212"/>
      <c r="L41" s="213">
        <f>VLOOKUP($E$41,$V$22:$AE$45,5,FALSE)*$I$41</f>
        <v>0</v>
      </c>
      <c r="M41" s="213">
        <f>VLOOKUP($E$41,$V$22:$AE$45,6,FALSE)*$I$41</f>
        <v>0</v>
      </c>
      <c r="N41" s="213">
        <f>VLOOKUP($E$41,$V$22:$AE$45,7,FALSE)*$I$41</f>
        <v>0</v>
      </c>
      <c r="O41" s="213">
        <f t="shared" ref="O41:O46" si="0">VLOOKUP(E41,$V$22:$AE$45,8,FALSE)*I41</f>
        <v>0</v>
      </c>
      <c r="P41" s="213">
        <f t="shared" ref="P41:P46" si="1">VLOOKUP(E41,$V$22:$AE$45,9,FALSE)*I41</f>
        <v>0</v>
      </c>
      <c r="Q41" s="213">
        <f t="shared" ref="Q41:Q46" si="2">VLOOKUP(E41,$V$22:$AE$45,10,FALSE)*I41</f>
        <v>0</v>
      </c>
      <c r="R41" s="212"/>
      <c r="S41" s="216"/>
      <c r="T41" s="216"/>
      <c r="V41" s="170" t="s">
        <v>71</v>
      </c>
      <c r="W41" s="171"/>
      <c r="X41" s="171"/>
      <c r="Y41" s="171"/>
      <c r="Z41" s="177">
        <v>0</v>
      </c>
      <c r="AA41" s="177">
        <v>0.12</v>
      </c>
      <c r="AB41" s="177">
        <v>0.27</v>
      </c>
      <c r="AC41" s="177">
        <v>0.6</v>
      </c>
      <c r="AD41" s="177">
        <v>0.81</v>
      </c>
      <c r="AE41" s="178">
        <v>0.93</v>
      </c>
      <c r="AF41" s="179" t="s">
        <v>91</v>
      </c>
      <c r="AJ41" s="174"/>
    </row>
    <row r="42" spans="4:36" s="179" customFormat="1" ht="28.5" hidden="1" customHeight="1" x14ac:dyDescent="1.25">
      <c r="D42" s="158"/>
      <c r="E42" s="261" t="s">
        <v>44</v>
      </c>
      <c r="F42" s="222"/>
      <c r="G42" s="212"/>
      <c r="H42" s="262"/>
      <c r="I42" s="264">
        <v>0</v>
      </c>
      <c r="J42" s="233" t="s">
        <v>115</v>
      </c>
      <c r="K42" s="212"/>
      <c r="L42" s="213">
        <f>VLOOKUP($E$42,$V$22:$AE$45,5,FALSE)*$I$42</f>
        <v>0</v>
      </c>
      <c r="M42" s="213">
        <f>VLOOKUP($E$42,$V$22:$AE$45,6,FALSE)*$I$42</f>
        <v>0</v>
      </c>
      <c r="N42" s="213">
        <f>VLOOKUP($E$42,$V$22:$AE$45,7,FALSE)*$I$42</f>
        <v>0</v>
      </c>
      <c r="O42" s="213">
        <f t="shared" si="0"/>
        <v>0</v>
      </c>
      <c r="P42" s="213">
        <f t="shared" si="1"/>
        <v>0</v>
      </c>
      <c r="Q42" s="213">
        <f t="shared" si="2"/>
        <v>0</v>
      </c>
      <c r="R42" s="212"/>
      <c r="S42" s="216"/>
      <c r="T42" s="216"/>
      <c r="V42" s="181" t="s">
        <v>44</v>
      </c>
      <c r="W42" s="182"/>
      <c r="X42" s="182"/>
      <c r="Y42" s="182"/>
      <c r="Z42" s="183">
        <v>0.02</v>
      </c>
      <c r="AA42" s="183">
        <v>0.03</v>
      </c>
      <c r="AB42" s="183">
        <v>0.03</v>
      </c>
      <c r="AC42" s="183">
        <v>0.03</v>
      </c>
      <c r="AD42" s="183">
        <v>0.03</v>
      </c>
      <c r="AE42" s="184">
        <v>0.02</v>
      </c>
    </row>
    <row r="43" spans="4:36" s="179" customFormat="1" ht="28.5" hidden="1" customHeight="1" thickBot="1" x14ac:dyDescent="1.3">
      <c r="D43" s="158"/>
      <c r="E43" s="261" t="s">
        <v>46</v>
      </c>
      <c r="F43" s="222"/>
      <c r="G43" s="212"/>
      <c r="H43" s="262"/>
      <c r="I43" s="264">
        <v>0</v>
      </c>
      <c r="J43" s="233" t="s">
        <v>115</v>
      </c>
      <c r="K43" s="212"/>
      <c r="L43" s="213">
        <f>VLOOKUP($E$43,$V$22:$AE$45,5,FALSE)*$I$43</f>
        <v>0</v>
      </c>
      <c r="M43" s="213">
        <f>VLOOKUP($E$43,$V$22:$AE$45,6,FALSE)*$I$43</f>
        <v>0</v>
      </c>
      <c r="N43" s="213">
        <f>VLOOKUP($E$43,$V$22:$AE$45,7,FALSE)*$I$43</f>
        <v>0</v>
      </c>
      <c r="O43" s="213">
        <f t="shared" si="0"/>
        <v>0</v>
      </c>
      <c r="P43" s="213">
        <f t="shared" si="1"/>
        <v>0</v>
      </c>
      <c r="Q43" s="213">
        <f t="shared" si="2"/>
        <v>0</v>
      </c>
      <c r="R43" s="212"/>
      <c r="S43" s="216"/>
      <c r="T43" s="216"/>
      <c r="V43" s="185" t="s">
        <v>53</v>
      </c>
      <c r="W43" s="186"/>
      <c r="X43" s="186"/>
      <c r="Y43" s="186"/>
      <c r="Z43" s="187">
        <v>7.0000000000000007E-2</v>
      </c>
      <c r="AA43" s="187">
        <v>0.34</v>
      </c>
      <c r="AB43" s="187">
        <v>0.66</v>
      </c>
      <c r="AC43" s="187">
        <v>0.9</v>
      </c>
      <c r="AD43" s="187">
        <v>0.86</v>
      </c>
      <c r="AE43" s="188">
        <v>0.74</v>
      </c>
    </row>
    <row r="44" spans="4:36" s="179" customFormat="1" ht="28.5" hidden="1" customHeight="1" x14ac:dyDescent="1.25">
      <c r="D44" s="158"/>
      <c r="E44" s="261" t="s">
        <v>16</v>
      </c>
      <c r="F44" s="222"/>
      <c r="G44" s="212"/>
      <c r="H44" s="262"/>
      <c r="I44" s="264">
        <v>0</v>
      </c>
      <c r="J44" s="233" t="s">
        <v>115</v>
      </c>
      <c r="K44" s="212"/>
      <c r="L44" s="213">
        <f>VLOOKUP($E$44,$V$22:$AE$45,5,FALSE)*$I$44</f>
        <v>0</v>
      </c>
      <c r="M44" s="213">
        <f>VLOOKUP($E$44,$V$22:$AE$45,6,FALSE)*$I$44</f>
        <v>0</v>
      </c>
      <c r="N44" s="213">
        <f>VLOOKUP($E$44,$V$22:$AE$45,7,FALSE)*$I$44</f>
        <v>0</v>
      </c>
      <c r="O44" s="213">
        <f t="shared" si="0"/>
        <v>0</v>
      </c>
      <c r="P44" s="213">
        <f t="shared" si="1"/>
        <v>0</v>
      </c>
      <c r="Q44" s="213">
        <f t="shared" si="2"/>
        <v>0</v>
      </c>
      <c r="R44" s="212"/>
      <c r="S44" s="216"/>
      <c r="T44" s="216"/>
      <c r="V44" s="181"/>
      <c r="W44" s="182"/>
      <c r="X44" s="182"/>
      <c r="Y44" s="182"/>
      <c r="Z44" s="183"/>
      <c r="AA44" s="183"/>
      <c r="AB44" s="183"/>
      <c r="AC44" s="183"/>
      <c r="AD44" s="183"/>
      <c r="AE44" s="184"/>
    </row>
    <row r="45" spans="4:36" s="179" customFormat="1" ht="28.5" hidden="1" customHeight="1" thickBot="1" x14ac:dyDescent="1.3">
      <c r="D45" s="158"/>
      <c r="E45" s="261" t="s">
        <v>16</v>
      </c>
      <c r="F45" s="222"/>
      <c r="G45" s="212"/>
      <c r="H45" s="262"/>
      <c r="I45" s="264">
        <v>0</v>
      </c>
      <c r="J45" s="233" t="s">
        <v>115</v>
      </c>
      <c r="K45" s="212"/>
      <c r="L45" s="213">
        <f>VLOOKUP($E$45,$V$22:$AE$45,5,FALSE)*$I$45</f>
        <v>0</v>
      </c>
      <c r="M45" s="213">
        <f>VLOOKUP($E$45,$V$22:$AE$45,6,FALSE)*$I$45</f>
        <v>0</v>
      </c>
      <c r="N45" s="213">
        <f>VLOOKUP($E$45,$V$22:$AE$45,7,FALSE)*$I$45</f>
        <v>0</v>
      </c>
      <c r="O45" s="213">
        <f t="shared" si="0"/>
        <v>0</v>
      </c>
      <c r="P45" s="213">
        <f t="shared" si="1"/>
        <v>0</v>
      </c>
      <c r="Q45" s="213">
        <f t="shared" si="2"/>
        <v>0</v>
      </c>
      <c r="R45" s="212"/>
      <c r="S45" s="216"/>
      <c r="T45" s="216"/>
      <c r="V45" s="185"/>
      <c r="W45" s="186"/>
      <c r="X45" s="186"/>
      <c r="Y45" s="186"/>
      <c r="Z45" s="187"/>
      <c r="AA45" s="187"/>
      <c r="AB45" s="187"/>
      <c r="AC45" s="187"/>
      <c r="AD45" s="187"/>
      <c r="AE45" s="188"/>
    </row>
    <row r="46" spans="4:36" s="179" customFormat="1" ht="28.5" hidden="1" customHeight="1" x14ac:dyDescent="1.25">
      <c r="D46" s="158"/>
      <c r="E46" s="261" t="s">
        <v>16</v>
      </c>
      <c r="F46" s="222"/>
      <c r="G46" s="212"/>
      <c r="H46" s="262"/>
      <c r="I46" s="264">
        <v>0</v>
      </c>
      <c r="J46" s="233" t="s">
        <v>115</v>
      </c>
      <c r="K46" s="212"/>
      <c r="L46" s="213">
        <f>VLOOKUP($E$46,$V$22:$AE$45,5,FALSE)*$I$46</f>
        <v>0</v>
      </c>
      <c r="M46" s="213">
        <f>VLOOKUP($E$46,$V$22:$AE$45,6,FALSE)*$I$46</f>
        <v>0</v>
      </c>
      <c r="N46" s="213">
        <f>VLOOKUP($E$46,$V$22:$AE$45,7,FALSE)*$I$46</f>
        <v>0</v>
      </c>
      <c r="O46" s="213">
        <f t="shared" si="0"/>
        <v>0</v>
      </c>
      <c r="P46" s="213">
        <f t="shared" si="1"/>
        <v>0</v>
      </c>
      <c r="Q46" s="213">
        <f t="shared" si="2"/>
        <v>0</v>
      </c>
      <c r="R46" s="212"/>
      <c r="S46" s="216"/>
      <c r="T46" s="216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</row>
    <row r="47" spans="4:36" s="179" customFormat="1" ht="28.5" hidden="1" customHeight="1" thickBot="1" x14ac:dyDescent="1.3">
      <c r="D47" s="158"/>
      <c r="E47" s="265"/>
      <c r="F47" s="218"/>
      <c r="G47" s="218"/>
      <c r="H47" s="218"/>
      <c r="I47" s="241">
        <v>0</v>
      </c>
      <c r="J47" s="234"/>
      <c r="K47" s="212"/>
      <c r="L47" s="219"/>
      <c r="M47" s="219"/>
      <c r="N47" s="219"/>
      <c r="O47" s="219"/>
      <c r="P47" s="219"/>
      <c r="Q47" s="219"/>
      <c r="R47" s="218"/>
      <c r="S47" s="220"/>
      <c r="T47" s="216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</row>
    <row r="48" spans="4:36" s="179" customFormat="1" ht="28.5" hidden="1" customHeight="1" thickBot="1" x14ac:dyDescent="1.3">
      <c r="D48" s="158"/>
      <c r="E48" s="217" t="s">
        <v>47</v>
      </c>
      <c r="F48" s="232"/>
      <c r="G48" s="232"/>
      <c r="H48" s="232"/>
      <c r="I48" s="266">
        <f>SUM(I37:I47)</f>
        <v>5182</v>
      </c>
      <c r="J48" s="234" t="s">
        <v>115</v>
      </c>
      <c r="K48" s="231"/>
      <c r="L48" s="267"/>
      <c r="M48" s="267"/>
      <c r="N48" s="267"/>
      <c r="O48" s="267"/>
      <c r="P48" s="267"/>
      <c r="Q48" s="267"/>
      <c r="R48" s="232"/>
      <c r="S48" s="268"/>
      <c r="T48" s="216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</row>
    <row r="49" spans="4:39" s="179" customFormat="1" ht="28.5" hidden="1" customHeight="1" x14ac:dyDescent="1.25">
      <c r="D49" s="158"/>
      <c r="E49" s="333" t="s">
        <v>33</v>
      </c>
      <c r="F49" s="320"/>
      <c r="G49" s="320"/>
      <c r="H49" s="320"/>
      <c r="I49" s="320"/>
      <c r="J49" s="334"/>
      <c r="K49" s="337"/>
      <c r="L49" s="299">
        <f>SUM(L37:L46)</f>
        <v>1106.24</v>
      </c>
      <c r="M49" s="299">
        <f>SUM(M37:M46)</f>
        <v>516.11</v>
      </c>
      <c r="N49" s="299">
        <f>SUM(N37:N46)</f>
        <v>374.16</v>
      </c>
      <c r="O49" s="299">
        <f>SUM(O37:O47)</f>
        <v>352.81</v>
      </c>
      <c r="P49" s="299">
        <f>SUM(P37:P47)</f>
        <v>456.46000000000004</v>
      </c>
      <c r="Q49" s="299">
        <f>SUM(Q37:Q47)</f>
        <v>547.24</v>
      </c>
      <c r="R49" s="212"/>
      <c r="S49" s="212"/>
      <c r="T49" s="216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</row>
    <row r="50" spans="4:39" s="179" customFormat="1" ht="28.5" hidden="1" customHeight="1" thickBot="1" x14ac:dyDescent="1.3">
      <c r="D50" s="158"/>
      <c r="E50" s="335"/>
      <c r="F50" s="322"/>
      <c r="G50" s="322"/>
      <c r="H50" s="322"/>
      <c r="I50" s="322"/>
      <c r="J50" s="336"/>
      <c r="K50" s="338"/>
      <c r="L50" s="300"/>
      <c r="M50" s="300"/>
      <c r="N50" s="300"/>
      <c r="O50" s="300"/>
      <c r="P50" s="300"/>
      <c r="Q50" s="300"/>
      <c r="R50" s="212"/>
      <c r="S50" s="212"/>
      <c r="T50" s="216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</row>
    <row r="51" spans="4:39" s="179" customFormat="1" ht="28.5" hidden="1" customHeight="1" x14ac:dyDescent="1.25">
      <c r="D51" s="158"/>
      <c r="E51" s="254" t="s">
        <v>52</v>
      </c>
      <c r="F51" s="255"/>
      <c r="G51" s="255"/>
      <c r="H51" s="256"/>
      <c r="I51" s="257">
        <f>J26</f>
        <v>5182</v>
      </c>
      <c r="J51" s="258" t="s">
        <v>115</v>
      </c>
      <c r="K51" s="236"/>
      <c r="L51" s="259"/>
      <c r="M51" s="259"/>
      <c r="N51" s="259"/>
      <c r="O51" s="259"/>
      <c r="P51" s="259"/>
      <c r="Q51" s="259"/>
      <c r="R51" s="236"/>
      <c r="S51" s="253"/>
      <c r="T51" s="216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</row>
    <row r="52" spans="4:39" s="179" customFormat="1" ht="28.5" hidden="1" customHeight="1" x14ac:dyDescent="1.25">
      <c r="D52" s="158"/>
      <c r="E52" s="260"/>
      <c r="F52" s="222"/>
      <c r="G52" s="222"/>
      <c r="H52" s="222"/>
      <c r="I52" s="239"/>
      <c r="J52" s="233"/>
      <c r="K52" s="212"/>
      <c r="L52" s="213"/>
      <c r="M52" s="213"/>
      <c r="N52" s="213"/>
      <c r="O52" s="213"/>
      <c r="P52" s="213"/>
      <c r="Q52" s="213"/>
      <c r="R52" s="212"/>
      <c r="S52" s="216"/>
      <c r="T52" s="216"/>
      <c r="V52" s="152"/>
      <c r="W52" s="152"/>
      <c r="X52" s="152"/>
      <c r="Y52" s="152"/>
      <c r="Z52" s="152"/>
      <c r="AA52" s="152"/>
      <c r="AB52" s="152"/>
      <c r="AC52" s="152"/>
      <c r="AD52" s="152"/>
      <c r="AE52" s="152"/>
    </row>
    <row r="53" spans="4:39" s="179" customFormat="1" ht="28.5" hidden="1" customHeight="1" x14ac:dyDescent="1.25">
      <c r="D53" s="158"/>
      <c r="E53" s="261" t="s">
        <v>45</v>
      </c>
      <c r="F53" s="222"/>
      <c r="G53" s="222" t="s">
        <v>75</v>
      </c>
      <c r="H53" s="262"/>
      <c r="I53" s="269">
        <f>G28-ar_2</f>
        <v>0</v>
      </c>
      <c r="J53" s="233" t="s">
        <v>115</v>
      </c>
      <c r="K53" s="212"/>
      <c r="L53" s="213">
        <f>VLOOKUP(mat_1,alpha1,5,FALSE)*ar_1</f>
        <v>0</v>
      </c>
      <c r="M53" s="213">
        <f>VLOOKUP(mat_1,alpha1,6,FALSE)*I53</f>
        <v>0</v>
      </c>
      <c r="N53" s="213">
        <f>VLOOKUP(mat_1,alpha1,7,FALSE)*I53</f>
        <v>0</v>
      </c>
      <c r="O53" s="213">
        <f>VLOOKUP(E53,alpha1,8,FALSE)*I53</f>
        <v>0</v>
      </c>
      <c r="P53" s="213">
        <f>VLOOKUP(E53,alpha1,9,FALSE)*I53</f>
        <v>0</v>
      </c>
      <c r="Q53" s="213">
        <f>VLOOKUP(E53,alpha1,10,FALSE)*I53</f>
        <v>0</v>
      </c>
      <c r="R53" s="212"/>
      <c r="S53" s="216"/>
      <c r="T53" s="216"/>
      <c r="V53" s="152"/>
      <c r="W53" s="152"/>
      <c r="X53" s="152"/>
      <c r="Y53" s="189"/>
      <c r="Z53" s="190"/>
      <c r="AA53" s="190"/>
      <c r="AB53" s="190"/>
      <c r="AC53" s="152"/>
      <c r="AD53" s="152"/>
      <c r="AE53" s="152"/>
    </row>
    <row r="54" spans="4:39" s="179" customFormat="1" ht="28.5" hidden="1" customHeight="1" x14ac:dyDescent="1.25">
      <c r="D54" s="158"/>
      <c r="E54" s="261" t="s">
        <v>96</v>
      </c>
      <c r="F54" s="222"/>
      <c r="G54" s="222" t="s">
        <v>74</v>
      </c>
      <c r="H54" s="262"/>
      <c r="I54" s="264">
        <v>1727</v>
      </c>
      <c r="J54" s="233" t="s">
        <v>115</v>
      </c>
      <c r="K54" s="212"/>
      <c r="L54" s="213">
        <f>VLOOKUP(mat_2,alpha,5,FALSE)*ar_2</f>
        <v>17.27</v>
      </c>
      <c r="M54" s="213">
        <f>VLOOKUP(E54,alpha1,6,FALSE)*I54</f>
        <v>172.70000000000002</v>
      </c>
      <c r="N54" s="213">
        <f>VLOOKUP(E54,alpha1,7,FALSE)*I54</f>
        <v>811.68999999999994</v>
      </c>
      <c r="O54" s="213">
        <f>VLOOKUP(E54,alpha1,8,FALSE)*I54</f>
        <v>915.31000000000006</v>
      </c>
      <c r="P54" s="213">
        <f>VLOOKUP(E54,alpha1,9,FALSE)*I54</f>
        <v>1105.28</v>
      </c>
      <c r="Q54" s="213">
        <f>VLOOKUP(E54,alpha1,10,FALSE)*I54</f>
        <v>1277.98</v>
      </c>
      <c r="R54" s="212"/>
      <c r="S54" s="216"/>
      <c r="T54" s="216"/>
      <c r="V54" s="152"/>
      <c r="W54" s="152"/>
      <c r="X54" s="152"/>
      <c r="Y54" s="152"/>
      <c r="Z54" s="190"/>
      <c r="AA54" s="190"/>
      <c r="AB54" s="190"/>
      <c r="AC54" s="152"/>
      <c r="AD54" s="152"/>
      <c r="AE54" s="152"/>
    </row>
    <row r="55" spans="4:39" s="179" customFormat="1" ht="28.5" hidden="1" customHeight="1" x14ac:dyDescent="1.25">
      <c r="D55" s="158"/>
      <c r="E55" s="261" t="s">
        <v>45</v>
      </c>
      <c r="F55" s="222"/>
      <c r="G55" s="222" t="s">
        <v>82</v>
      </c>
      <c r="H55" s="262"/>
      <c r="I55" s="269">
        <f>G26-ar_11</f>
        <v>314</v>
      </c>
      <c r="J55" s="233" t="s">
        <v>115</v>
      </c>
      <c r="K55" s="212"/>
      <c r="L55" s="213">
        <f>VLOOKUP(mat_3,alpha1,5,FALSE)*ar_3</f>
        <v>94.2</v>
      </c>
      <c r="M55" s="213">
        <f>VLOOKUP(mat_3,alpha1,6,FALSE)*ar_3</f>
        <v>31.400000000000002</v>
      </c>
      <c r="N55" s="213">
        <f>VLOOKUP(mat_3,alpha1,7,FALSE)*ar_3</f>
        <v>15.700000000000001</v>
      </c>
      <c r="O55" s="213">
        <f>VLOOKUP(mat_3,alpha1,8,FALSE)*ar_3</f>
        <v>12.56</v>
      </c>
      <c r="P55" s="213">
        <f>VLOOKUP(mat_3,alpha1,9,FALSE)*ar_3</f>
        <v>21.98</v>
      </c>
      <c r="Q55" s="213">
        <f>VLOOKUP(mat_3,alpha1,10,FALSE)*ar_3</f>
        <v>31.400000000000002</v>
      </c>
      <c r="R55" s="212"/>
      <c r="S55" s="216"/>
      <c r="T55" s="216"/>
      <c r="V55" s="152"/>
      <c r="W55" s="152"/>
      <c r="X55" s="152"/>
      <c r="Y55" s="152"/>
      <c r="Z55" s="190"/>
      <c r="AA55" s="190"/>
      <c r="AB55" s="190"/>
      <c r="AC55" s="152"/>
      <c r="AD55" s="152"/>
      <c r="AE55" s="152"/>
    </row>
    <row r="56" spans="4:39" s="179" customFormat="1" ht="28.5" hidden="1" customHeight="1" x14ac:dyDescent="1.25">
      <c r="D56" s="158"/>
      <c r="E56" s="261" t="s">
        <v>95</v>
      </c>
      <c r="F56" s="222"/>
      <c r="G56" s="222" t="s">
        <v>83</v>
      </c>
      <c r="H56" s="262"/>
      <c r="I56" s="264">
        <v>0</v>
      </c>
      <c r="J56" s="233" t="s">
        <v>115</v>
      </c>
      <c r="K56" s="212"/>
      <c r="L56" s="213">
        <f>VLOOKUP(mat_11,alpha1,5,FALSE)*ar_11</f>
        <v>0</v>
      </c>
      <c r="M56" s="213">
        <f>VLOOKUP(mat_11,alpha1,6,FALSE)*ar_11</f>
        <v>0</v>
      </c>
      <c r="N56" s="213">
        <f>VLOOKUP(mat_11,alpha1,7,FALSE)*ar_11</f>
        <v>0</v>
      </c>
      <c r="O56" s="213">
        <f>VLOOKUP(mat_11,alpha1,8,FALSE)*ar_11</f>
        <v>0</v>
      </c>
      <c r="P56" s="213">
        <f>VLOOKUP(mat_11,alpha1,9,FALSE)*ar_11</f>
        <v>0</v>
      </c>
      <c r="Q56" s="213">
        <f>VLOOKUP(mat_11,alpha1,10,FALSE)*ar_11</f>
        <v>0</v>
      </c>
      <c r="R56" s="212"/>
      <c r="S56" s="216"/>
      <c r="T56" s="216"/>
      <c r="V56" s="152"/>
      <c r="W56" s="152"/>
      <c r="X56" s="152"/>
      <c r="Y56" s="152"/>
      <c r="Z56" s="190"/>
      <c r="AA56" s="190"/>
      <c r="AB56" s="190"/>
      <c r="AC56" s="152"/>
      <c r="AD56" s="152"/>
      <c r="AE56" s="152"/>
    </row>
    <row r="57" spans="4:39" s="179" customFormat="1" ht="28.5" hidden="1" customHeight="1" x14ac:dyDescent="1.25">
      <c r="D57" s="158"/>
      <c r="E57" s="261" t="s">
        <v>5</v>
      </c>
      <c r="F57" s="222"/>
      <c r="G57" s="222" t="s">
        <v>76</v>
      </c>
      <c r="H57" s="262"/>
      <c r="I57" s="269">
        <f>G27-ar_5</f>
        <v>100</v>
      </c>
      <c r="J57" s="233" t="s">
        <v>115</v>
      </c>
      <c r="K57" s="212"/>
      <c r="L57" s="213">
        <f>VLOOKUP(mat_4,alpha1,5,FALSE)*ar_4</f>
        <v>3</v>
      </c>
      <c r="M57" s="213">
        <f>VLOOKUP(mat_4,alpha1,6,FALSE)*ar_4</f>
        <v>3</v>
      </c>
      <c r="N57" s="213">
        <f>VLOOKUP(mat_4,alpha1,7,FALSE)*ar_4</f>
        <v>3</v>
      </c>
      <c r="O57" s="213">
        <f>VLOOKUP(mat_4,alpha1,8,FALSE)*ar_4</f>
        <v>4</v>
      </c>
      <c r="P57" s="213">
        <f>VLOOKUP(mat_4,alpha1,9,FALSE)*ar_4</f>
        <v>5</v>
      </c>
      <c r="Q57" s="213">
        <f>VLOOKUP(mat_4,alpha1,10,FALSE)*ar_4</f>
        <v>7.0000000000000009</v>
      </c>
      <c r="R57" s="212"/>
      <c r="S57" s="216"/>
      <c r="T57" s="216"/>
      <c r="V57" s="152"/>
      <c r="W57" s="152"/>
      <c r="X57" s="152"/>
      <c r="Y57" s="152"/>
      <c r="Z57" s="190"/>
      <c r="AA57" s="190"/>
      <c r="AB57" s="190"/>
      <c r="AC57" s="152"/>
      <c r="AD57" s="152"/>
      <c r="AE57" s="152"/>
    </row>
    <row r="58" spans="4:39" s="179" customFormat="1" ht="28.5" hidden="1" customHeight="1" x14ac:dyDescent="1.25">
      <c r="D58" s="158"/>
      <c r="E58" s="261" t="s">
        <v>4</v>
      </c>
      <c r="F58" s="222"/>
      <c r="G58" s="222" t="s">
        <v>77</v>
      </c>
      <c r="H58" s="262"/>
      <c r="I58" s="264">
        <v>214</v>
      </c>
      <c r="J58" s="233" t="s">
        <v>115</v>
      </c>
      <c r="K58" s="212"/>
      <c r="L58" s="213">
        <f>VLOOKUP(mat_5,alpha1,5,FALSE)*ar_5</f>
        <v>10.700000000000001</v>
      </c>
      <c r="M58" s="213">
        <f>VLOOKUP(mat_5,alpha1,6,FALSE)*ar_5</f>
        <v>51.36</v>
      </c>
      <c r="N58" s="213">
        <f>VLOOKUP(mat_5,alpha1,7,FALSE)*ar_5</f>
        <v>145.52000000000001</v>
      </c>
      <c r="O58" s="213">
        <f>VLOOKUP(mat_5,alpha1,8,FALSE)*ar_5</f>
        <v>190.46</v>
      </c>
      <c r="P58" s="213">
        <f>VLOOKUP(mat_5,alpha1,9,FALSE)*ar_5</f>
        <v>177.62</v>
      </c>
      <c r="Q58" s="213">
        <f>VLOOKUP(mat_5,alpha1,10,FALSE)*ar_5</f>
        <v>164.78</v>
      </c>
      <c r="R58" s="212"/>
      <c r="S58" s="216"/>
      <c r="T58" s="216"/>
      <c r="V58" s="152"/>
      <c r="W58" s="152"/>
      <c r="X58" s="152"/>
      <c r="Y58" s="152"/>
      <c r="Z58" s="190"/>
      <c r="AA58" s="190"/>
      <c r="AB58" s="190"/>
      <c r="AC58" s="152"/>
      <c r="AD58" s="152"/>
      <c r="AE58" s="152"/>
    </row>
    <row r="59" spans="4:39" s="179" customFormat="1" ht="28.5" hidden="1" customHeight="1" x14ac:dyDescent="1.25">
      <c r="D59" s="158"/>
      <c r="E59" s="261" t="s">
        <v>45</v>
      </c>
      <c r="F59" s="222"/>
      <c r="G59" s="222" t="s">
        <v>78</v>
      </c>
      <c r="H59" s="262"/>
      <c r="I59" s="269">
        <f>SUM(G30,G31)-ar_7</f>
        <v>1000</v>
      </c>
      <c r="J59" s="233" t="s">
        <v>115</v>
      </c>
      <c r="K59" s="212"/>
      <c r="L59" s="213">
        <f>VLOOKUP(mat_6,alpha1,5,FALSE)*ar_6</f>
        <v>300</v>
      </c>
      <c r="M59" s="213">
        <f>VLOOKUP(mat_6,alpha1,6,FALSE)*ar_6</f>
        <v>100</v>
      </c>
      <c r="N59" s="213">
        <f>VLOOKUP(mat_6,alpha1,7,FALSE)*ar_6</f>
        <v>50</v>
      </c>
      <c r="O59" s="213">
        <f>VLOOKUP(mat_6,alpha1,8,FALSE)*ar_6</f>
        <v>40</v>
      </c>
      <c r="P59" s="213">
        <f>VLOOKUP(mat_6,alpha1,9,FALSE)*ar_6</f>
        <v>70</v>
      </c>
      <c r="Q59" s="213">
        <f>VLOOKUP(mat_6,alpha1,10,FALSE)*ar_6</f>
        <v>100</v>
      </c>
      <c r="R59" s="212"/>
      <c r="S59" s="216"/>
      <c r="T59" s="216"/>
      <c r="V59" s="152"/>
      <c r="W59" s="164"/>
      <c r="X59" s="164"/>
      <c r="Y59" s="164"/>
      <c r="Z59" s="153"/>
      <c r="AA59" s="190"/>
      <c r="AB59" s="190"/>
      <c r="AC59" s="152"/>
      <c r="AD59" s="152"/>
      <c r="AE59" s="152"/>
    </row>
    <row r="60" spans="4:39" s="179" customFormat="1" ht="28.5" hidden="1" customHeight="1" x14ac:dyDescent="1.25">
      <c r="D60" s="158"/>
      <c r="E60" s="261" t="s">
        <v>41</v>
      </c>
      <c r="F60" s="222"/>
      <c r="G60" s="222" t="s">
        <v>79</v>
      </c>
      <c r="H60" s="262"/>
      <c r="I60" s="264">
        <v>100</v>
      </c>
      <c r="J60" s="233" t="s">
        <v>115</v>
      </c>
      <c r="K60" s="212"/>
      <c r="L60" s="213">
        <f>VLOOKUP(mat_7,alpha1,5,FALSE)*ar_7</f>
        <v>7.0000000000000009</v>
      </c>
      <c r="M60" s="213">
        <f>VLOOKUP(mat_7,alpha1,6,FALSE)*ar_7</f>
        <v>30</v>
      </c>
      <c r="N60" s="213">
        <f>VLOOKUP(mat_7,alpha1,7,FALSE)*ar_7</f>
        <v>50</v>
      </c>
      <c r="O60" s="213">
        <f>VLOOKUP(mat_7,alpha1,8,FALSE)*ar_7</f>
        <v>70</v>
      </c>
      <c r="P60" s="213">
        <f>VLOOKUP(mat_7,alpha1,9,FALSE)*ar_7</f>
        <v>70</v>
      </c>
      <c r="Q60" s="213">
        <f>VLOOKUP(mat_7,alpha1,10,FALSE)*ar_7</f>
        <v>60</v>
      </c>
      <c r="R60" s="212"/>
      <c r="S60" s="216"/>
      <c r="T60" s="216"/>
      <c r="V60" s="152"/>
      <c r="W60" s="164"/>
      <c r="X60" s="164"/>
      <c r="Y60" s="164"/>
      <c r="Z60" s="191"/>
      <c r="AA60" s="190"/>
      <c r="AB60" s="190"/>
      <c r="AC60" s="152"/>
      <c r="AD60" s="152"/>
      <c r="AE60" s="152"/>
    </row>
    <row r="61" spans="4:39" s="179" customFormat="1" ht="28.5" hidden="1" customHeight="1" x14ac:dyDescent="1.25">
      <c r="D61" s="158"/>
      <c r="E61" s="261" t="s">
        <v>44</v>
      </c>
      <c r="F61" s="222"/>
      <c r="G61" s="222" t="s">
        <v>81</v>
      </c>
      <c r="H61" s="262"/>
      <c r="I61" s="239">
        <f>G29-ar_9</f>
        <v>1427</v>
      </c>
      <c r="J61" s="233" t="s">
        <v>115</v>
      </c>
      <c r="K61" s="212"/>
      <c r="L61" s="213">
        <f>VLOOKUP(mat_8,alpha1,5,FALSE)*ar_8</f>
        <v>28.54</v>
      </c>
      <c r="M61" s="213">
        <f>VLOOKUP(mat_8,alpha1,6,FALSE)*ar_8</f>
        <v>42.809999999999995</v>
      </c>
      <c r="N61" s="213">
        <f>VLOOKUP(mat_8,alpha1,7,FALSE)*ar_8</f>
        <v>42.809999999999995</v>
      </c>
      <c r="O61" s="213">
        <f>VLOOKUP(mat_8,alpha1,8,FALSE)*ar_8</f>
        <v>42.809999999999995</v>
      </c>
      <c r="P61" s="213">
        <f>VLOOKUP(mat_8,alpha1,9,FALSE)*ar_8</f>
        <v>42.809999999999995</v>
      </c>
      <c r="Q61" s="213">
        <f>VLOOKUP(mat_8,alpha1,10,FALSE)*ar_8</f>
        <v>28.54</v>
      </c>
      <c r="R61" s="212"/>
      <c r="S61" s="216"/>
      <c r="T61" s="216"/>
      <c r="V61" s="152"/>
      <c r="W61" s="164"/>
      <c r="X61" s="164"/>
      <c r="Y61" s="164"/>
      <c r="Z61" s="191"/>
      <c r="AA61" s="190"/>
      <c r="AB61" s="190"/>
      <c r="AC61" s="152"/>
      <c r="AD61" s="152"/>
      <c r="AE61" s="152"/>
    </row>
    <row r="62" spans="4:39" s="179" customFormat="1" ht="28.5" hidden="1" customHeight="1" x14ac:dyDescent="1.25">
      <c r="D62" s="158"/>
      <c r="E62" s="261" t="s">
        <v>66</v>
      </c>
      <c r="F62" s="222"/>
      <c r="G62" s="222"/>
      <c r="H62" s="262"/>
      <c r="I62" s="239">
        <v>300</v>
      </c>
      <c r="J62" s="233"/>
      <c r="K62" s="212"/>
      <c r="L62" s="213">
        <f>VLOOKUP(mat_9,alpha1,5,FALSE)*ar_9</f>
        <v>30</v>
      </c>
      <c r="M62" s="213">
        <f>VLOOKUP(mat_9,alpha1,6,FALSE)*ar_9</f>
        <v>90</v>
      </c>
      <c r="N62" s="213">
        <f>VLOOKUP(mat_9,alpha1,7,FALSE)*ar_9</f>
        <v>111</v>
      </c>
      <c r="O62" s="213">
        <f>VLOOKUP(mat_9,alpha1,8,FALSE)*ar_9</f>
        <v>120</v>
      </c>
      <c r="P62" s="213">
        <f>VLOOKUP(mat_9,alpha1,9,FALSE)*ar_9</f>
        <v>120</v>
      </c>
      <c r="Q62" s="213">
        <f>VLOOKUP(mat_9,alpha1,10,FALSE)*ar_9</f>
        <v>120</v>
      </c>
      <c r="R62" s="212"/>
      <c r="S62" s="216"/>
      <c r="T62" s="216"/>
      <c r="V62" s="192"/>
      <c r="W62" s="193"/>
      <c r="X62" s="193"/>
      <c r="Y62" s="193"/>
      <c r="Z62" s="191"/>
      <c r="AA62" s="194"/>
      <c r="AB62" s="194"/>
      <c r="AC62" s="192"/>
      <c r="AD62" s="192"/>
      <c r="AE62" s="192"/>
      <c r="AF62" s="195"/>
      <c r="AG62" s="195"/>
      <c r="AH62" s="195"/>
      <c r="AI62" s="195"/>
      <c r="AJ62" s="195"/>
      <c r="AK62" s="195"/>
      <c r="AL62" s="195"/>
      <c r="AM62" s="195"/>
    </row>
    <row r="63" spans="4:39" s="179" customFormat="1" ht="28.5" hidden="1" customHeight="1" thickBot="1" x14ac:dyDescent="1.3">
      <c r="D63" s="158"/>
      <c r="E63" s="261"/>
      <c r="F63" s="212"/>
      <c r="G63" s="212"/>
      <c r="H63" s="212"/>
      <c r="I63" s="239"/>
      <c r="J63" s="233"/>
      <c r="K63" s="212"/>
      <c r="L63" s="213"/>
      <c r="M63" s="213"/>
      <c r="N63" s="213"/>
      <c r="O63" s="213"/>
      <c r="P63" s="213"/>
      <c r="Q63" s="213"/>
      <c r="R63" s="212"/>
      <c r="S63" s="216"/>
      <c r="T63" s="216"/>
      <c r="V63" s="192"/>
      <c r="W63" s="192"/>
      <c r="X63" s="192"/>
      <c r="Y63" s="192"/>
      <c r="Z63" s="196"/>
      <c r="AA63" s="194"/>
      <c r="AB63" s="194"/>
      <c r="AC63" s="192"/>
      <c r="AD63" s="192"/>
      <c r="AE63" s="192"/>
      <c r="AF63" s="195"/>
      <c r="AG63" s="195"/>
      <c r="AH63" s="195"/>
      <c r="AI63" s="195"/>
      <c r="AJ63" s="195"/>
      <c r="AK63" s="195"/>
      <c r="AL63" s="195"/>
      <c r="AM63" s="195"/>
    </row>
    <row r="64" spans="4:39" s="179" customFormat="1" ht="28.5" hidden="1" customHeight="1" thickBot="1" x14ac:dyDescent="1.3">
      <c r="D64" s="158"/>
      <c r="E64" s="231" t="s">
        <v>47</v>
      </c>
      <c r="F64" s="232"/>
      <c r="G64" s="232"/>
      <c r="H64" s="232"/>
      <c r="I64" s="266">
        <f>SUM(I53:I62)</f>
        <v>5182</v>
      </c>
      <c r="J64" s="270" t="s">
        <v>115</v>
      </c>
      <c r="K64" s="231"/>
      <c r="L64" s="267"/>
      <c r="M64" s="267"/>
      <c r="N64" s="267"/>
      <c r="O64" s="267"/>
      <c r="P64" s="267"/>
      <c r="Q64" s="267"/>
      <c r="R64" s="232"/>
      <c r="S64" s="268"/>
      <c r="T64" s="216"/>
      <c r="V64" s="192"/>
      <c r="W64" s="192"/>
      <c r="X64" s="192"/>
      <c r="Y64" s="192"/>
      <c r="Z64" s="196"/>
      <c r="AA64" s="194"/>
      <c r="AB64" s="194"/>
      <c r="AC64" s="192"/>
      <c r="AD64" s="192"/>
      <c r="AE64" s="192"/>
      <c r="AF64" s="195"/>
      <c r="AG64" s="195"/>
      <c r="AH64" s="195"/>
      <c r="AI64" s="195"/>
      <c r="AJ64" s="195"/>
      <c r="AK64" s="195"/>
      <c r="AL64" s="195"/>
      <c r="AM64" s="195"/>
    </row>
    <row r="65" spans="4:39" s="179" customFormat="1" ht="28.5" hidden="1" customHeight="1" thickBot="1" x14ac:dyDescent="1.3">
      <c r="D65" s="158"/>
      <c r="E65" s="223"/>
      <c r="F65" s="236"/>
      <c r="G65" s="236"/>
      <c r="H65" s="236"/>
      <c r="I65" s="237"/>
      <c r="J65" s="224"/>
      <c r="K65" s="223"/>
      <c r="L65" s="259"/>
      <c r="M65" s="259"/>
      <c r="N65" s="259"/>
      <c r="O65" s="259"/>
      <c r="P65" s="259"/>
      <c r="Q65" s="259"/>
      <c r="R65" s="236"/>
      <c r="S65" s="253"/>
      <c r="T65" s="216"/>
      <c r="V65" s="192"/>
      <c r="W65" s="192"/>
      <c r="X65" s="192"/>
      <c r="Y65" s="192"/>
      <c r="Z65" s="196"/>
      <c r="AA65" s="194"/>
      <c r="AB65" s="194"/>
      <c r="AC65" s="192"/>
      <c r="AD65" s="192"/>
      <c r="AE65" s="192"/>
      <c r="AF65" s="195"/>
      <c r="AG65" s="195"/>
      <c r="AH65" s="195"/>
      <c r="AI65" s="195"/>
      <c r="AJ65" s="195"/>
      <c r="AK65" s="195"/>
      <c r="AL65" s="195"/>
      <c r="AM65" s="195"/>
    </row>
    <row r="66" spans="4:39" s="179" customFormat="1" ht="28.5" hidden="1" customHeight="1" thickBot="1" x14ac:dyDescent="1.3">
      <c r="D66" s="158"/>
      <c r="E66" s="223"/>
      <c r="F66" s="236"/>
      <c r="G66" s="236"/>
      <c r="H66" s="236"/>
      <c r="I66" s="237"/>
      <c r="J66" s="224"/>
      <c r="K66" s="223"/>
      <c r="L66" s="259">
        <f t="shared" ref="L66:Q66" si="3">SUM(L53:L62)</f>
        <v>490.71000000000004</v>
      </c>
      <c r="M66" s="259">
        <f t="shared" si="3"/>
        <v>521.27</v>
      </c>
      <c r="N66" s="259">
        <f t="shared" si="3"/>
        <v>1229.7199999999998</v>
      </c>
      <c r="O66" s="259">
        <f t="shared" si="3"/>
        <v>1395.1399999999999</v>
      </c>
      <c r="P66" s="259">
        <f t="shared" si="3"/>
        <v>1612.69</v>
      </c>
      <c r="Q66" s="259">
        <f t="shared" si="3"/>
        <v>1789.7</v>
      </c>
      <c r="R66" s="236"/>
      <c r="S66" s="253"/>
      <c r="T66" s="216"/>
      <c r="V66" s="192"/>
      <c r="W66" s="192"/>
      <c r="X66" s="192"/>
      <c r="Y66" s="192"/>
      <c r="Z66" s="196"/>
      <c r="AA66" s="194"/>
      <c r="AB66" s="194"/>
      <c r="AC66" s="192"/>
      <c r="AD66" s="192"/>
      <c r="AE66" s="192"/>
      <c r="AF66" s="195"/>
      <c r="AG66" s="195"/>
      <c r="AH66" s="195"/>
      <c r="AI66" s="195"/>
      <c r="AJ66" s="195"/>
      <c r="AK66" s="195"/>
      <c r="AL66" s="195"/>
      <c r="AM66" s="195"/>
    </row>
    <row r="67" spans="4:39" s="179" customFormat="1" ht="28.5" hidden="1" customHeight="1" x14ac:dyDescent="1.25">
      <c r="D67" s="158"/>
      <c r="E67" s="333" t="s">
        <v>33</v>
      </c>
      <c r="F67" s="320"/>
      <c r="G67" s="320"/>
      <c r="H67" s="320"/>
      <c r="I67" s="320"/>
      <c r="J67" s="334"/>
      <c r="K67" s="337"/>
      <c r="L67" s="299">
        <f t="shared" ref="L67:Q67" si="4">MAX(L49,L66)</f>
        <v>1106.24</v>
      </c>
      <c r="M67" s="299">
        <f t="shared" si="4"/>
        <v>521.27</v>
      </c>
      <c r="N67" s="299">
        <f t="shared" si="4"/>
        <v>1229.7199999999998</v>
      </c>
      <c r="O67" s="299">
        <f t="shared" si="4"/>
        <v>1395.1399999999999</v>
      </c>
      <c r="P67" s="299">
        <f t="shared" si="4"/>
        <v>1612.69</v>
      </c>
      <c r="Q67" s="299">
        <f t="shared" si="4"/>
        <v>1789.7</v>
      </c>
      <c r="R67" s="236"/>
      <c r="S67" s="253"/>
      <c r="T67" s="271"/>
      <c r="V67" s="192"/>
      <c r="W67" s="192"/>
      <c r="X67" s="192"/>
      <c r="Y67" s="192"/>
      <c r="Z67" s="194"/>
      <c r="AA67" s="194"/>
      <c r="AB67" s="194"/>
      <c r="AC67" s="192"/>
      <c r="AD67" s="192"/>
      <c r="AE67" s="192"/>
      <c r="AF67" s="195"/>
      <c r="AG67" s="195"/>
      <c r="AH67" s="195"/>
      <c r="AI67" s="195"/>
      <c r="AJ67" s="195"/>
      <c r="AK67" s="195"/>
      <c r="AL67" s="195"/>
      <c r="AM67" s="195"/>
    </row>
    <row r="68" spans="4:39" s="179" customFormat="1" ht="28.5" hidden="1" customHeight="1" thickBot="1" x14ac:dyDescent="1.3">
      <c r="D68" s="197"/>
      <c r="E68" s="335"/>
      <c r="F68" s="322"/>
      <c r="G68" s="322"/>
      <c r="H68" s="322"/>
      <c r="I68" s="322"/>
      <c r="J68" s="336"/>
      <c r="K68" s="338"/>
      <c r="L68" s="300"/>
      <c r="M68" s="300"/>
      <c r="N68" s="300"/>
      <c r="O68" s="300"/>
      <c r="P68" s="300"/>
      <c r="Q68" s="300"/>
      <c r="R68" s="218"/>
      <c r="S68" s="220"/>
      <c r="T68" s="271"/>
      <c r="V68" s="192"/>
      <c r="W68" s="192"/>
      <c r="X68" s="192"/>
      <c r="Y68" s="192"/>
      <c r="Z68" s="194"/>
      <c r="AA68" s="194"/>
      <c r="AB68" s="194"/>
      <c r="AC68" s="192"/>
      <c r="AD68" s="192"/>
      <c r="AE68" s="192"/>
      <c r="AF68" s="195"/>
      <c r="AG68" s="195"/>
      <c r="AH68" s="195"/>
      <c r="AI68" s="195"/>
      <c r="AJ68" s="195"/>
      <c r="AK68" s="195"/>
      <c r="AL68" s="195"/>
      <c r="AM68" s="195"/>
    </row>
    <row r="69" spans="4:39" s="179" customFormat="1" ht="28.5" customHeight="1" x14ac:dyDescent="1.25">
      <c r="D69" s="158"/>
      <c r="E69" s="214"/>
      <c r="F69" s="214"/>
      <c r="G69" s="214"/>
      <c r="H69" s="214"/>
      <c r="I69" s="214"/>
      <c r="J69" s="214"/>
      <c r="K69" s="222"/>
      <c r="L69" s="272"/>
      <c r="M69" s="272"/>
      <c r="N69" s="272"/>
      <c r="O69" s="272"/>
      <c r="P69" s="272"/>
      <c r="Q69" s="272"/>
      <c r="R69" s="212"/>
      <c r="S69" s="212"/>
      <c r="T69" s="216"/>
      <c r="V69" s="192"/>
      <c r="W69" s="192"/>
      <c r="X69" s="192"/>
      <c r="Y69" s="192"/>
      <c r="Z69" s="194"/>
      <c r="AA69" s="194"/>
      <c r="AB69" s="194"/>
      <c r="AC69" s="192"/>
      <c r="AD69" s="192"/>
      <c r="AE69" s="192"/>
      <c r="AF69" s="195"/>
      <c r="AG69" s="195"/>
      <c r="AH69" s="195"/>
      <c r="AI69" s="195"/>
      <c r="AJ69" s="195"/>
      <c r="AK69" s="195"/>
      <c r="AL69" s="195"/>
      <c r="AM69" s="195"/>
    </row>
    <row r="70" spans="4:39" s="179" customFormat="1" ht="40.5" customHeight="1" thickBot="1" x14ac:dyDescent="1.3">
      <c r="D70" s="158"/>
      <c r="E70" s="326" t="s">
        <v>107</v>
      </c>
      <c r="F70" s="326"/>
      <c r="G70" s="326"/>
      <c r="H70" s="326"/>
      <c r="I70" s="326"/>
      <c r="J70" s="326"/>
      <c r="K70" s="212"/>
      <c r="L70" s="273">
        <v>125</v>
      </c>
      <c r="M70" s="273">
        <v>250</v>
      </c>
      <c r="N70" s="273">
        <v>500</v>
      </c>
      <c r="O70" s="273" t="s">
        <v>1</v>
      </c>
      <c r="P70" s="273" t="s">
        <v>2</v>
      </c>
      <c r="Q70" s="273" t="s">
        <v>3</v>
      </c>
      <c r="R70" s="212"/>
      <c r="S70" s="212"/>
      <c r="T70" s="216"/>
      <c r="V70" s="192"/>
      <c r="W70" s="192"/>
      <c r="X70" s="192"/>
      <c r="Y70" s="192"/>
      <c r="Z70" s="194"/>
      <c r="AA70" s="194"/>
      <c r="AB70" s="194"/>
      <c r="AC70" s="192"/>
      <c r="AD70" s="192"/>
      <c r="AE70" s="192"/>
      <c r="AF70" s="195"/>
      <c r="AG70" s="195"/>
      <c r="AH70" s="195"/>
      <c r="AI70" s="195"/>
      <c r="AJ70" s="195"/>
      <c r="AK70" s="195"/>
      <c r="AL70" s="195"/>
      <c r="AM70" s="195"/>
    </row>
    <row r="71" spans="4:39" s="179" customFormat="1" ht="40.5" customHeight="1" x14ac:dyDescent="1.25">
      <c r="D71" s="158"/>
      <c r="E71" s="274" t="s">
        <v>56</v>
      </c>
      <c r="F71" s="236"/>
      <c r="G71" s="236"/>
      <c r="H71" s="236"/>
      <c r="I71" s="236"/>
      <c r="J71" s="259"/>
      <c r="K71" s="275"/>
      <c r="L71" s="276">
        <f>1.6*N71</f>
        <v>2.6368581937179267</v>
      </c>
      <c r="M71" s="276">
        <f>1.15*N71</f>
        <v>1.8952418267347595</v>
      </c>
      <c r="N71" s="276">
        <f>4*(0.0118*vol_^(1/3)+0.107)</f>
        <v>1.648036371073704</v>
      </c>
      <c r="O71" s="276">
        <f>N71</f>
        <v>1.648036371073704</v>
      </c>
      <c r="P71" s="276">
        <f>N71</f>
        <v>1.648036371073704</v>
      </c>
      <c r="Q71" s="276">
        <f>N71</f>
        <v>1.648036371073704</v>
      </c>
      <c r="R71" s="277"/>
      <c r="S71" s="278"/>
      <c r="T71" s="216"/>
      <c r="V71" s="192"/>
      <c r="W71" s="192"/>
      <c r="X71" s="192"/>
      <c r="Y71" s="192"/>
      <c r="Z71" s="194"/>
      <c r="AA71" s="194"/>
      <c r="AB71" s="194"/>
      <c r="AC71" s="192"/>
      <c r="AD71" s="192"/>
      <c r="AE71" s="192"/>
      <c r="AF71" s="195"/>
      <c r="AG71" s="195"/>
      <c r="AH71" s="195"/>
      <c r="AI71" s="195"/>
      <c r="AJ71" s="195"/>
      <c r="AK71" s="195"/>
      <c r="AL71" s="195"/>
      <c r="AM71" s="195"/>
    </row>
    <row r="72" spans="4:39" s="179" customFormat="1" ht="40.5" customHeight="1" x14ac:dyDescent="1.25">
      <c r="D72" s="158"/>
      <c r="E72" s="279" t="s">
        <v>64</v>
      </c>
      <c r="F72" s="212"/>
      <c r="G72" s="212"/>
      <c r="H72" s="212"/>
      <c r="I72" s="212"/>
      <c r="J72" s="213"/>
      <c r="K72" s="280"/>
      <c r="L72" s="229">
        <f t="shared" ref="L72:Q72" si="5">L71*1.2</f>
        <v>3.1642298324615119</v>
      </c>
      <c r="M72" s="229">
        <f t="shared" si="5"/>
        <v>2.2742901920817111</v>
      </c>
      <c r="N72" s="229">
        <f t="shared" si="5"/>
        <v>1.9776436452884447</v>
      </c>
      <c r="O72" s="229">
        <f t="shared" si="5"/>
        <v>1.9776436452884447</v>
      </c>
      <c r="P72" s="229">
        <f t="shared" si="5"/>
        <v>1.9776436452884447</v>
      </c>
      <c r="Q72" s="229">
        <f t="shared" si="5"/>
        <v>1.9776436452884447</v>
      </c>
      <c r="R72" s="281"/>
      <c r="S72" s="282"/>
      <c r="T72" s="216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5"/>
      <c r="AG72" s="195"/>
      <c r="AH72" s="195"/>
      <c r="AI72" s="195"/>
      <c r="AJ72" s="195"/>
      <c r="AK72" s="195"/>
      <c r="AL72" s="195"/>
      <c r="AM72" s="195"/>
    </row>
    <row r="73" spans="4:39" s="179" customFormat="1" ht="40.5" customHeight="1" x14ac:dyDescent="1.25">
      <c r="D73" s="158"/>
      <c r="E73" s="279" t="s">
        <v>65</v>
      </c>
      <c r="F73" s="212"/>
      <c r="G73" s="212"/>
      <c r="H73" s="212"/>
      <c r="I73" s="212"/>
      <c r="J73" s="213"/>
      <c r="K73" s="280"/>
      <c r="L73" s="229">
        <f t="shared" ref="L73:Q73" si="6">L71*0.8</f>
        <v>2.1094865549743416</v>
      </c>
      <c r="M73" s="229">
        <f t="shared" si="6"/>
        <v>1.5161934613878076</v>
      </c>
      <c r="N73" s="229">
        <f t="shared" si="6"/>
        <v>1.3184290968589634</v>
      </c>
      <c r="O73" s="229">
        <f t="shared" si="6"/>
        <v>1.3184290968589634</v>
      </c>
      <c r="P73" s="229">
        <f t="shared" si="6"/>
        <v>1.3184290968589634</v>
      </c>
      <c r="Q73" s="229">
        <f t="shared" si="6"/>
        <v>1.3184290968589634</v>
      </c>
      <c r="R73" s="281"/>
      <c r="S73" s="282"/>
      <c r="T73" s="216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5"/>
      <c r="AG73" s="195"/>
      <c r="AH73" s="195"/>
      <c r="AI73" s="195"/>
      <c r="AJ73" s="195"/>
      <c r="AK73" s="195"/>
      <c r="AL73" s="195"/>
      <c r="AM73" s="195"/>
    </row>
    <row r="74" spans="4:39" s="179" customFormat="1" ht="40.5" customHeight="1" x14ac:dyDescent="1.25">
      <c r="D74" s="158"/>
      <c r="E74" s="279" t="s">
        <v>80</v>
      </c>
      <c r="F74" s="212"/>
      <c r="G74" s="212"/>
      <c r="H74" s="212"/>
      <c r="I74" s="212"/>
      <c r="J74" s="213"/>
      <c r="K74" s="293"/>
      <c r="L74" s="294"/>
      <c r="M74" s="294"/>
      <c r="N74" s="294"/>
      <c r="O74" s="294"/>
      <c r="P74" s="294"/>
      <c r="Q74" s="294"/>
      <c r="R74" s="295"/>
      <c r="S74" s="296"/>
      <c r="T74" s="216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5"/>
      <c r="AG74" s="195"/>
      <c r="AH74" s="195"/>
      <c r="AI74" s="195"/>
      <c r="AJ74" s="195"/>
      <c r="AK74" s="195"/>
      <c r="AL74" s="195"/>
      <c r="AM74" s="195"/>
    </row>
    <row r="75" spans="4:39" s="179" customFormat="1" ht="40.5" customHeight="1" x14ac:dyDescent="1.25">
      <c r="D75" s="158"/>
      <c r="E75" s="279" t="s">
        <v>94</v>
      </c>
      <c r="F75" s="212"/>
      <c r="G75" s="212"/>
      <c r="H75" s="212"/>
      <c r="I75" s="212"/>
      <c r="J75" s="213"/>
      <c r="K75" s="293"/>
      <c r="L75" s="294"/>
      <c r="M75" s="294"/>
      <c r="N75" s="294"/>
      <c r="O75" s="294"/>
      <c r="P75" s="294"/>
      <c r="Q75" s="294"/>
      <c r="R75" s="295"/>
      <c r="S75" s="296"/>
      <c r="T75" s="216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5"/>
      <c r="AG75" s="195"/>
      <c r="AH75" s="195"/>
      <c r="AI75" s="195"/>
      <c r="AJ75" s="195"/>
      <c r="AK75" s="195"/>
      <c r="AL75" s="195"/>
      <c r="AM75" s="195"/>
    </row>
    <row r="76" spans="4:39" s="179" customFormat="1" ht="40.5" customHeight="1" thickBot="1" x14ac:dyDescent="1.3">
      <c r="D76" s="158"/>
      <c r="E76" s="327"/>
      <c r="F76" s="328"/>
      <c r="G76" s="328"/>
      <c r="H76" s="328"/>
      <c r="I76" s="328"/>
      <c r="J76" s="328"/>
      <c r="K76" s="283"/>
      <c r="L76" s="284"/>
      <c r="M76" s="284"/>
      <c r="N76" s="284"/>
      <c r="O76" s="284"/>
      <c r="P76" s="284"/>
      <c r="Q76" s="284"/>
      <c r="R76" s="284"/>
      <c r="S76" s="285"/>
      <c r="T76" s="216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5"/>
      <c r="AG76" s="195"/>
      <c r="AH76" s="195"/>
      <c r="AI76" s="195"/>
      <c r="AJ76" s="195"/>
      <c r="AK76" s="195"/>
      <c r="AL76" s="195"/>
      <c r="AM76" s="195"/>
    </row>
    <row r="77" spans="4:39" s="198" customFormat="1" ht="28.5" customHeight="1" x14ac:dyDescent="1.25">
      <c r="D77" s="199"/>
      <c r="E77" s="286"/>
      <c r="F77" s="286"/>
      <c r="G77" s="286"/>
      <c r="H77" s="286"/>
      <c r="I77" s="286"/>
      <c r="J77" s="286"/>
      <c r="K77" s="287"/>
      <c r="L77" s="287"/>
      <c r="M77" s="287"/>
      <c r="N77" s="287"/>
      <c r="O77" s="287"/>
      <c r="P77" s="287"/>
      <c r="Q77" s="287"/>
      <c r="R77" s="287"/>
      <c r="S77" s="287"/>
      <c r="T77" s="288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203"/>
      <c r="AG77" s="203"/>
      <c r="AH77" s="203"/>
      <c r="AI77" s="203"/>
      <c r="AJ77" s="203"/>
      <c r="AK77" s="203"/>
      <c r="AL77" s="203"/>
      <c r="AM77" s="203"/>
    </row>
    <row r="78" spans="4:39" s="198" customFormat="1" ht="35" hidden="1" x14ac:dyDescent="1.1000000000000001">
      <c r="D78" s="199"/>
      <c r="E78" s="200" t="s">
        <v>64</v>
      </c>
      <c r="F78" s="200"/>
      <c r="G78" s="200"/>
      <c r="H78" s="200"/>
      <c r="I78" s="200"/>
      <c r="J78" s="200"/>
      <c r="K78" s="201"/>
      <c r="L78" s="201">
        <f t="shared" ref="L78:Q78" si="7">L71*1.1</f>
        <v>2.9005440130897195</v>
      </c>
      <c r="M78" s="201">
        <f t="shared" si="7"/>
        <v>2.0847660094082356</v>
      </c>
      <c r="N78" s="201">
        <f t="shared" si="7"/>
        <v>1.8128400081810745</v>
      </c>
      <c r="O78" s="201">
        <f t="shared" si="7"/>
        <v>1.8128400081810745</v>
      </c>
      <c r="P78" s="201">
        <f t="shared" si="7"/>
        <v>1.8128400081810745</v>
      </c>
      <c r="Q78" s="201">
        <f t="shared" si="7"/>
        <v>1.8128400081810745</v>
      </c>
      <c r="R78" s="201"/>
      <c r="S78" s="201"/>
      <c r="T78" s="20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203"/>
      <c r="AG78" s="203"/>
      <c r="AH78" s="203"/>
      <c r="AI78" s="203"/>
      <c r="AJ78" s="203"/>
      <c r="AK78" s="203"/>
      <c r="AL78" s="203"/>
      <c r="AM78" s="203"/>
    </row>
    <row r="79" spans="4:39" s="198" customFormat="1" ht="22.5" hidden="1" customHeight="1" x14ac:dyDescent="1.1000000000000001">
      <c r="D79" s="199"/>
      <c r="E79" s="198" t="s">
        <v>65</v>
      </c>
      <c r="J79" s="204"/>
      <c r="K79" s="204"/>
      <c r="L79" s="204">
        <f t="shared" ref="L79:Q79" si="8">L71*0.9</f>
        <v>2.3731723743461339</v>
      </c>
      <c r="M79" s="204">
        <f t="shared" si="8"/>
        <v>1.7057176440612836</v>
      </c>
      <c r="N79" s="204">
        <f t="shared" si="8"/>
        <v>1.4832327339663336</v>
      </c>
      <c r="O79" s="204">
        <f t="shared" si="8"/>
        <v>1.4832327339663336</v>
      </c>
      <c r="P79" s="204">
        <f t="shared" si="8"/>
        <v>1.4832327339663336</v>
      </c>
      <c r="Q79" s="204">
        <f t="shared" si="8"/>
        <v>1.4832327339663336</v>
      </c>
      <c r="T79" s="20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203"/>
      <c r="AG79" s="203"/>
      <c r="AH79" s="203"/>
      <c r="AI79" s="203"/>
      <c r="AJ79" s="203"/>
      <c r="AK79" s="203"/>
      <c r="AL79" s="203"/>
      <c r="AM79" s="203"/>
    </row>
    <row r="80" spans="4:39" ht="22.5" hidden="1" customHeight="1" x14ac:dyDescent="1.1000000000000001">
      <c r="D80" s="158"/>
      <c r="P80" s="165"/>
      <c r="T80" s="159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</row>
    <row r="81" spans="4:39" ht="22.5" customHeight="1" x14ac:dyDescent="1.1000000000000001">
      <c r="D81" s="158"/>
      <c r="P81" s="165"/>
      <c r="T81" s="159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</row>
    <row r="82" spans="4:39" ht="22.5" customHeight="1" x14ac:dyDescent="1.1000000000000001">
      <c r="D82" s="158"/>
      <c r="P82" s="165"/>
      <c r="T82" s="159"/>
      <c r="V82" s="192"/>
      <c r="W82" s="192"/>
      <c r="X82" s="192"/>
      <c r="Y82" s="192"/>
      <c r="Z82" s="192"/>
      <c r="AA82" s="205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</row>
    <row r="83" spans="4:39" ht="22.5" customHeight="1" x14ac:dyDescent="1.1000000000000001">
      <c r="D83" s="158"/>
      <c r="P83" s="165"/>
      <c r="T83" s="159"/>
      <c r="V83" s="203"/>
      <c r="W83" s="203"/>
      <c r="X83" s="203"/>
      <c r="Y83" s="203"/>
      <c r="Z83" s="203"/>
      <c r="AA83" s="203"/>
      <c r="AB83" s="203"/>
      <c r="AC83" s="203"/>
      <c r="AD83" s="203"/>
      <c r="AE83" s="203"/>
      <c r="AF83" s="192"/>
      <c r="AG83" s="192"/>
      <c r="AH83" s="192"/>
      <c r="AI83" s="192"/>
      <c r="AJ83" s="192"/>
      <c r="AK83" s="192"/>
      <c r="AL83" s="192"/>
      <c r="AM83" s="192"/>
    </row>
    <row r="84" spans="4:39" ht="22.5" customHeight="1" x14ac:dyDescent="1.1000000000000001">
      <c r="D84" s="158"/>
      <c r="P84" s="165"/>
      <c r="T84" s="159"/>
      <c r="V84" s="203"/>
      <c r="W84" s="203"/>
      <c r="X84" s="203"/>
      <c r="Y84" s="203"/>
      <c r="Z84" s="203"/>
      <c r="AA84" s="203"/>
      <c r="AB84" s="203"/>
      <c r="AC84" s="203"/>
      <c r="AD84" s="203"/>
      <c r="AE84" s="203"/>
      <c r="AF84" s="192"/>
      <c r="AG84" s="192"/>
      <c r="AH84" s="192"/>
      <c r="AI84" s="192"/>
      <c r="AJ84" s="192"/>
      <c r="AK84" s="192"/>
      <c r="AL84" s="192"/>
      <c r="AM84" s="192"/>
    </row>
    <row r="85" spans="4:39" ht="22.5" customHeight="1" x14ac:dyDescent="1.1000000000000001">
      <c r="D85" s="158"/>
      <c r="P85" s="165"/>
      <c r="T85" s="159"/>
      <c r="V85" s="203"/>
      <c r="W85" s="203"/>
      <c r="X85" s="203"/>
      <c r="Y85" s="203"/>
      <c r="Z85" s="203"/>
      <c r="AA85" s="203"/>
      <c r="AB85" s="203"/>
      <c r="AC85" s="203"/>
      <c r="AD85" s="203"/>
      <c r="AE85" s="203"/>
      <c r="AF85" s="192"/>
      <c r="AG85" s="192"/>
      <c r="AH85" s="192"/>
      <c r="AI85" s="192"/>
      <c r="AJ85" s="192"/>
      <c r="AK85" s="192"/>
      <c r="AL85" s="192"/>
      <c r="AM85" s="192"/>
    </row>
    <row r="86" spans="4:39" ht="22.5" customHeight="1" thickBot="1" x14ac:dyDescent="1.1499999999999999">
      <c r="D86" s="158"/>
      <c r="E86" s="161"/>
      <c r="F86" s="161"/>
      <c r="G86" s="161"/>
      <c r="H86" s="161"/>
      <c r="I86" s="161"/>
      <c r="J86" s="162"/>
      <c r="K86" s="162"/>
      <c r="L86" s="162"/>
      <c r="M86" s="162"/>
      <c r="N86" s="162"/>
      <c r="O86" s="162"/>
      <c r="P86" s="206"/>
      <c r="Q86" s="161"/>
      <c r="R86" s="161"/>
      <c r="S86" s="161"/>
      <c r="T86" s="159"/>
      <c r="V86" s="192"/>
      <c r="W86" s="207"/>
      <c r="X86" s="207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</row>
    <row r="87" spans="4:39" ht="22.5" customHeight="1" x14ac:dyDescent="1.1000000000000001">
      <c r="D87" s="158"/>
      <c r="P87" s="165"/>
      <c r="T87" s="159"/>
      <c r="V87" s="192"/>
      <c r="W87" s="207"/>
      <c r="X87" s="207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</row>
    <row r="88" spans="4:39" ht="22.5" customHeight="1" x14ac:dyDescent="1.1000000000000001">
      <c r="D88" s="158"/>
      <c r="P88" s="165"/>
      <c r="T88" s="159"/>
      <c r="V88" s="192"/>
      <c r="W88" s="207"/>
      <c r="X88" s="207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</row>
    <row r="89" spans="4:39" ht="22.5" customHeight="1" x14ac:dyDescent="1.1000000000000001">
      <c r="D89" s="158"/>
      <c r="P89" s="165"/>
      <c r="T89" s="159"/>
      <c r="V89" s="192"/>
      <c r="W89" s="207"/>
      <c r="X89" s="207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</row>
    <row r="90" spans="4:39" ht="35" x14ac:dyDescent="1.1000000000000001">
      <c r="D90" s="158"/>
      <c r="P90" s="165"/>
      <c r="T90" s="159"/>
      <c r="V90" s="192"/>
      <c r="W90" s="207"/>
      <c r="X90" s="207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</row>
    <row r="91" spans="4:39" ht="35" x14ac:dyDescent="1.1000000000000001">
      <c r="D91" s="158"/>
      <c r="P91" s="165"/>
      <c r="T91" s="159"/>
      <c r="V91" s="192"/>
      <c r="W91" s="207"/>
      <c r="X91" s="207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</row>
    <row r="92" spans="4:39" ht="35" x14ac:dyDescent="1.1000000000000001">
      <c r="D92" s="158"/>
      <c r="P92" s="165"/>
      <c r="T92" s="159"/>
      <c r="V92" s="192"/>
      <c r="W92" s="207"/>
      <c r="X92" s="207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</row>
    <row r="93" spans="4:39" ht="35" x14ac:dyDescent="1.1000000000000001">
      <c r="D93" s="158"/>
      <c r="P93" s="165"/>
      <c r="T93" s="159"/>
      <c r="V93" s="192"/>
      <c r="W93" s="207"/>
      <c r="X93" s="207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192"/>
      <c r="AM93" s="192"/>
    </row>
    <row r="94" spans="4:39" ht="35" x14ac:dyDescent="1.1000000000000001">
      <c r="D94" s="158"/>
      <c r="P94" s="165"/>
      <c r="T94" s="159"/>
      <c r="V94" s="192"/>
      <c r="W94" s="207"/>
      <c r="X94" s="207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</row>
    <row r="95" spans="4:39" ht="35" x14ac:dyDescent="1.1000000000000001">
      <c r="D95" s="158"/>
      <c r="P95" s="165"/>
      <c r="T95" s="159"/>
      <c r="V95" s="192"/>
      <c r="W95" s="207"/>
      <c r="X95" s="207"/>
      <c r="Y95" s="192"/>
      <c r="Z95" s="192"/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  <c r="AK95" s="192"/>
      <c r="AL95" s="192"/>
      <c r="AM95" s="192"/>
    </row>
    <row r="96" spans="4:39" ht="35" x14ac:dyDescent="1.1000000000000001">
      <c r="D96" s="158"/>
      <c r="P96" s="165"/>
      <c r="T96" s="159"/>
      <c r="V96" s="192"/>
      <c r="W96" s="207"/>
      <c r="X96" s="207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</row>
    <row r="97" spans="3:39" ht="35" x14ac:dyDescent="1.1000000000000001">
      <c r="D97" s="158"/>
      <c r="P97" s="165"/>
      <c r="T97" s="159"/>
      <c r="V97" s="192"/>
      <c r="W97" s="207"/>
      <c r="X97" s="207"/>
      <c r="Y97" s="192"/>
      <c r="Z97" s="192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2"/>
      <c r="AL97" s="192"/>
      <c r="AM97" s="192"/>
    </row>
    <row r="98" spans="3:39" ht="35" x14ac:dyDescent="1.1000000000000001">
      <c r="D98" s="158"/>
      <c r="P98" s="165"/>
      <c r="T98" s="159"/>
      <c r="V98" s="192"/>
      <c r="W98" s="207"/>
      <c r="X98" s="207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</row>
    <row r="99" spans="3:39" ht="22.5" customHeight="1" x14ac:dyDescent="1.1000000000000001">
      <c r="C99" s="159"/>
      <c r="D99" s="158"/>
      <c r="P99" s="165"/>
      <c r="T99" s="159"/>
      <c r="V99" s="192"/>
      <c r="W99" s="207"/>
      <c r="X99" s="207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</row>
    <row r="100" spans="3:39" ht="22.5" customHeight="1" x14ac:dyDescent="1.1000000000000001">
      <c r="C100" s="159"/>
      <c r="D100" s="158"/>
      <c r="P100" s="165"/>
      <c r="T100" s="159"/>
      <c r="V100" s="192"/>
      <c r="W100" s="207"/>
      <c r="X100" s="207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</row>
    <row r="101" spans="3:39" ht="22.5" customHeight="1" x14ac:dyDescent="1.1000000000000001">
      <c r="C101" s="159"/>
      <c r="D101" s="158"/>
      <c r="P101" s="165"/>
      <c r="T101" s="159"/>
      <c r="V101" s="192"/>
      <c r="W101" s="207"/>
      <c r="X101" s="207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192"/>
      <c r="AI101" s="192"/>
      <c r="AJ101" s="192"/>
      <c r="AK101" s="192"/>
      <c r="AL101" s="192"/>
      <c r="AM101" s="192"/>
    </row>
    <row r="102" spans="3:39" ht="22.5" customHeight="1" x14ac:dyDescent="1.1000000000000001">
      <c r="C102" s="159"/>
      <c r="D102" s="158"/>
      <c r="P102" s="165"/>
      <c r="T102" s="159"/>
      <c r="V102" s="192"/>
      <c r="W102" s="207"/>
      <c r="X102" s="207"/>
      <c r="Y102" s="192"/>
      <c r="Z102" s="192"/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</row>
    <row r="103" spans="3:39" ht="35" x14ac:dyDescent="1.1000000000000001">
      <c r="C103" s="159"/>
      <c r="D103" s="158"/>
      <c r="P103" s="165"/>
      <c r="T103" s="159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</row>
    <row r="104" spans="3:39" ht="35" x14ac:dyDescent="1.1000000000000001">
      <c r="C104" s="159"/>
      <c r="D104" s="158"/>
      <c r="T104" s="159"/>
      <c r="U104" s="158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192"/>
      <c r="AH104" s="192"/>
      <c r="AI104" s="192"/>
      <c r="AJ104" s="192"/>
      <c r="AK104" s="192"/>
      <c r="AL104" s="192"/>
      <c r="AM104" s="192"/>
    </row>
    <row r="105" spans="3:39" ht="22.5" customHeight="1" x14ac:dyDescent="1.1000000000000001">
      <c r="D105" s="158"/>
      <c r="T105" s="159"/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</row>
    <row r="106" spans="3:39" ht="22.5" customHeight="1" x14ac:dyDescent="1.1000000000000001">
      <c r="D106" s="158"/>
      <c r="T106" s="159"/>
      <c r="V106" s="192"/>
      <c r="W106" s="192"/>
      <c r="X106" s="192"/>
      <c r="Y106" s="192"/>
      <c r="Z106" s="192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  <c r="AK106" s="192"/>
      <c r="AL106" s="192"/>
      <c r="AM106" s="192"/>
    </row>
    <row r="107" spans="3:39" ht="22.5" customHeight="1" x14ac:dyDescent="1.1000000000000001">
      <c r="D107" s="158"/>
      <c r="T107" s="159"/>
      <c r="V107" s="192"/>
      <c r="W107" s="192"/>
      <c r="X107" s="192"/>
      <c r="Y107" s="192"/>
      <c r="Z107" s="192"/>
      <c r="AA107" s="192"/>
      <c r="AB107" s="192"/>
      <c r="AC107" s="192"/>
      <c r="AD107" s="192"/>
      <c r="AE107" s="192"/>
      <c r="AF107" s="192"/>
      <c r="AG107" s="192"/>
      <c r="AH107" s="192"/>
      <c r="AI107" s="192"/>
      <c r="AJ107" s="192"/>
      <c r="AK107" s="192"/>
      <c r="AL107" s="192"/>
      <c r="AM107" s="192"/>
    </row>
    <row r="108" spans="3:39" ht="35" x14ac:dyDescent="1.1000000000000001">
      <c r="D108" s="158"/>
      <c r="T108" s="159"/>
      <c r="V108" s="192"/>
      <c r="W108" s="192"/>
      <c r="X108" s="192"/>
      <c r="Y108" s="192"/>
      <c r="Z108" s="192"/>
      <c r="AA108" s="192"/>
      <c r="AB108" s="192"/>
      <c r="AC108" s="192"/>
      <c r="AD108" s="192"/>
      <c r="AE108" s="192"/>
      <c r="AF108" s="192"/>
      <c r="AG108" s="192"/>
      <c r="AH108" s="192"/>
      <c r="AI108" s="192"/>
      <c r="AJ108" s="192"/>
      <c r="AK108" s="192"/>
      <c r="AL108" s="192"/>
      <c r="AM108" s="192"/>
    </row>
    <row r="109" spans="3:39" ht="135.75" customHeight="1" thickBot="1" x14ac:dyDescent="1.1499999999999999">
      <c r="D109" s="329"/>
      <c r="E109" s="330"/>
      <c r="F109" s="330"/>
      <c r="G109" s="330"/>
      <c r="H109" s="330"/>
      <c r="I109" s="330"/>
      <c r="J109" s="330"/>
      <c r="K109" s="330"/>
      <c r="L109" s="330"/>
      <c r="M109" s="330"/>
      <c r="N109" s="330"/>
      <c r="O109" s="330"/>
      <c r="P109" s="330"/>
      <c r="Q109" s="330"/>
      <c r="R109" s="330"/>
      <c r="S109" s="330"/>
      <c r="T109" s="331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</row>
    <row r="110" spans="3:39" ht="22.5" customHeight="1" x14ac:dyDescent="1.1000000000000001">
      <c r="V110" s="192"/>
      <c r="W110" s="192"/>
      <c r="X110" s="192"/>
      <c r="Y110" s="192"/>
      <c r="Z110" s="192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  <c r="AK110" s="192"/>
      <c r="AL110" s="192"/>
      <c r="AM110" s="192"/>
    </row>
    <row r="111" spans="3:39" ht="22.5" customHeight="1" x14ac:dyDescent="1.1000000000000001">
      <c r="V111" s="192"/>
      <c r="W111" s="192"/>
      <c r="X111" s="192"/>
      <c r="Y111" s="192"/>
      <c r="Z111" s="192"/>
      <c r="AA111" s="192"/>
      <c r="AB111" s="192"/>
      <c r="AC111" s="192"/>
      <c r="AD111" s="192"/>
      <c r="AE111" s="192"/>
      <c r="AF111" s="192"/>
      <c r="AG111" s="192"/>
      <c r="AH111" s="192"/>
      <c r="AI111" s="192"/>
      <c r="AJ111" s="192"/>
      <c r="AK111" s="192"/>
      <c r="AL111" s="192"/>
      <c r="AM111" s="192"/>
    </row>
    <row r="112" spans="3:39" ht="22.5" customHeight="1" x14ac:dyDescent="1.1000000000000001">
      <c r="V112" s="192"/>
      <c r="W112" s="192"/>
      <c r="X112" s="192"/>
      <c r="Y112" s="192"/>
      <c r="Z112" s="192"/>
      <c r="AA112" s="192"/>
      <c r="AB112" s="192"/>
      <c r="AC112" s="192"/>
      <c r="AD112" s="192"/>
      <c r="AE112" s="192"/>
      <c r="AF112" s="192"/>
      <c r="AG112" s="192"/>
      <c r="AH112" s="192"/>
      <c r="AI112" s="192"/>
      <c r="AJ112" s="192"/>
      <c r="AK112" s="192"/>
      <c r="AL112" s="192"/>
      <c r="AM112" s="192"/>
    </row>
    <row r="113" spans="22:39" ht="22.5" customHeight="1" x14ac:dyDescent="1.1000000000000001">
      <c r="V113" s="192"/>
      <c r="W113" s="192"/>
      <c r="X113" s="192"/>
      <c r="Y113" s="192"/>
      <c r="Z113" s="192"/>
      <c r="AA113" s="192"/>
      <c r="AB113" s="192"/>
      <c r="AC113" s="192"/>
      <c r="AD113" s="192"/>
      <c r="AE113" s="192"/>
      <c r="AF113" s="192"/>
      <c r="AG113" s="192"/>
      <c r="AH113" s="192"/>
      <c r="AI113" s="192"/>
      <c r="AJ113" s="192"/>
      <c r="AK113" s="192"/>
      <c r="AL113" s="192"/>
      <c r="AM113" s="192"/>
    </row>
    <row r="114" spans="22:39" ht="22.5" customHeight="1" x14ac:dyDescent="1.1000000000000001">
      <c r="V114" s="192"/>
      <c r="W114" s="192"/>
      <c r="X114" s="192"/>
      <c r="Y114" s="192"/>
      <c r="Z114" s="192"/>
      <c r="AA114" s="192"/>
      <c r="AB114" s="192"/>
      <c r="AC114" s="192"/>
      <c r="AD114" s="192"/>
      <c r="AE114" s="192"/>
      <c r="AF114" s="192"/>
      <c r="AG114" s="192"/>
      <c r="AH114" s="192"/>
      <c r="AI114" s="192"/>
      <c r="AJ114" s="192"/>
      <c r="AK114" s="192"/>
      <c r="AL114" s="192"/>
      <c r="AM114" s="192"/>
    </row>
    <row r="115" spans="22:39" ht="35" x14ac:dyDescent="1.1000000000000001"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  <c r="AL115" s="192"/>
      <c r="AM115" s="192"/>
    </row>
    <row r="116" spans="22:39" ht="22.5" customHeight="1" x14ac:dyDescent="1.1000000000000001"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  <c r="AF116" s="192"/>
      <c r="AG116" s="192"/>
      <c r="AH116" s="192"/>
      <c r="AI116" s="192"/>
      <c r="AJ116" s="192"/>
      <c r="AK116" s="192"/>
      <c r="AL116" s="192"/>
      <c r="AM116" s="192"/>
    </row>
    <row r="117" spans="22:39" ht="22.5" customHeight="1" x14ac:dyDescent="1.1000000000000001"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  <c r="AF117" s="192"/>
      <c r="AG117" s="192"/>
      <c r="AH117" s="192"/>
      <c r="AI117" s="192"/>
      <c r="AJ117" s="192"/>
      <c r="AK117" s="192"/>
      <c r="AL117" s="192"/>
      <c r="AM117" s="192"/>
    </row>
    <row r="118" spans="22:39" ht="22.5" customHeight="1" x14ac:dyDescent="1.1000000000000001"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192"/>
      <c r="AM118" s="192"/>
    </row>
    <row r="119" spans="22:39" ht="22.5" customHeight="1" x14ac:dyDescent="1.1000000000000001"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  <c r="AJ119" s="192"/>
      <c r="AK119" s="192"/>
      <c r="AL119" s="192"/>
      <c r="AM119" s="192"/>
    </row>
    <row r="120" spans="22:39" ht="22.5" customHeight="1" x14ac:dyDescent="1.1000000000000001"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  <c r="AJ120" s="192"/>
      <c r="AK120" s="192"/>
      <c r="AL120" s="192"/>
      <c r="AM120" s="192"/>
    </row>
    <row r="121" spans="22:39" ht="22.5" customHeight="1" x14ac:dyDescent="1.1000000000000001"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  <c r="AL121" s="192"/>
      <c r="AM121" s="192"/>
    </row>
    <row r="122" spans="22:39" ht="22.5" customHeight="1" x14ac:dyDescent="1.1000000000000001"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</row>
    <row r="123" spans="22:39" ht="22.5" customHeight="1" x14ac:dyDescent="1.1000000000000001"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  <c r="AF123" s="192"/>
      <c r="AG123" s="192"/>
      <c r="AH123" s="192"/>
      <c r="AI123" s="192"/>
      <c r="AJ123" s="192"/>
      <c r="AK123" s="192"/>
      <c r="AL123" s="192"/>
      <c r="AM123" s="192"/>
    </row>
    <row r="124" spans="22:39" ht="22.5" customHeight="1" x14ac:dyDescent="1.1000000000000001">
      <c r="V124" s="192"/>
      <c r="W124" s="192"/>
      <c r="X124" s="192"/>
      <c r="Y124" s="192"/>
      <c r="Z124" s="192"/>
      <c r="AA124" s="192"/>
      <c r="AB124" s="192"/>
      <c r="AC124" s="192"/>
      <c r="AD124" s="192"/>
      <c r="AE124" s="192"/>
      <c r="AF124" s="192"/>
      <c r="AG124" s="192"/>
      <c r="AH124" s="192"/>
      <c r="AI124" s="192"/>
      <c r="AJ124" s="192"/>
      <c r="AK124" s="192"/>
      <c r="AL124" s="192"/>
      <c r="AM124" s="192"/>
    </row>
    <row r="125" spans="22:39" ht="22.5" customHeight="1" x14ac:dyDescent="1.1000000000000001">
      <c r="V125" s="192"/>
      <c r="W125" s="192"/>
      <c r="X125" s="192"/>
      <c r="Y125" s="192"/>
      <c r="Z125" s="192"/>
      <c r="AA125" s="192"/>
      <c r="AB125" s="192"/>
      <c r="AC125" s="192"/>
      <c r="AD125" s="192"/>
      <c r="AE125" s="192"/>
      <c r="AF125" s="192"/>
      <c r="AG125" s="192"/>
      <c r="AH125" s="192"/>
      <c r="AI125" s="192"/>
      <c r="AJ125" s="192"/>
      <c r="AK125" s="192"/>
      <c r="AL125" s="192"/>
      <c r="AM125" s="192"/>
    </row>
    <row r="126" spans="22:39" ht="22.5" customHeight="1" x14ac:dyDescent="1.1000000000000001"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  <c r="AF126" s="192"/>
      <c r="AG126" s="192"/>
      <c r="AH126" s="192"/>
      <c r="AI126" s="192"/>
      <c r="AJ126" s="192"/>
      <c r="AK126" s="192"/>
      <c r="AL126" s="192"/>
      <c r="AM126" s="192"/>
    </row>
    <row r="127" spans="22:39" ht="22.5" customHeight="1" x14ac:dyDescent="1.1000000000000001"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  <c r="AF127" s="192"/>
      <c r="AG127" s="192"/>
      <c r="AH127" s="192"/>
      <c r="AI127" s="192"/>
      <c r="AJ127" s="192"/>
      <c r="AK127" s="192"/>
      <c r="AL127" s="192"/>
      <c r="AM127" s="192"/>
    </row>
    <row r="128" spans="22:39" ht="22.5" customHeight="1" x14ac:dyDescent="1.1000000000000001"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  <c r="AF128" s="192"/>
      <c r="AG128" s="192"/>
      <c r="AH128" s="192"/>
      <c r="AI128" s="192"/>
      <c r="AJ128" s="192"/>
      <c r="AK128" s="192"/>
      <c r="AL128" s="192"/>
      <c r="AM128" s="192"/>
    </row>
    <row r="129" spans="22:39" ht="22.5" customHeight="1" x14ac:dyDescent="1.1000000000000001"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  <c r="AF129" s="192"/>
      <c r="AG129" s="192"/>
      <c r="AH129" s="192"/>
      <c r="AI129" s="192"/>
      <c r="AJ129" s="192"/>
      <c r="AK129" s="192"/>
      <c r="AL129" s="192"/>
      <c r="AM129" s="192"/>
    </row>
    <row r="130" spans="22:39" ht="22.5" customHeight="1" x14ac:dyDescent="1.1000000000000001"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  <c r="AF130" s="192"/>
      <c r="AG130" s="192"/>
      <c r="AH130" s="192"/>
      <c r="AI130" s="192"/>
      <c r="AJ130" s="192"/>
      <c r="AK130" s="192"/>
      <c r="AL130" s="192"/>
      <c r="AM130" s="192"/>
    </row>
    <row r="131" spans="22:39" ht="22.5" customHeight="1" x14ac:dyDescent="1.1000000000000001">
      <c r="V131" s="192"/>
      <c r="W131" s="192"/>
      <c r="X131" s="192"/>
      <c r="Y131" s="192"/>
      <c r="Z131" s="192"/>
      <c r="AA131" s="192"/>
      <c r="AB131" s="192"/>
      <c r="AC131" s="192"/>
      <c r="AD131" s="192"/>
      <c r="AE131" s="192"/>
      <c r="AF131" s="192"/>
      <c r="AG131" s="192"/>
      <c r="AH131" s="192"/>
      <c r="AI131" s="192"/>
      <c r="AJ131" s="192"/>
      <c r="AK131" s="192"/>
      <c r="AL131" s="192"/>
      <c r="AM131" s="192"/>
    </row>
    <row r="132" spans="22:39" ht="22.5" customHeight="1" x14ac:dyDescent="1.1000000000000001">
      <c r="V132" s="192"/>
      <c r="W132" s="192"/>
      <c r="X132" s="192"/>
      <c r="Y132" s="192"/>
      <c r="Z132" s="192"/>
      <c r="AA132" s="192"/>
      <c r="AB132" s="192"/>
      <c r="AC132" s="192"/>
      <c r="AD132" s="192"/>
      <c r="AE132" s="192"/>
      <c r="AF132" s="192"/>
      <c r="AG132" s="192"/>
      <c r="AH132" s="192"/>
      <c r="AI132" s="192"/>
      <c r="AJ132" s="192"/>
      <c r="AK132" s="192"/>
      <c r="AL132" s="192"/>
      <c r="AM132" s="192"/>
    </row>
    <row r="133" spans="22:39" ht="22.5" customHeight="1" x14ac:dyDescent="1.1000000000000001">
      <c r="V133" s="192"/>
      <c r="W133" s="192"/>
      <c r="X133" s="192"/>
      <c r="Y133" s="192"/>
      <c r="Z133" s="192"/>
      <c r="AA133" s="192"/>
      <c r="AB133" s="192"/>
      <c r="AC133" s="192"/>
      <c r="AD133" s="192"/>
      <c r="AE133" s="192"/>
      <c r="AF133" s="192"/>
      <c r="AG133" s="192"/>
      <c r="AH133" s="192"/>
      <c r="AI133" s="192"/>
      <c r="AJ133" s="192"/>
      <c r="AK133" s="192"/>
      <c r="AL133" s="192"/>
      <c r="AM133" s="192"/>
    </row>
    <row r="134" spans="22:39" ht="22.5" customHeight="1" x14ac:dyDescent="1.1000000000000001">
      <c r="V134" s="192"/>
      <c r="W134" s="192"/>
      <c r="X134" s="192"/>
      <c r="Y134" s="192"/>
      <c r="Z134" s="192"/>
      <c r="AA134" s="192"/>
      <c r="AB134" s="192"/>
      <c r="AC134" s="192"/>
      <c r="AD134" s="192"/>
      <c r="AE134" s="192"/>
      <c r="AF134" s="192"/>
      <c r="AG134" s="192"/>
      <c r="AH134" s="192"/>
      <c r="AI134" s="192"/>
      <c r="AJ134" s="192"/>
      <c r="AK134" s="192"/>
      <c r="AL134" s="192"/>
      <c r="AM134" s="192"/>
    </row>
    <row r="135" spans="22:39" ht="22.5" customHeight="1" x14ac:dyDescent="1.1000000000000001"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  <c r="AF135" s="192"/>
      <c r="AG135" s="192"/>
      <c r="AH135" s="192"/>
      <c r="AI135" s="192"/>
      <c r="AJ135" s="192"/>
      <c r="AK135" s="192"/>
      <c r="AL135" s="192"/>
      <c r="AM135" s="192"/>
    </row>
    <row r="136" spans="22:39" ht="22.5" customHeight="1" x14ac:dyDescent="1.1000000000000001"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  <c r="AF136" s="192"/>
      <c r="AG136" s="192"/>
      <c r="AH136" s="192"/>
      <c r="AI136" s="192"/>
      <c r="AJ136" s="192"/>
      <c r="AK136" s="192"/>
      <c r="AL136" s="192"/>
      <c r="AM136" s="192"/>
    </row>
    <row r="137" spans="22:39" ht="22.5" customHeight="1" x14ac:dyDescent="1.1000000000000001">
      <c r="V137" s="192"/>
      <c r="W137" s="192"/>
      <c r="X137" s="192"/>
      <c r="Y137" s="192"/>
      <c r="Z137" s="192"/>
      <c r="AA137" s="192"/>
      <c r="AB137" s="192"/>
      <c r="AC137" s="192"/>
      <c r="AD137" s="192"/>
      <c r="AE137" s="192"/>
      <c r="AF137" s="192"/>
      <c r="AG137" s="192"/>
      <c r="AH137" s="192"/>
      <c r="AI137" s="192"/>
      <c r="AJ137" s="192"/>
      <c r="AK137" s="192"/>
      <c r="AL137" s="192"/>
      <c r="AM137" s="192"/>
    </row>
    <row r="138" spans="22:39" ht="22.5" customHeight="1" x14ac:dyDescent="1.1000000000000001">
      <c r="V138" s="192"/>
      <c r="W138" s="192"/>
      <c r="X138" s="192"/>
      <c r="Y138" s="192"/>
      <c r="Z138" s="192"/>
      <c r="AA138" s="192"/>
      <c r="AB138" s="192"/>
      <c r="AC138" s="192"/>
      <c r="AD138" s="192"/>
      <c r="AE138" s="192"/>
      <c r="AF138" s="192"/>
      <c r="AG138" s="192"/>
      <c r="AH138" s="192"/>
      <c r="AI138" s="192"/>
      <c r="AJ138" s="192"/>
      <c r="AK138" s="192"/>
      <c r="AL138" s="192"/>
      <c r="AM138" s="192"/>
    </row>
    <row r="139" spans="22:39" ht="22.5" customHeight="1" x14ac:dyDescent="1.1000000000000001"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  <c r="AK139" s="192"/>
      <c r="AL139" s="192"/>
      <c r="AM139" s="192"/>
    </row>
    <row r="140" spans="22:39" ht="22.5" customHeight="1" x14ac:dyDescent="1.1000000000000001">
      <c r="V140" s="192"/>
      <c r="W140" s="192"/>
      <c r="X140" s="192"/>
      <c r="Y140" s="192"/>
      <c r="Z140" s="192"/>
      <c r="AA140" s="192"/>
      <c r="AB140" s="192"/>
      <c r="AC140" s="192"/>
      <c r="AD140" s="192"/>
      <c r="AE140" s="192"/>
      <c r="AF140" s="192"/>
      <c r="AG140" s="192"/>
      <c r="AH140" s="192"/>
      <c r="AI140" s="192"/>
      <c r="AJ140" s="192"/>
      <c r="AK140" s="192"/>
      <c r="AL140" s="192"/>
      <c r="AM140" s="192"/>
    </row>
    <row r="141" spans="22:39" ht="22.5" customHeight="1" x14ac:dyDescent="1.1000000000000001"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  <c r="AF141" s="192"/>
      <c r="AG141" s="192"/>
      <c r="AH141" s="192"/>
      <c r="AI141" s="192"/>
      <c r="AJ141" s="192"/>
      <c r="AK141" s="192"/>
      <c r="AL141" s="192"/>
      <c r="AM141" s="192"/>
    </row>
    <row r="142" spans="22:39" ht="22.5" customHeight="1" x14ac:dyDescent="1.1000000000000001">
      <c r="V142" s="192"/>
      <c r="W142" s="192"/>
      <c r="X142" s="192"/>
      <c r="Y142" s="192"/>
      <c r="Z142" s="192"/>
      <c r="AA142" s="192"/>
      <c r="AB142" s="192"/>
      <c r="AC142" s="192"/>
      <c r="AD142" s="192"/>
      <c r="AE142" s="192"/>
      <c r="AF142" s="192"/>
      <c r="AG142" s="192"/>
      <c r="AH142" s="192"/>
      <c r="AI142" s="192"/>
      <c r="AJ142" s="192"/>
      <c r="AK142" s="192"/>
      <c r="AL142" s="192"/>
      <c r="AM142" s="192"/>
    </row>
    <row r="143" spans="22:39" ht="22.5" customHeight="1" x14ac:dyDescent="1.1000000000000001">
      <c r="V143" s="192"/>
      <c r="W143" s="192"/>
      <c r="X143" s="192"/>
      <c r="Y143" s="192"/>
      <c r="Z143" s="192"/>
      <c r="AA143" s="192"/>
      <c r="AB143" s="192"/>
      <c r="AC143" s="192"/>
      <c r="AD143" s="192"/>
      <c r="AE143" s="192"/>
      <c r="AF143" s="192"/>
      <c r="AG143" s="192"/>
      <c r="AH143" s="192"/>
      <c r="AI143" s="192"/>
      <c r="AJ143" s="192"/>
      <c r="AK143" s="192"/>
      <c r="AL143" s="192"/>
      <c r="AM143" s="192"/>
    </row>
    <row r="144" spans="22:39" ht="22.5" customHeight="1" x14ac:dyDescent="1.1000000000000001">
      <c r="V144" s="192"/>
      <c r="W144" s="192"/>
      <c r="X144" s="192"/>
      <c r="Y144" s="192"/>
      <c r="Z144" s="192"/>
      <c r="AA144" s="192"/>
      <c r="AB144" s="192"/>
      <c r="AC144" s="192"/>
      <c r="AD144" s="192"/>
      <c r="AE144" s="192"/>
      <c r="AF144" s="192"/>
      <c r="AG144" s="192"/>
      <c r="AH144" s="192"/>
      <c r="AI144" s="192"/>
      <c r="AJ144" s="192"/>
      <c r="AK144" s="192"/>
      <c r="AL144" s="192"/>
      <c r="AM144" s="192"/>
    </row>
    <row r="145" spans="22:39" ht="22.5" customHeight="1" x14ac:dyDescent="1.1000000000000001">
      <c r="V145" s="192"/>
      <c r="W145" s="192"/>
      <c r="X145" s="192"/>
      <c r="Y145" s="192"/>
      <c r="Z145" s="192"/>
      <c r="AA145" s="192"/>
      <c r="AB145" s="192"/>
      <c r="AC145" s="192"/>
      <c r="AD145" s="192"/>
      <c r="AE145" s="192"/>
      <c r="AF145" s="192"/>
      <c r="AG145" s="192"/>
      <c r="AH145" s="192"/>
      <c r="AI145" s="192"/>
      <c r="AJ145" s="192"/>
      <c r="AK145" s="192"/>
      <c r="AL145" s="192"/>
      <c r="AM145" s="192"/>
    </row>
    <row r="146" spans="22:39" ht="22.5" customHeight="1" x14ac:dyDescent="1.1000000000000001">
      <c r="V146" s="192"/>
      <c r="W146" s="192"/>
      <c r="X146" s="192"/>
      <c r="Y146" s="192"/>
      <c r="Z146" s="192"/>
      <c r="AA146" s="192"/>
      <c r="AB146" s="192"/>
      <c r="AC146" s="192"/>
      <c r="AD146" s="192"/>
      <c r="AE146" s="192"/>
      <c r="AF146" s="192"/>
      <c r="AG146" s="192"/>
      <c r="AH146" s="192"/>
      <c r="AI146" s="192"/>
      <c r="AJ146" s="192"/>
      <c r="AK146" s="192"/>
      <c r="AL146" s="192"/>
      <c r="AM146" s="192"/>
    </row>
    <row r="147" spans="22:39" ht="22.5" customHeight="1" x14ac:dyDescent="1.1000000000000001">
      <c r="V147" s="192"/>
      <c r="W147" s="192"/>
      <c r="X147" s="192"/>
      <c r="Y147" s="192"/>
      <c r="Z147" s="192"/>
      <c r="AA147" s="192"/>
      <c r="AB147" s="192"/>
      <c r="AC147" s="192"/>
      <c r="AD147" s="192"/>
      <c r="AE147" s="192"/>
      <c r="AF147" s="192"/>
      <c r="AG147" s="192"/>
      <c r="AH147" s="192"/>
      <c r="AI147" s="192"/>
      <c r="AJ147" s="192"/>
      <c r="AK147" s="192"/>
      <c r="AL147" s="192"/>
      <c r="AM147" s="192"/>
    </row>
    <row r="148" spans="22:39" ht="22.5" customHeight="1" x14ac:dyDescent="1.1000000000000001"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</row>
    <row r="149" spans="22:39" ht="22.5" customHeight="1" x14ac:dyDescent="1.1000000000000001"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  <c r="AK149" s="192"/>
      <c r="AL149" s="192"/>
      <c r="AM149" s="192"/>
    </row>
    <row r="150" spans="22:39" ht="22.5" customHeight="1" x14ac:dyDescent="1.1000000000000001"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</row>
    <row r="151" spans="22:39" ht="22.5" customHeight="1" x14ac:dyDescent="1.1000000000000001"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  <c r="AF151" s="192"/>
      <c r="AG151" s="192"/>
      <c r="AH151" s="192"/>
      <c r="AI151" s="192"/>
      <c r="AJ151" s="192"/>
      <c r="AK151" s="192"/>
      <c r="AL151" s="192"/>
      <c r="AM151" s="192"/>
    </row>
    <row r="152" spans="22:39" ht="22.5" customHeight="1" x14ac:dyDescent="1.1000000000000001"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  <c r="AF152" s="192"/>
      <c r="AG152" s="192"/>
      <c r="AH152" s="192"/>
      <c r="AI152" s="192"/>
      <c r="AJ152" s="192"/>
      <c r="AK152" s="192"/>
      <c r="AL152" s="192"/>
      <c r="AM152" s="192"/>
    </row>
    <row r="153" spans="22:39" ht="22.5" customHeight="1" x14ac:dyDescent="1.1000000000000001">
      <c r="V153" s="192"/>
      <c r="W153" s="192"/>
      <c r="X153" s="192"/>
      <c r="Y153" s="192"/>
      <c r="Z153" s="192"/>
      <c r="AA153" s="192"/>
      <c r="AB153" s="192"/>
      <c r="AC153" s="192"/>
      <c r="AD153" s="192"/>
      <c r="AE153" s="192"/>
      <c r="AF153" s="192"/>
      <c r="AG153" s="192"/>
      <c r="AH153" s="192"/>
      <c r="AI153" s="192"/>
      <c r="AJ153" s="192"/>
      <c r="AK153" s="192"/>
      <c r="AL153" s="192"/>
      <c r="AM153" s="192"/>
    </row>
    <row r="154" spans="22:39" ht="22.5" customHeight="1" x14ac:dyDescent="1.1000000000000001">
      <c r="V154" s="192"/>
      <c r="W154" s="192"/>
      <c r="X154" s="192"/>
      <c r="Y154" s="192"/>
      <c r="Z154" s="192"/>
      <c r="AA154" s="192"/>
      <c r="AB154" s="192"/>
      <c r="AC154" s="192"/>
      <c r="AD154" s="192"/>
      <c r="AE154" s="192"/>
      <c r="AF154" s="192"/>
      <c r="AG154" s="192"/>
      <c r="AH154" s="192"/>
      <c r="AI154" s="192"/>
      <c r="AJ154" s="192"/>
      <c r="AK154" s="192"/>
      <c r="AL154" s="192"/>
      <c r="AM154" s="192"/>
    </row>
    <row r="155" spans="22:39" ht="22.5" customHeight="1" x14ac:dyDescent="1.1000000000000001">
      <c r="V155" s="192"/>
      <c r="W155" s="192"/>
      <c r="X155" s="192"/>
      <c r="Y155" s="192"/>
      <c r="Z155" s="192"/>
      <c r="AA155" s="192"/>
      <c r="AB155" s="192"/>
      <c r="AC155" s="192"/>
      <c r="AD155" s="192"/>
      <c r="AE155" s="192"/>
      <c r="AF155" s="192"/>
      <c r="AG155" s="192"/>
      <c r="AH155" s="192"/>
      <c r="AI155" s="192"/>
      <c r="AJ155" s="192"/>
      <c r="AK155" s="192"/>
      <c r="AL155" s="192"/>
      <c r="AM155" s="192"/>
    </row>
    <row r="156" spans="22:39" ht="22.5" customHeight="1" x14ac:dyDescent="1.1000000000000001">
      <c r="V156" s="192"/>
      <c r="W156" s="192"/>
      <c r="X156" s="192"/>
      <c r="Y156" s="192"/>
      <c r="Z156" s="192"/>
      <c r="AA156" s="192"/>
      <c r="AB156" s="192"/>
      <c r="AC156" s="192"/>
      <c r="AD156" s="192"/>
      <c r="AE156" s="192"/>
      <c r="AF156" s="192"/>
      <c r="AG156" s="192"/>
      <c r="AH156" s="192"/>
      <c r="AI156" s="192"/>
      <c r="AJ156" s="192"/>
      <c r="AK156" s="192"/>
      <c r="AL156" s="192"/>
      <c r="AM156" s="192"/>
    </row>
    <row r="157" spans="22:39" ht="22.5" customHeight="1" x14ac:dyDescent="1.1000000000000001">
      <c r="V157" s="192"/>
      <c r="W157" s="192"/>
      <c r="X157" s="192"/>
      <c r="Y157" s="192"/>
      <c r="Z157" s="192"/>
      <c r="AA157" s="192"/>
      <c r="AB157" s="192"/>
      <c r="AC157" s="192"/>
      <c r="AD157" s="192"/>
      <c r="AE157" s="192"/>
      <c r="AF157" s="192"/>
      <c r="AG157" s="192"/>
      <c r="AH157" s="192"/>
      <c r="AI157" s="192"/>
      <c r="AJ157" s="192"/>
      <c r="AK157" s="192"/>
      <c r="AL157" s="192"/>
      <c r="AM157" s="192"/>
    </row>
    <row r="158" spans="22:39" ht="22.5" customHeight="1" x14ac:dyDescent="1.1000000000000001">
      <c r="V158" s="192"/>
      <c r="W158" s="192"/>
      <c r="X158" s="192"/>
      <c r="Y158" s="192"/>
      <c r="Z158" s="192"/>
      <c r="AA158" s="192"/>
      <c r="AB158" s="192"/>
      <c r="AC158" s="192"/>
      <c r="AD158" s="192"/>
      <c r="AE158" s="192"/>
      <c r="AF158" s="192"/>
      <c r="AG158" s="192"/>
      <c r="AH158" s="192"/>
      <c r="AI158" s="192"/>
      <c r="AJ158" s="192"/>
      <c r="AK158" s="192"/>
      <c r="AL158" s="192"/>
      <c r="AM158" s="192"/>
    </row>
  </sheetData>
  <mergeCells count="30">
    <mergeCell ref="E70:J70"/>
    <mergeCell ref="E76:J76"/>
    <mergeCell ref="D109:T109"/>
    <mergeCell ref="G17:O17"/>
    <mergeCell ref="P49:P50"/>
    <mergeCell ref="Q49:Q50"/>
    <mergeCell ref="E67:J68"/>
    <mergeCell ref="K67:K68"/>
    <mergeCell ref="L67:L68"/>
    <mergeCell ref="M67:M68"/>
    <mergeCell ref="N67:N68"/>
    <mergeCell ref="O67:O68"/>
    <mergeCell ref="P67:P68"/>
    <mergeCell ref="Q67:Q68"/>
    <mergeCell ref="E49:J50"/>
    <mergeCell ref="K49:K50"/>
    <mergeCell ref="L49:L50"/>
    <mergeCell ref="M49:M50"/>
    <mergeCell ref="N49:N50"/>
    <mergeCell ref="O49:O50"/>
    <mergeCell ref="D10:T12"/>
    <mergeCell ref="G14:O14"/>
    <mergeCell ref="G15:O15"/>
    <mergeCell ref="G16:O16"/>
    <mergeCell ref="G18:O18"/>
    <mergeCell ref="J26:J31"/>
    <mergeCell ref="K26:K31"/>
    <mergeCell ref="L26:L31"/>
    <mergeCell ref="M26:M31"/>
    <mergeCell ref="N26:N31"/>
  </mergeCells>
  <dataValidations count="1">
    <dataValidation type="list" allowBlank="1" showInputMessage="1" showErrorMessage="1" sqref="E37:E46 E53:E62" xr:uid="{B5B3313B-409E-4B21-8FF7-B9EA6A9C99A2}">
      <formula1>$V$23:$V$45</formula1>
    </dataValidation>
  </dataValidations>
  <printOptions horizontalCentered="1" verticalCentered="1"/>
  <pageMargins left="0.25" right="0.25" top="0.75" bottom="0.75" header="0.3" footer="0.3"/>
  <pageSetup paperSize="9" scale="2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59"/>
  <sheetViews>
    <sheetView topLeftCell="A7" workbookViewId="0">
      <selection activeCell="AA19" sqref="AA19"/>
    </sheetView>
  </sheetViews>
  <sheetFormatPr defaultColWidth="2.7265625" defaultRowHeight="13" x14ac:dyDescent="0.3"/>
  <cols>
    <col min="1" max="1" width="2.7265625" style="8" customWidth="1"/>
    <col min="2" max="2" width="2.7265625" style="9" customWidth="1"/>
    <col min="3" max="16384" width="2.7265625" style="8"/>
  </cols>
  <sheetData>
    <row r="2" spans="2:26" s="1" customFormat="1" ht="15.5" x14ac:dyDescent="0.35">
      <c r="B2" s="2" t="s">
        <v>18</v>
      </c>
    </row>
    <row r="3" spans="2:26" s="1" customFormat="1" ht="15.5" x14ac:dyDescent="0.35">
      <c r="B3" s="2" t="s">
        <v>19</v>
      </c>
    </row>
    <row r="4" spans="2:26" s="3" customFormat="1" ht="14" x14ac:dyDescent="0.3">
      <c r="B4" s="3" t="s">
        <v>20</v>
      </c>
      <c r="L4" s="4"/>
      <c r="M4" s="4"/>
      <c r="N4" s="4"/>
      <c r="O4" s="4"/>
      <c r="P4" s="4"/>
    </row>
    <row r="5" spans="2:26" s="3" customFormat="1" ht="14" x14ac:dyDescent="0.3">
      <c r="B5" s="5" t="s">
        <v>21</v>
      </c>
      <c r="L5" s="4"/>
      <c r="M5" s="4"/>
      <c r="N5" s="4"/>
      <c r="O5" s="4"/>
      <c r="P5" s="4"/>
      <c r="Q5" s="6"/>
      <c r="Z5" s="7"/>
    </row>
    <row r="6" spans="2:26" x14ac:dyDescent="0.3">
      <c r="B6" s="9" t="s">
        <v>22</v>
      </c>
    </row>
    <row r="7" spans="2:26" x14ac:dyDescent="0.3">
      <c r="G7" s="10"/>
      <c r="H7" s="11"/>
    </row>
    <row r="8" spans="2:26" x14ac:dyDescent="0.3">
      <c r="F8" s="12"/>
      <c r="G8" s="13"/>
      <c r="I8" s="11"/>
      <c r="L8" s="14"/>
    </row>
    <row r="9" spans="2:26" x14ac:dyDescent="0.3">
      <c r="E9" s="12"/>
      <c r="G9" s="13"/>
      <c r="J9" s="11"/>
      <c r="L9" s="15" t="s">
        <v>23</v>
      </c>
      <c r="M9" s="339">
        <v>26.2</v>
      </c>
      <c r="N9" s="339"/>
      <c r="O9" s="339"/>
      <c r="P9" s="339"/>
    </row>
    <row r="10" spans="2:26" x14ac:dyDescent="0.3">
      <c r="D10" s="12"/>
      <c r="G10" s="13"/>
      <c r="K10" s="11"/>
    </row>
    <row r="11" spans="2:26" x14ac:dyDescent="0.3">
      <c r="D11" s="16"/>
      <c r="G11" s="17"/>
      <c r="H11" s="18"/>
      <c r="L11" s="11"/>
    </row>
    <row r="12" spans="2:26" x14ac:dyDescent="0.3">
      <c r="D12" s="19"/>
      <c r="E12" s="11"/>
      <c r="F12" s="17"/>
      <c r="I12" s="18"/>
      <c r="M12" s="11"/>
    </row>
    <row r="13" spans="2:26" x14ac:dyDescent="0.3">
      <c r="D13" s="19"/>
      <c r="E13" s="17"/>
      <c r="F13" s="11"/>
      <c r="J13" s="18"/>
      <c r="N13" s="11"/>
    </row>
    <row r="14" spans="2:26" x14ac:dyDescent="0.3">
      <c r="D14" s="20"/>
      <c r="G14" s="11"/>
      <c r="K14" s="18"/>
      <c r="N14" s="21"/>
    </row>
    <row r="15" spans="2:26" x14ac:dyDescent="0.3">
      <c r="D15" s="11"/>
      <c r="H15" s="11"/>
      <c r="L15" s="18"/>
      <c r="M15" s="12"/>
      <c r="N15" s="22"/>
      <c r="P15" s="23" t="s">
        <v>24</v>
      </c>
      <c r="Q15" s="340">
        <f>ROUND(10/26.18033989*M9, 1)</f>
        <v>10</v>
      </c>
      <c r="R15" s="340"/>
      <c r="S15" s="340"/>
      <c r="T15" s="340"/>
    </row>
    <row r="16" spans="2:26" x14ac:dyDescent="0.3">
      <c r="E16" s="11"/>
      <c r="I16" s="11"/>
      <c r="L16" s="12"/>
      <c r="M16" s="18"/>
      <c r="N16" s="22"/>
    </row>
    <row r="17" spans="2:18" x14ac:dyDescent="0.3">
      <c r="F17" s="11"/>
      <c r="J17" s="11"/>
      <c r="K17" s="12"/>
      <c r="N17" s="24"/>
    </row>
    <row r="18" spans="2:18" x14ac:dyDescent="0.3">
      <c r="G18" s="11"/>
      <c r="J18" s="22"/>
      <c r="N18" s="12"/>
    </row>
    <row r="19" spans="2:18" x14ac:dyDescent="0.3">
      <c r="H19" s="11"/>
      <c r="J19" s="22"/>
      <c r="M19" s="12"/>
    </row>
    <row r="20" spans="2:18" x14ac:dyDescent="0.3">
      <c r="I20" s="11"/>
      <c r="J20" s="22"/>
      <c r="L20" s="12"/>
      <c r="N20" s="23" t="s">
        <v>25</v>
      </c>
      <c r="O20" s="340">
        <f>ROUND(16.18033989/26.18033989*M9, 1)</f>
        <v>16.2</v>
      </c>
      <c r="P20" s="340"/>
      <c r="Q20" s="340"/>
      <c r="R20" s="340"/>
    </row>
    <row r="21" spans="2:18" x14ac:dyDescent="0.3">
      <c r="J21" s="25"/>
      <c r="K21" s="12"/>
      <c r="M21" s="23"/>
    </row>
    <row r="22" spans="2:18" x14ac:dyDescent="0.3">
      <c r="M22" s="23"/>
    </row>
    <row r="23" spans="2:18" s="26" customFormat="1" x14ac:dyDescent="0.3">
      <c r="B23" s="27"/>
      <c r="M23" s="28"/>
    </row>
    <row r="24" spans="2:18" x14ac:dyDescent="0.3">
      <c r="B24" s="9" t="s">
        <v>26</v>
      </c>
    </row>
    <row r="25" spans="2:18" x14ac:dyDescent="0.3">
      <c r="G25" s="10"/>
      <c r="H25" s="11"/>
    </row>
    <row r="26" spans="2:18" x14ac:dyDescent="0.3">
      <c r="F26" s="12"/>
      <c r="G26" s="13"/>
      <c r="I26" s="11"/>
    </row>
    <row r="27" spans="2:18" x14ac:dyDescent="0.3">
      <c r="E27" s="12"/>
      <c r="G27" s="13"/>
      <c r="J27" s="11"/>
      <c r="L27" s="23" t="s">
        <v>23</v>
      </c>
      <c r="M27" s="340">
        <f>ROUND(26.18033989/10*Q33, 1)</f>
        <v>7.9</v>
      </c>
      <c r="N27" s="340"/>
      <c r="O27" s="340"/>
      <c r="P27" s="340"/>
    </row>
    <row r="28" spans="2:18" x14ac:dyDescent="0.3">
      <c r="D28" s="12"/>
      <c r="G28" s="13"/>
      <c r="K28" s="11"/>
    </row>
    <row r="29" spans="2:18" x14ac:dyDescent="0.3">
      <c r="D29" s="16"/>
      <c r="G29" s="17"/>
      <c r="H29" s="18"/>
      <c r="L29" s="11"/>
    </row>
    <row r="30" spans="2:18" x14ac:dyDescent="0.3">
      <c r="D30" s="19"/>
      <c r="E30" s="11"/>
      <c r="F30" s="17"/>
      <c r="I30" s="18"/>
      <c r="M30" s="11"/>
    </row>
    <row r="31" spans="2:18" x14ac:dyDescent="0.3">
      <c r="D31" s="19"/>
      <c r="E31" s="17"/>
      <c r="F31" s="11"/>
      <c r="J31" s="18"/>
      <c r="N31" s="11"/>
    </row>
    <row r="32" spans="2:18" x14ac:dyDescent="0.3">
      <c r="D32" s="20"/>
      <c r="G32" s="11"/>
      <c r="K32" s="18"/>
      <c r="N32" s="21"/>
      <c r="P32" s="14"/>
    </row>
    <row r="33" spans="2:20" x14ac:dyDescent="0.3">
      <c r="D33" s="11"/>
      <c r="H33" s="11"/>
      <c r="L33" s="18"/>
      <c r="M33" s="12"/>
      <c r="N33" s="22"/>
      <c r="P33" s="15" t="s">
        <v>24</v>
      </c>
      <c r="Q33" s="339">
        <v>3</v>
      </c>
      <c r="R33" s="339"/>
      <c r="S33" s="339"/>
      <c r="T33" s="339"/>
    </row>
    <row r="34" spans="2:20" x14ac:dyDescent="0.3">
      <c r="E34" s="11"/>
      <c r="I34" s="11"/>
      <c r="L34" s="12"/>
      <c r="M34" s="18"/>
      <c r="N34" s="22"/>
    </row>
    <row r="35" spans="2:20" x14ac:dyDescent="0.3">
      <c r="F35" s="11"/>
      <c r="J35" s="11"/>
      <c r="K35" s="12"/>
      <c r="N35" s="24"/>
    </row>
    <row r="36" spans="2:20" x14ac:dyDescent="0.3">
      <c r="G36" s="11"/>
      <c r="J36" s="22"/>
      <c r="N36" s="12"/>
    </row>
    <row r="37" spans="2:20" x14ac:dyDescent="0.3">
      <c r="H37" s="11"/>
      <c r="J37" s="22"/>
      <c r="M37" s="12"/>
    </row>
    <row r="38" spans="2:20" x14ac:dyDescent="0.3">
      <c r="I38" s="11"/>
      <c r="J38" s="22"/>
      <c r="L38" s="12"/>
      <c r="N38" s="23" t="s">
        <v>25</v>
      </c>
      <c r="O38" s="340">
        <f>ROUND(16.18033989/10*Q33, 1)</f>
        <v>4.9000000000000004</v>
      </c>
      <c r="P38" s="340"/>
      <c r="Q38" s="340"/>
      <c r="R38" s="340"/>
    </row>
    <row r="39" spans="2:20" x14ac:dyDescent="0.3">
      <c r="J39" s="25"/>
      <c r="K39" s="12"/>
      <c r="M39" s="23"/>
    </row>
    <row r="40" spans="2:20" x14ac:dyDescent="0.3">
      <c r="M40" s="23"/>
    </row>
    <row r="41" spans="2:20" s="26" customFormat="1" x14ac:dyDescent="0.3">
      <c r="B41" s="27"/>
      <c r="M41" s="28"/>
    </row>
    <row r="42" spans="2:20" x14ac:dyDescent="0.3">
      <c r="B42" s="9" t="s">
        <v>27</v>
      </c>
    </row>
    <row r="43" spans="2:20" x14ac:dyDescent="0.3">
      <c r="G43" s="10"/>
      <c r="H43" s="11"/>
    </row>
    <row r="44" spans="2:20" x14ac:dyDescent="0.3">
      <c r="F44" s="12"/>
      <c r="G44" s="13"/>
      <c r="I44" s="11"/>
    </row>
    <row r="45" spans="2:20" x14ac:dyDescent="0.3">
      <c r="E45" s="12"/>
      <c r="G45" s="13"/>
      <c r="J45" s="11"/>
      <c r="L45" s="23" t="s">
        <v>23</v>
      </c>
      <c r="M45" s="340">
        <f>ROUND(26.18033989/16.18033989*O56, 1)</f>
        <v>29.1</v>
      </c>
      <c r="N45" s="340"/>
      <c r="O45" s="340"/>
      <c r="P45" s="340"/>
    </row>
    <row r="46" spans="2:20" x14ac:dyDescent="0.3">
      <c r="D46" s="12"/>
      <c r="G46" s="13"/>
      <c r="K46" s="11"/>
    </row>
    <row r="47" spans="2:20" x14ac:dyDescent="0.3">
      <c r="D47" s="16"/>
      <c r="G47" s="17"/>
      <c r="H47" s="18"/>
      <c r="L47" s="11"/>
    </row>
    <row r="48" spans="2:20" x14ac:dyDescent="0.3">
      <c r="D48" s="19"/>
      <c r="E48" s="11"/>
      <c r="F48" s="17"/>
      <c r="I48" s="18"/>
      <c r="M48" s="11"/>
    </row>
    <row r="49" spans="2:20" x14ac:dyDescent="0.3">
      <c r="D49" s="19"/>
      <c r="E49" s="17"/>
      <c r="F49" s="11"/>
      <c r="J49" s="18"/>
      <c r="N49" s="11"/>
      <c r="P49" s="14"/>
    </row>
    <row r="50" spans="2:20" x14ac:dyDescent="0.3">
      <c r="D50" s="20"/>
      <c r="G50" s="11"/>
      <c r="K50" s="18"/>
      <c r="N50" s="21"/>
    </row>
    <row r="51" spans="2:20" x14ac:dyDescent="0.3">
      <c r="D51" s="11"/>
      <c r="H51" s="11"/>
      <c r="L51" s="18"/>
      <c r="M51" s="12"/>
      <c r="N51" s="22"/>
      <c r="P51" s="23" t="s">
        <v>24</v>
      </c>
      <c r="Q51" s="340">
        <f>ROUND(10/16.18033989*O56, 1)</f>
        <v>11.1</v>
      </c>
      <c r="R51" s="340"/>
      <c r="S51" s="340"/>
      <c r="T51" s="340"/>
    </row>
    <row r="52" spans="2:20" x14ac:dyDescent="0.3">
      <c r="E52" s="11"/>
      <c r="I52" s="11"/>
      <c r="L52" s="12"/>
      <c r="M52" s="18"/>
      <c r="N52" s="22"/>
    </row>
    <row r="53" spans="2:20" x14ac:dyDescent="0.3">
      <c r="F53" s="11"/>
      <c r="J53" s="11"/>
      <c r="K53" s="12"/>
      <c r="N53" s="24"/>
    </row>
    <row r="54" spans="2:20" x14ac:dyDescent="0.3">
      <c r="G54" s="11"/>
      <c r="J54" s="22"/>
      <c r="N54" s="12"/>
    </row>
    <row r="55" spans="2:20" x14ac:dyDescent="0.3">
      <c r="H55" s="11"/>
      <c r="J55" s="22"/>
      <c r="M55" s="12"/>
      <c r="N55" s="14"/>
    </row>
    <row r="56" spans="2:20" x14ac:dyDescent="0.3">
      <c r="I56" s="11"/>
      <c r="J56" s="22"/>
      <c r="L56" s="12"/>
      <c r="N56" s="15" t="s">
        <v>25</v>
      </c>
      <c r="O56" s="339">
        <v>18</v>
      </c>
      <c r="P56" s="339"/>
      <c r="Q56" s="339"/>
      <c r="R56" s="339"/>
    </row>
    <row r="57" spans="2:20" x14ac:dyDescent="0.3">
      <c r="J57" s="25"/>
      <c r="K57" s="12"/>
      <c r="M57" s="23"/>
    </row>
    <row r="59" spans="2:20" s="26" customFormat="1" x14ac:dyDescent="0.3">
      <c r="B59" s="27"/>
    </row>
  </sheetData>
  <mergeCells count="9">
    <mergeCell ref="M9:P9"/>
    <mergeCell ref="Q15:T15"/>
    <mergeCell ref="O20:R20"/>
    <mergeCell ref="M27:P27"/>
    <mergeCell ref="O56:R56"/>
    <mergeCell ref="Q33:T33"/>
    <mergeCell ref="O38:R38"/>
    <mergeCell ref="M45:P45"/>
    <mergeCell ref="Q51:T51"/>
  </mergeCells>
  <phoneticPr fontId="1" type="noConversion"/>
  <hyperlinks>
    <hyperlink ref="B5" r:id="rId1" xr:uid="{00000000-0004-0000-0000-000000000000}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9:AM146"/>
  <sheetViews>
    <sheetView tabSelected="1" zoomScale="34" zoomScaleNormal="40" workbookViewId="0">
      <selection activeCell="G14" sqref="G14:O14"/>
    </sheetView>
  </sheetViews>
  <sheetFormatPr defaultColWidth="12.26953125" defaultRowHeight="22.5" customHeight="1" x14ac:dyDescent="0.5"/>
  <cols>
    <col min="1" max="4" width="9.1796875" style="30" customWidth="1"/>
    <col min="5" max="5" width="38.26953125" style="30" customWidth="1"/>
    <col min="6" max="6" width="16.54296875" style="30" customWidth="1"/>
    <col min="7" max="7" width="23.54296875" style="30" customWidth="1"/>
    <col min="8" max="8" width="31.7265625" style="30" customWidth="1"/>
    <col min="9" max="9" width="16.26953125" style="30" customWidth="1"/>
    <col min="10" max="10" width="20.1796875" style="41" customWidth="1"/>
    <col min="11" max="11" width="12.26953125" style="41" customWidth="1"/>
    <col min="12" max="12" width="15.1796875" style="41" customWidth="1"/>
    <col min="13" max="13" width="16" style="41" customWidth="1"/>
    <col min="14" max="14" width="22.81640625" style="41" bestFit="1" customWidth="1"/>
    <col min="15" max="15" width="16" style="41" customWidth="1"/>
    <col min="16" max="17" width="16" style="30" customWidth="1"/>
    <col min="18" max="18" width="8.7265625" style="30" customWidth="1"/>
    <col min="19" max="19" width="6.1796875" style="30" customWidth="1"/>
    <col min="20" max="20" width="14.453125" style="30" customWidth="1"/>
    <col min="21" max="21" width="12.26953125" style="30"/>
    <col min="22" max="22" width="30.1796875" style="30" customWidth="1"/>
    <col min="23" max="23" width="38.1796875" style="30" customWidth="1"/>
    <col min="24" max="24" width="18.7265625" style="30" customWidth="1"/>
    <col min="25" max="25" width="15.1796875" style="30" customWidth="1"/>
    <col min="26" max="26" width="24.54296875" style="30" customWidth="1"/>
    <col min="27" max="31" width="15.54296875" style="30" customWidth="1"/>
    <col min="32" max="16384" width="12.26953125" style="30"/>
  </cols>
  <sheetData>
    <row r="9" spans="4:28" ht="22.5" customHeight="1" thickBot="1" x14ac:dyDescent="0.55000000000000004"/>
    <row r="10" spans="4:28" ht="22.5" customHeight="1" x14ac:dyDescent="0.5">
      <c r="D10" s="354" t="s">
        <v>73</v>
      </c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6"/>
    </row>
    <row r="11" spans="4:28" ht="22.5" customHeight="1" x14ac:dyDescent="0.5">
      <c r="D11" s="357"/>
      <c r="E11" s="358"/>
      <c r="F11" s="358"/>
      <c r="G11" s="358"/>
      <c r="H11" s="358"/>
      <c r="I11" s="358"/>
      <c r="J11" s="358"/>
      <c r="K11" s="358"/>
      <c r="L11" s="358"/>
      <c r="M11" s="358"/>
      <c r="N11" s="358"/>
      <c r="O11" s="358"/>
      <c r="P11" s="358"/>
      <c r="Q11" s="358"/>
      <c r="R11" s="358"/>
      <c r="S11" s="358"/>
      <c r="T11" s="359"/>
    </row>
    <row r="12" spans="4:28" ht="22.5" customHeight="1" thickBot="1" x14ac:dyDescent="0.55000000000000004">
      <c r="D12" s="360"/>
      <c r="E12" s="361"/>
      <c r="F12" s="361"/>
      <c r="G12" s="361"/>
      <c r="H12" s="361"/>
      <c r="I12" s="361"/>
      <c r="J12" s="361"/>
      <c r="K12" s="361"/>
      <c r="L12" s="361"/>
      <c r="M12" s="361"/>
      <c r="N12" s="361"/>
      <c r="O12" s="361"/>
      <c r="P12" s="361"/>
      <c r="Q12" s="361"/>
      <c r="R12" s="361"/>
      <c r="S12" s="361"/>
      <c r="T12" s="362"/>
      <c r="AB12" s="31"/>
    </row>
    <row r="13" spans="4:28" ht="22.5" customHeight="1" x14ac:dyDescent="0.5"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6"/>
    </row>
    <row r="14" spans="4:28" ht="39" customHeight="1" thickBot="1" x14ac:dyDescent="0.55000000000000004">
      <c r="D14" s="32"/>
      <c r="E14" s="30" t="s">
        <v>34</v>
      </c>
      <c r="G14" s="363"/>
      <c r="H14" s="363"/>
      <c r="I14" s="363"/>
      <c r="J14" s="363"/>
      <c r="K14" s="363"/>
      <c r="L14" s="363"/>
      <c r="M14" s="363"/>
      <c r="N14" s="363"/>
      <c r="O14" s="363"/>
      <c r="P14" s="30" t="s">
        <v>37</v>
      </c>
      <c r="T14" s="33"/>
    </row>
    <row r="15" spans="4:28" ht="39" customHeight="1" thickBot="1" x14ac:dyDescent="0.55000000000000004">
      <c r="D15" s="32"/>
      <c r="E15" s="30" t="s">
        <v>36</v>
      </c>
      <c r="G15" s="363"/>
      <c r="H15" s="363"/>
      <c r="I15" s="363"/>
      <c r="J15" s="363"/>
      <c r="K15" s="363"/>
      <c r="L15" s="363"/>
      <c r="M15" s="363"/>
      <c r="N15" s="363"/>
      <c r="O15" s="363"/>
      <c r="T15" s="33"/>
    </row>
    <row r="16" spans="4:28" ht="39" customHeight="1" thickBot="1" x14ac:dyDescent="0.55000000000000004">
      <c r="D16" s="32"/>
      <c r="E16" s="30" t="s">
        <v>35</v>
      </c>
      <c r="G16" s="364"/>
      <c r="H16" s="363"/>
      <c r="I16" s="363"/>
      <c r="J16" s="363"/>
      <c r="K16" s="363"/>
      <c r="L16" s="363"/>
      <c r="M16" s="363"/>
      <c r="N16" s="363"/>
      <c r="O16" s="363"/>
      <c r="T16" s="33"/>
      <c r="V16"/>
    </row>
    <row r="17" spans="4:36" ht="39" customHeight="1" thickBot="1" x14ac:dyDescent="0.55000000000000004">
      <c r="D17" s="32"/>
      <c r="E17" s="30" t="s">
        <v>97</v>
      </c>
      <c r="G17" s="365"/>
      <c r="H17" s="365"/>
      <c r="I17" s="365"/>
      <c r="J17" s="365"/>
      <c r="K17" s="365"/>
      <c r="L17" s="365"/>
      <c r="M17" s="365"/>
      <c r="N17" s="365"/>
      <c r="O17" s="365"/>
      <c r="T17" s="33"/>
    </row>
    <row r="18" spans="4:36" ht="114.75" customHeight="1" thickBot="1" x14ac:dyDescent="0.55000000000000004">
      <c r="D18" s="67"/>
      <c r="E18" s="68"/>
      <c r="F18" s="68"/>
      <c r="G18" s="68"/>
      <c r="H18" s="68"/>
      <c r="I18" s="68"/>
      <c r="J18" s="69"/>
      <c r="K18" s="69"/>
      <c r="L18" s="69"/>
      <c r="M18" s="69"/>
      <c r="N18" s="69"/>
      <c r="O18" s="69"/>
      <c r="P18" s="68"/>
      <c r="Q18" s="68"/>
      <c r="R18" s="68"/>
      <c r="S18" s="68"/>
      <c r="T18" s="70"/>
    </row>
    <row r="19" spans="4:36" ht="23" x14ac:dyDescent="0.5">
      <c r="D19" s="32"/>
      <c r="T19" s="33"/>
    </row>
    <row r="20" spans="4:36" ht="37.5" customHeight="1" thickBot="1" x14ac:dyDescent="0.65">
      <c r="D20" s="32"/>
      <c r="E20" s="39" t="s">
        <v>30</v>
      </c>
      <c r="T20" s="33"/>
      <c r="V20" s="39" t="s">
        <v>29</v>
      </c>
      <c r="Y20" s="40"/>
      <c r="Z20" s="41"/>
      <c r="AA20" s="41"/>
      <c r="AB20" s="41"/>
      <c r="AC20" s="41"/>
      <c r="AD20" s="42"/>
      <c r="AE20" s="42"/>
    </row>
    <row r="21" spans="4:36" ht="34.5" customHeight="1" thickBot="1" x14ac:dyDescent="0.55000000000000004">
      <c r="D21" s="32"/>
      <c r="E21" s="71" t="s">
        <v>6</v>
      </c>
      <c r="F21" s="122">
        <v>11.5</v>
      </c>
      <c r="G21" s="72" t="s">
        <v>9</v>
      </c>
      <c r="H21" s="73" t="s">
        <v>17</v>
      </c>
      <c r="I21" s="73"/>
      <c r="J21" s="74"/>
      <c r="K21" s="74"/>
      <c r="L21" s="75">
        <f>(2*F21*F22)+(2*F22*F23)+(2*F21*F23)</f>
        <v>407.5</v>
      </c>
      <c r="M21" s="76" t="s">
        <v>92</v>
      </c>
      <c r="P21" s="57"/>
      <c r="Q21" s="30" t="s">
        <v>38</v>
      </c>
      <c r="T21" s="33"/>
      <c r="V21" s="43"/>
      <c r="W21" s="44"/>
      <c r="X21" s="44"/>
      <c r="Y21" s="44"/>
      <c r="Z21" s="46">
        <v>125</v>
      </c>
      <c r="AA21" s="46">
        <v>250</v>
      </c>
      <c r="AB21" s="46">
        <v>500</v>
      </c>
      <c r="AC21" s="46" t="s">
        <v>1</v>
      </c>
      <c r="AD21" s="46" t="s">
        <v>2</v>
      </c>
      <c r="AE21" s="47" t="s">
        <v>3</v>
      </c>
    </row>
    <row r="22" spans="4:36" ht="34.5" customHeight="1" x14ac:dyDescent="0.5">
      <c r="D22" s="32"/>
      <c r="E22" s="32" t="s">
        <v>7</v>
      </c>
      <c r="F22" s="123">
        <v>12.5</v>
      </c>
      <c r="G22" s="40" t="s">
        <v>9</v>
      </c>
      <c r="H22" s="30" t="s">
        <v>10</v>
      </c>
      <c r="L22" s="77">
        <f>F21*F22*F23</f>
        <v>359.375</v>
      </c>
      <c r="M22" s="78" t="s">
        <v>93</v>
      </c>
      <c r="T22" s="33"/>
      <c r="V22" s="48" t="s">
        <v>118</v>
      </c>
      <c r="W22" s="49"/>
      <c r="X22" s="49"/>
      <c r="Y22" s="49"/>
      <c r="Z22" s="50">
        <v>0.05</v>
      </c>
      <c r="AA22" s="50">
        <v>0.24</v>
      </c>
      <c r="AB22" s="50">
        <v>0.68</v>
      </c>
      <c r="AC22" s="50">
        <v>0.89</v>
      </c>
      <c r="AD22" s="50">
        <v>0.83</v>
      </c>
      <c r="AE22" s="51">
        <v>0.77</v>
      </c>
      <c r="AJ22" s="34"/>
    </row>
    <row r="23" spans="4:36" ht="24.75" customHeight="1" thickBot="1" x14ac:dyDescent="0.55000000000000004">
      <c r="D23" s="32"/>
      <c r="E23" s="67" t="s">
        <v>8</v>
      </c>
      <c r="F23" s="124">
        <v>2.5</v>
      </c>
      <c r="G23" s="79" t="s">
        <v>9</v>
      </c>
      <c r="H23" s="68"/>
      <c r="I23" s="68"/>
      <c r="J23" s="69"/>
      <c r="K23" s="69"/>
      <c r="L23" s="69"/>
      <c r="M23" s="80"/>
      <c r="P23" s="81" t="s">
        <v>39</v>
      </c>
      <c r="Q23" s="30" t="s">
        <v>40</v>
      </c>
      <c r="T23" s="33"/>
      <c r="V23" s="48" t="s">
        <v>54</v>
      </c>
      <c r="W23" s="49"/>
      <c r="X23" s="49"/>
      <c r="Y23" s="49"/>
      <c r="Z23" s="50">
        <v>0.4</v>
      </c>
      <c r="AA23" s="50">
        <v>0.3</v>
      </c>
      <c r="AB23" s="50">
        <v>0.2</v>
      </c>
      <c r="AC23" s="50">
        <v>0.2</v>
      </c>
      <c r="AD23" s="50">
        <v>0.15</v>
      </c>
      <c r="AE23" s="51">
        <v>0.1</v>
      </c>
      <c r="AJ23" s="34"/>
    </row>
    <row r="24" spans="4:36" ht="23.5" thickBot="1" x14ac:dyDescent="0.55000000000000004">
      <c r="D24" s="32"/>
      <c r="T24" s="33"/>
      <c r="V24" s="48" t="s">
        <v>46</v>
      </c>
      <c r="W24" s="49"/>
      <c r="X24" s="49"/>
      <c r="Y24" s="49"/>
      <c r="Z24" s="50">
        <v>0.05</v>
      </c>
      <c r="AA24" s="50">
        <v>0.03</v>
      </c>
      <c r="AB24" s="50">
        <v>0.06</v>
      </c>
      <c r="AC24" s="50">
        <v>0.09</v>
      </c>
      <c r="AD24" s="50">
        <v>0.1</v>
      </c>
      <c r="AE24" s="51">
        <v>0.2</v>
      </c>
      <c r="AJ24" s="34"/>
    </row>
    <row r="25" spans="4:36" ht="28.5" customHeight="1" x14ac:dyDescent="0.5">
      <c r="D25" s="32"/>
      <c r="E25" s="71" t="s">
        <v>11</v>
      </c>
      <c r="F25" s="73"/>
      <c r="G25" s="75">
        <f>F23*F21</f>
        <v>28.75</v>
      </c>
      <c r="H25" s="72" t="s">
        <v>92</v>
      </c>
      <c r="I25" s="73"/>
      <c r="J25" s="366">
        <f>SUM(G25:G30)</f>
        <v>407.5</v>
      </c>
      <c r="K25" s="341" t="s">
        <v>92</v>
      </c>
      <c r="L25" s="370">
        <f>G25+G26+G27+G29+G30</f>
        <v>263.75</v>
      </c>
      <c r="M25" s="344" t="s">
        <v>92</v>
      </c>
      <c r="N25" s="374" t="s">
        <v>28</v>
      </c>
      <c r="O25" s="30"/>
      <c r="T25" s="33"/>
      <c r="V25" s="48" t="s">
        <v>5</v>
      </c>
      <c r="W25" s="49"/>
      <c r="X25" s="49"/>
      <c r="Y25" s="49"/>
      <c r="Z25" s="50">
        <v>0.03</v>
      </c>
      <c r="AA25" s="50">
        <v>0.03</v>
      </c>
      <c r="AB25" s="50">
        <v>0.03</v>
      </c>
      <c r="AC25" s="50">
        <v>0.04</v>
      </c>
      <c r="AD25" s="50">
        <v>0.05</v>
      </c>
      <c r="AE25" s="51">
        <v>7.0000000000000007E-2</v>
      </c>
      <c r="AJ25" s="34"/>
    </row>
    <row r="26" spans="4:36" ht="28.5" customHeight="1" x14ac:dyDescent="0.5">
      <c r="D26" s="32"/>
      <c r="E26" s="32" t="s">
        <v>12</v>
      </c>
      <c r="G26" s="77">
        <f>F23*F21</f>
        <v>28.75</v>
      </c>
      <c r="H26" s="40" t="s">
        <v>92</v>
      </c>
      <c r="J26" s="367"/>
      <c r="K26" s="369"/>
      <c r="L26" s="371"/>
      <c r="M26" s="373"/>
      <c r="N26" s="375"/>
      <c r="O26" s="30"/>
      <c r="P26" s="82"/>
      <c r="T26" s="33"/>
      <c r="V26" s="48" t="s">
        <v>45</v>
      </c>
      <c r="W26" s="49"/>
      <c r="X26" s="49"/>
      <c r="Y26" s="49"/>
      <c r="Z26" s="50">
        <v>0.3</v>
      </c>
      <c r="AA26" s="50">
        <v>0.1</v>
      </c>
      <c r="AB26" s="50">
        <v>0.05</v>
      </c>
      <c r="AC26" s="50">
        <v>0.04</v>
      </c>
      <c r="AD26" s="50">
        <v>7.0000000000000007E-2</v>
      </c>
      <c r="AE26" s="51">
        <v>0.1</v>
      </c>
      <c r="AJ26" s="34"/>
    </row>
    <row r="27" spans="4:36" ht="28.5" customHeight="1" x14ac:dyDescent="0.5">
      <c r="D27" s="32"/>
      <c r="E27" s="32" t="s">
        <v>13</v>
      </c>
      <c r="G27" s="77">
        <f>F21*F22</f>
        <v>143.75</v>
      </c>
      <c r="H27" s="40" t="s">
        <v>92</v>
      </c>
      <c r="J27" s="367"/>
      <c r="K27" s="369"/>
      <c r="L27" s="371"/>
      <c r="M27" s="373"/>
      <c r="N27" s="375"/>
      <c r="O27" s="30"/>
      <c r="T27" s="33"/>
      <c r="V27" s="48" t="s">
        <v>32</v>
      </c>
      <c r="W27" s="49"/>
      <c r="X27" s="49"/>
      <c r="Y27" s="49"/>
      <c r="Z27" s="50">
        <v>0.02</v>
      </c>
      <c r="AA27" s="50">
        <v>0.06</v>
      </c>
      <c r="AB27" s="50">
        <v>0.15</v>
      </c>
      <c r="AC27" s="50">
        <v>0.4</v>
      </c>
      <c r="AD27" s="50">
        <v>0.6</v>
      </c>
      <c r="AE27" s="51">
        <v>0.6</v>
      </c>
      <c r="AJ27" s="34"/>
    </row>
    <row r="28" spans="4:36" ht="28.5" customHeight="1" x14ac:dyDescent="0.5">
      <c r="D28" s="32"/>
      <c r="E28" s="32" t="s">
        <v>0</v>
      </c>
      <c r="G28" s="77">
        <f>F21*F22</f>
        <v>143.75</v>
      </c>
      <c r="H28" s="40" t="s">
        <v>92</v>
      </c>
      <c r="J28" s="367"/>
      <c r="K28" s="369"/>
      <c r="L28" s="371"/>
      <c r="M28" s="373"/>
      <c r="N28" s="375"/>
      <c r="O28" s="30"/>
      <c r="T28" s="33"/>
      <c r="V28" s="48" t="s">
        <v>41</v>
      </c>
      <c r="W28" s="49"/>
      <c r="X28" s="49"/>
      <c r="Y28" s="49"/>
      <c r="Z28" s="50">
        <v>7.0000000000000007E-2</v>
      </c>
      <c r="AA28" s="50">
        <v>0.3</v>
      </c>
      <c r="AB28" s="50">
        <v>0.5</v>
      </c>
      <c r="AC28" s="50">
        <v>0.7</v>
      </c>
      <c r="AD28" s="50">
        <v>0.7</v>
      </c>
      <c r="AE28" s="51">
        <v>0.6</v>
      </c>
      <c r="AJ28" s="34"/>
    </row>
    <row r="29" spans="4:36" ht="28.5" customHeight="1" x14ac:dyDescent="0.5">
      <c r="D29" s="32"/>
      <c r="E29" s="32" t="s">
        <v>14</v>
      </c>
      <c r="G29" s="77">
        <f>F22*F23</f>
        <v>31.25</v>
      </c>
      <c r="H29" s="40" t="s">
        <v>92</v>
      </c>
      <c r="J29" s="367"/>
      <c r="K29" s="369"/>
      <c r="L29" s="371"/>
      <c r="M29" s="373"/>
      <c r="N29" s="375"/>
      <c r="O29" s="30"/>
      <c r="T29" s="33"/>
      <c r="V29" s="52" t="s">
        <v>49</v>
      </c>
      <c r="W29" s="53"/>
      <c r="X29" s="53"/>
      <c r="Y29" s="53"/>
      <c r="Z29" s="54">
        <v>0.05</v>
      </c>
      <c r="AA29" s="54">
        <v>0.1</v>
      </c>
      <c r="AB29" s="54">
        <v>0.1</v>
      </c>
      <c r="AC29" s="54">
        <v>0.1</v>
      </c>
      <c r="AD29" s="54">
        <v>7.0000000000000007E-2</v>
      </c>
      <c r="AE29" s="55">
        <v>0.02</v>
      </c>
      <c r="AJ29" s="34"/>
    </row>
    <row r="30" spans="4:36" ht="28.5" customHeight="1" thickBot="1" x14ac:dyDescent="0.55000000000000004">
      <c r="D30" s="32"/>
      <c r="E30" s="67" t="s">
        <v>15</v>
      </c>
      <c r="F30" s="68"/>
      <c r="G30" s="83">
        <f>F22*F23</f>
        <v>31.25</v>
      </c>
      <c r="H30" s="79" t="s">
        <v>92</v>
      </c>
      <c r="I30" s="68"/>
      <c r="J30" s="368"/>
      <c r="K30" s="342"/>
      <c r="L30" s="372"/>
      <c r="M30" s="347"/>
      <c r="N30" s="376"/>
      <c r="O30" s="30"/>
      <c r="T30" s="33"/>
      <c r="V30" s="56" t="s">
        <v>44</v>
      </c>
      <c r="W30" s="57"/>
      <c r="X30" s="57"/>
      <c r="Y30" s="57"/>
      <c r="Z30" s="58">
        <v>0.02</v>
      </c>
      <c r="AA30" s="58">
        <v>0.03</v>
      </c>
      <c r="AB30" s="58">
        <v>0.03</v>
      </c>
      <c r="AC30" s="58">
        <v>0.03</v>
      </c>
      <c r="AD30" s="58">
        <v>0.03</v>
      </c>
      <c r="AE30" s="59">
        <v>0.02</v>
      </c>
      <c r="AJ30" s="34"/>
    </row>
    <row r="31" spans="4:36" s="35" customFormat="1" ht="28.5" customHeight="1" x14ac:dyDescent="0.5">
      <c r="D31" s="84"/>
      <c r="G31" s="85"/>
      <c r="H31" s="86"/>
      <c r="J31" s="87"/>
      <c r="K31" s="88"/>
      <c r="L31" s="87"/>
      <c r="M31" s="89"/>
      <c r="N31" s="90"/>
      <c r="T31" s="91"/>
      <c r="V31" s="48" t="s">
        <v>42</v>
      </c>
      <c r="W31" s="49"/>
      <c r="X31" s="49"/>
      <c r="Y31" s="49"/>
      <c r="Z31" s="50">
        <v>0.3</v>
      </c>
      <c r="AA31" s="50">
        <v>0.2</v>
      </c>
      <c r="AB31" s="50">
        <v>0.2</v>
      </c>
      <c r="AC31" s="50">
        <v>0.1</v>
      </c>
      <c r="AD31" s="50">
        <v>7.0000000000000007E-2</v>
      </c>
      <c r="AE31" s="51">
        <v>0.04</v>
      </c>
      <c r="AJ31" s="34"/>
    </row>
    <row r="32" spans="4:36" s="35" customFormat="1" ht="28.5" customHeight="1" thickBot="1" x14ac:dyDescent="0.65">
      <c r="D32" s="32"/>
      <c r="E32" s="39" t="s">
        <v>31</v>
      </c>
      <c r="F32" s="30"/>
      <c r="G32" s="30"/>
      <c r="H32" s="30"/>
      <c r="I32" s="40"/>
      <c r="J32" s="41"/>
      <c r="K32" s="41"/>
      <c r="L32" s="41"/>
      <c r="M32" s="41"/>
      <c r="N32" s="41"/>
      <c r="O32" s="41"/>
      <c r="P32" s="30"/>
      <c r="Q32" s="30"/>
      <c r="R32" s="30"/>
      <c r="S32" s="30"/>
      <c r="T32" s="33"/>
      <c r="V32" s="56" t="s">
        <v>43</v>
      </c>
      <c r="W32" s="57"/>
      <c r="X32" s="57"/>
      <c r="Y32" s="57"/>
      <c r="Z32" s="58">
        <v>0.67</v>
      </c>
      <c r="AA32" s="58">
        <v>0.96</v>
      </c>
      <c r="AB32" s="58">
        <v>0.81</v>
      </c>
      <c r="AC32" s="58">
        <v>0.66</v>
      </c>
      <c r="AD32" s="58">
        <v>0.53</v>
      </c>
      <c r="AE32" s="59">
        <v>0.49</v>
      </c>
      <c r="AJ32" s="34"/>
    </row>
    <row r="33" spans="4:36" s="35" customFormat="1" ht="28.5" customHeight="1" thickBot="1" x14ac:dyDescent="0.55000000000000004">
      <c r="D33" s="32"/>
      <c r="E33" s="71"/>
      <c r="F33" s="73"/>
      <c r="G33" s="73"/>
      <c r="H33" s="73"/>
      <c r="I33" s="72"/>
      <c r="J33" s="92"/>
      <c r="K33" s="73"/>
      <c r="L33" s="93">
        <v>125</v>
      </c>
      <c r="M33" s="93">
        <v>250</v>
      </c>
      <c r="N33" s="93">
        <v>500</v>
      </c>
      <c r="O33" s="93" t="s">
        <v>1</v>
      </c>
      <c r="P33" s="93" t="s">
        <v>2</v>
      </c>
      <c r="Q33" s="93" t="s">
        <v>3</v>
      </c>
      <c r="R33" s="73"/>
      <c r="S33" s="94"/>
      <c r="T33" s="33"/>
      <c r="V33" s="56" t="s">
        <v>50</v>
      </c>
      <c r="W33" s="57"/>
      <c r="X33" s="57"/>
      <c r="Y33" s="57"/>
      <c r="Z33" s="58">
        <v>0.37</v>
      </c>
      <c r="AA33" s="58">
        <v>0.7</v>
      </c>
      <c r="AB33" s="58">
        <v>0.73</v>
      </c>
      <c r="AC33" s="58">
        <v>1.17</v>
      </c>
      <c r="AD33" s="58">
        <v>1.28</v>
      </c>
      <c r="AE33" s="59">
        <v>1.39</v>
      </c>
      <c r="AF33" s="35" t="s">
        <v>84</v>
      </c>
      <c r="AJ33" s="34"/>
    </row>
    <row r="34" spans="4:36" s="35" customFormat="1" ht="28.5" customHeight="1" x14ac:dyDescent="0.5">
      <c r="D34" s="32"/>
      <c r="E34" s="95" t="s">
        <v>51</v>
      </c>
      <c r="F34" s="96"/>
      <c r="G34" s="96"/>
      <c r="H34" s="97"/>
      <c r="I34" s="98">
        <f>L21</f>
        <v>407.5</v>
      </c>
      <c r="J34" s="99" t="s">
        <v>92</v>
      </c>
      <c r="K34" s="73"/>
      <c r="L34" s="74"/>
      <c r="M34" s="74"/>
      <c r="N34" s="74"/>
      <c r="O34" s="74"/>
      <c r="P34" s="74"/>
      <c r="Q34" s="74"/>
      <c r="R34" s="73"/>
      <c r="S34" s="94"/>
      <c r="T34" s="33"/>
      <c r="V34" s="56" t="s">
        <v>63</v>
      </c>
      <c r="W34" s="57"/>
      <c r="X34" s="57"/>
      <c r="Y34" s="57"/>
      <c r="Z34" s="58">
        <v>0.41</v>
      </c>
      <c r="AA34" s="58">
        <v>0.39</v>
      </c>
      <c r="AB34" s="58">
        <v>0.7</v>
      </c>
      <c r="AC34" s="58">
        <v>0.93</v>
      </c>
      <c r="AD34" s="58">
        <v>0.89</v>
      </c>
      <c r="AE34" s="59">
        <v>0.65</v>
      </c>
      <c r="AF34" s="35" t="s">
        <v>85</v>
      </c>
      <c r="AJ34" s="34"/>
    </row>
    <row r="35" spans="4:36" s="35" customFormat="1" ht="28.5" customHeight="1" x14ac:dyDescent="0.5">
      <c r="D35" s="32"/>
      <c r="E35" s="100"/>
      <c r="F35" s="40"/>
      <c r="G35" s="40"/>
      <c r="H35" s="40"/>
      <c r="I35" s="77"/>
      <c r="J35" s="78"/>
      <c r="K35" s="30"/>
      <c r="L35" s="41"/>
      <c r="M35" s="41"/>
      <c r="N35" s="41"/>
      <c r="O35" s="41"/>
      <c r="P35" s="41"/>
      <c r="Q35" s="41"/>
      <c r="R35" s="30"/>
      <c r="S35" s="33"/>
      <c r="T35" s="33"/>
      <c r="V35" s="48" t="s">
        <v>96</v>
      </c>
      <c r="W35" s="49"/>
      <c r="X35" s="49"/>
      <c r="Y35" s="49"/>
      <c r="Z35" s="54">
        <v>0.01</v>
      </c>
      <c r="AA35" s="54">
        <v>0.1</v>
      </c>
      <c r="AB35" s="54">
        <v>0.47</v>
      </c>
      <c r="AC35" s="54">
        <v>0.53</v>
      </c>
      <c r="AD35" s="54">
        <v>0.64</v>
      </c>
      <c r="AE35" s="55">
        <v>0.74</v>
      </c>
      <c r="AF35" s="35" t="s">
        <v>86</v>
      </c>
      <c r="AJ35" s="34"/>
    </row>
    <row r="36" spans="4:36" s="35" customFormat="1" ht="28.5" customHeight="1" x14ac:dyDescent="0.5">
      <c r="D36" s="32"/>
      <c r="E36" s="142" t="s">
        <v>45</v>
      </c>
      <c r="F36" s="40"/>
      <c r="G36" s="30" t="s">
        <v>69</v>
      </c>
      <c r="H36" s="101"/>
      <c r="I36" s="125">
        <f>G27</f>
        <v>143.75</v>
      </c>
      <c r="J36" s="78" t="s">
        <v>92</v>
      </c>
      <c r="K36" s="30"/>
      <c r="L36" s="41">
        <f>VLOOKUP(E36,alpha,5,FALSE)*I36</f>
        <v>43.125</v>
      </c>
      <c r="M36" s="41">
        <f>VLOOKUP($E$36,alpha,6,FALSE)*I36</f>
        <v>14.375</v>
      </c>
      <c r="N36" s="41">
        <f>VLOOKUP($E$36,alpha,7,FALSE)*I36</f>
        <v>7.1875</v>
      </c>
      <c r="O36" s="41">
        <f>VLOOKUP($E$36,$V$21:$AE$43,8,FALSE)*I36</f>
        <v>5.75</v>
      </c>
      <c r="P36" s="41">
        <f>VLOOKUP($E$36,$V$21:$AE$43,9,FALSE)*I36</f>
        <v>10.062500000000002</v>
      </c>
      <c r="Q36" s="41">
        <f>VLOOKUP($E$36,$V$21:$AE$43,10,FALSE)*I36</f>
        <v>14.375</v>
      </c>
      <c r="R36" s="30"/>
      <c r="S36" s="33"/>
      <c r="T36" s="33"/>
      <c r="V36" s="48" t="s">
        <v>66</v>
      </c>
      <c r="W36" s="49"/>
      <c r="X36" s="49"/>
      <c r="Y36" s="49"/>
      <c r="Z36" s="54">
        <v>0.1</v>
      </c>
      <c r="AA36" s="54">
        <v>0.3</v>
      </c>
      <c r="AB36" s="54">
        <v>0.37</v>
      </c>
      <c r="AC36" s="54">
        <v>0.4</v>
      </c>
      <c r="AD36" s="54">
        <v>0.4</v>
      </c>
      <c r="AE36" s="55">
        <v>0.4</v>
      </c>
      <c r="AF36" s="35" t="s">
        <v>87</v>
      </c>
      <c r="AJ36" s="34"/>
    </row>
    <row r="37" spans="4:36" s="35" customFormat="1" ht="28.5" customHeight="1" x14ac:dyDescent="0.5">
      <c r="D37" s="32"/>
      <c r="E37" s="142" t="s">
        <v>45</v>
      </c>
      <c r="F37" s="40"/>
      <c r="G37" s="30" t="s">
        <v>70</v>
      </c>
      <c r="H37" s="101"/>
      <c r="I37" s="126">
        <f>SUM(G25,G26,G29,G30)-I39</f>
        <v>120</v>
      </c>
      <c r="J37" s="78" t="s">
        <v>92</v>
      </c>
      <c r="K37" s="30"/>
      <c r="L37" s="41">
        <f>VLOOKUP($E$37,$V$21:$AE$43,5,FALSE)*I37</f>
        <v>36</v>
      </c>
      <c r="M37" s="41">
        <f>VLOOKUP($E$37,$V$21:$AE$43,6,FALSE)*I37</f>
        <v>12</v>
      </c>
      <c r="N37" s="41">
        <f>VLOOKUP($E$37,$V$21:$AE$43,7,FALSE)*I37</f>
        <v>6</v>
      </c>
      <c r="O37" s="41">
        <f>VLOOKUP($E$37,$V$21:$AE$43,8,FALSE)*I37</f>
        <v>4.8</v>
      </c>
      <c r="P37" s="41">
        <f>VLOOKUP($E$37,$V$21:$AE$43,9,FALSE)*I37</f>
        <v>8.4</v>
      </c>
      <c r="Q37" s="41">
        <f>VLOOKUP($E$37,$V$21:$AE$43,10,FALSE)*I37</f>
        <v>12</v>
      </c>
      <c r="R37" s="30"/>
      <c r="S37" s="33"/>
      <c r="T37" s="33"/>
      <c r="V37" s="48" t="s">
        <v>68</v>
      </c>
      <c r="W37" s="49"/>
      <c r="X37" s="49"/>
      <c r="Y37" s="49"/>
      <c r="Z37" s="54">
        <v>0</v>
      </c>
      <c r="AA37" s="54">
        <v>0.08</v>
      </c>
      <c r="AB37" s="54">
        <v>0.21</v>
      </c>
      <c r="AC37" s="54">
        <v>0.46</v>
      </c>
      <c r="AD37" s="54">
        <v>0.69</v>
      </c>
      <c r="AE37" s="55">
        <v>0.79</v>
      </c>
      <c r="AF37" s="35" t="s">
        <v>88</v>
      </c>
      <c r="AJ37" s="34"/>
    </row>
    <row r="38" spans="4:36" s="35" customFormat="1" ht="28.5" customHeight="1" x14ac:dyDescent="0.5">
      <c r="D38" s="32"/>
      <c r="E38" s="142" t="s">
        <v>44</v>
      </c>
      <c r="F38" s="40"/>
      <c r="G38" s="30" t="s">
        <v>55</v>
      </c>
      <c r="H38" s="101"/>
      <c r="I38" s="126">
        <f>G28-I40</f>
        <v>143.75</v>
      </c>
      <c r="J38" s="78" t="s">
        <v>92</v>
      </c>
      <c r="K38" s="30"/>
      <c r="L38" s="41">
        <f>VLOOKUP($E$38,$V$21:$AE$43,5,FALSE)*$I$38</f>
        <v>2.875</v>
      </c>
      <c r="M38" s="41">
        <f>VLOOKUP($E$38,$V$21:$AE$43,6,FALSE)*$I$38</f>
        <v>4.3125</v>
      </c>
      <c r="N38" s="41">
        <f>VLOOKUP($E$38,$V$21:$AE$43,7,FALSE)*$I$38</f>
        <v>4.3125</v>
      </c>
      <c r="O38" s="41">
        <f>VLOOKUP($E$38,$V$21:$AE$43,8,FALSE)*$I$38</f>
        <v>4.3125</v>
      </c>
      <c r="P38" s="41">
        <f>VLOOKUP($E$38,$V$21:$AE$43,9,FALSE)*$I$38</f>
        <v>4.3125</v>
      </c>
      <c r="Q38" s="41">
        <f>VLOOKUP($E$38,$V$21:$AE$43,10,FALSE)*$I$38</f>
        <v>2.875</v>
      </c>
      <c r="R38" s="30"/>
      <c r="S38" s="33"/>
      <c r="T38" s="33"/>
      <c r="V38" s="48" t="s">
        <v>95</v>
      </c>
      <c r="W38" s="49"/>
      <c r="X38" s="49"/>
      <c r="Y38" s="49"/>
      <c r="Z38" s="54">
        <v>0.2</v>
      </c>
      <c r="AA38" s="54">
        <v>0.68</v>
      </c>
      <c r="AB38" s="54">
        <v>0.87</v>
      </c>
      <c r="AC38" s="54">
        <v>1</v>
      </c>
      <c r="AD38" s="54">
        <v>1</v>
      </c>
      <c r="AE38" s="55">
        <v>0.95</v>
      </c>
      <c r="AF38" s="35" t="s">
        <v>89</v>
      </c>
      <c r="AJ38" s="34"/>
    </row>
    <row r="39" spans="4:36" s="35" customFormat="1" ht="28.5" customHeight="1" x14ac:dyDescent="0.5">
      <c r="D39" s="32"/>
      <c r="E39" s="142" t="s">
        <v>95</v>
      </c>
      <c r="F39" s="40"/>
      <c r="G39" s="30" t="s">
        <v>116</v>
      </c>
      <c r="H39" s="101"/>
      <c r="I39" s="125">
        <v>0</v>
      </c>
      <c r="J39" s="78" t="s">
        <v>92</v>
      </c>
      <c r="K39" s="30"/>
      <c r="L39" s="41">
        <f>VLOOKUP($E$39,$V$21:$AE$43,5,FALSE)*$I$39</f>
        <v>0</v>
      </c>
      <c r="M39" s="41">
        <f>VLOOKUP($E$39,$V$21:$AE$43,6,FALSE)*$I$39</f>
        <v>0</v>
      </c>
      <c r="N39" s="41">
        <f>VLOOKUP($E$39,$V$21:$AE$43,7,FALSE)*$I$39</f>
        <v>0</v>
      </c>
      <c r="O39" s="41">
        <f>VLOOKUP($E$39,$V$21:$AE$43,8,FALSE)*$I$39</f>
        <v>0</v>
      </c>
      <c r="P39" s="41">
        <f>VLOOKUP($E$39,$V$21:$AE$43,9,FALSE)*$I$39</f>
        <v>0</v>
      </c>
      <c r="Q39" s="41">
        <f>VLOOKUP($E$39,$V$21:$AE$43,10,FALSE)*$I$39</f>
        <v>0</v>
      </c>
      <c r="R39" s="30"/>
      <c r="S39" s="33"/>
      <c r="T39" s="33"/>
      <c r="V39" s="48" t="s">
        <v>71</v>
      </c>
      <c r="W39" s="49"/>
      <c r="X39" s="49"/>
      <c r="Y39" s="49"/>
      <c r="Z39" s="54">
        <v>0</v>
      </c>
      <c r="AA39" s="54">
        <v>0.12</v>
      </c>
      <c r="AB39" s="54">
        <v>0.27</v>
      </c>
      <c r="AC39" s="54">
        <v>0.6</v>
      </c>
      <c r="AD39" s="54">
        <v>0.81</v>
      </c>
      <c r="AE39" s="55">
        <v>0.93</v>
      </c>
      <c r="AF39" s="35" t="s">
        <v>90</v>
      </c>
      <c r="AJ39" s="34"/>
    </row>
    <row r="40" spans="4:36" s="35" customFormat="1" ht="28.5" customHeight="1" x14ac:dyDescent="0.5">
      <c r="D40" s="32"/>
      <c r="E40" s="142" t="s">
        <v>43</v>
      </c>
      <c r="F40" s="40"/>
      <c r="G40" s="30" t="s">
        <v>117</v>
      </c>
      <c r="H40" s="101"/>
      <c r="I40" s="126">
        <v>0</v>
      </c>
      <c r="J40" s="78" t="s">
        <v>92</v>
      </c>
      <c r="K40" s="30"/>
      <c r="L40" s="41">
        <f>VLOOKUP($E$40,$V$21:$AE$43,5,FALSE)*$I$40</f>
        <v>0</v>
      </c>
      <c r="M40" s="41">
        <f>VLOOKUP($E$40,$V$21:$AE$43,6,FALSE)*$I$40</f>
        <v>0</v>
      </c>
      <c r="N40" s="41">
        <f>VLOOKUP($E$40,$V$21:$AE$43,7,FALSE)*$I$40</f>
        <v>0</v>
      </c>
      <c r="O40" s="41">
        <f>VLOOKUP(E40,$V$21:$AE$43,8,FALSE)*I40</f>
        <v>0</v>
      </c>
      <c r="P40" s="41">
        <f>VLOOKUP(E40,$V$21:$AE$43,9,FALSE)*I40</f>
        <v>0</v>
      </c>
      <c r="Q40" s="41">
        <f>VLOOKUP(E40,$V$21:$AE$43,10,FALSE)*I40</f>
        <v>0</v>
      </c>
      <c r="R40" s="30"/>
      <c r="S40" s="33"/>
      <c r="T40" s="33"/>
      <c r="V40" s="56" t="s">
        <v>44</v>
      </c>
      <c r="W40" s="57"/>
      <c r="X40" s="57"/>
      <c r="Y40" s="57"/>
      <c r="Z40" s="58">
        <v>0.02</v>
      </c>
      <c r="AA40" s="58">
        <v>0.03</v>
      </c>
      <c r="AB40" s="58">
        <v>0.03</v>
      </c>
      <c r="AC40" s="58">
        <v>0.03</v>
      </c>
      <c r="AD40" s="58">
        <v>0.03</v>
      </c>
      <c r="AE40" s="59">
        <v>0.02</v>
      </c>
      <c r="AF40" s="35" t="s">
        <v>91</v>
      </c>
      <c r="AJ40" s="34"/>
    </row>
    <row r="41" spans="4:36" s="35" customFormat="1" ht="28.5" customHeight="1" thickBot="1" x14ac:dyDescent="0.55000000000000004">
      <c r="D41" s="32"/>
      <c r="E41" s="142" t="s">
        <v>44</v>
      </c>
      <c r="F41" s="40"/>
      <c r="G41" s="30"/>
      <c r="H41" s="101"/>
      <c r="I41" s="126">
        <v>0</v>
      </c>
      <c r="J41" s="78" t="s">
        <v>92</v>
      </c>
      <c r="K41" s="30"/>
      <c r="L41" s="41">
        <f>VLOOKUP($E$41,$V$21:$AE$43,5,FALSE)*$I$41</f>
        <v>0</v>
      </c>
      <c r="M41" s="41">
        <f>VLOOKUP($E$41,$V$21:$AE$43,6,FALSE)*$I$41</f>
        <v>0</v>
      </c>
      <c r="N41" s="41">
        <f>VLOOKUP($E$41,$V$21:$AE$43,7,FALSE)*$I$41</f>
        <v>0</v>
      </c>
      <c r="O41" s="41">
        <f>VLOOKUP(E41,$V$21:$AE$43,8,FALSE)*I41</f>
        <v>0</v>
      </c>
      <c r="P41" s="41">
        <f>VLOOKUP(E41,$V$21:$AE$43,9,FALSE)*I41</f>
        <v>0</v>
      </c>
      <c r="Q41" s="41">
        <f>VLOOKUP(E41,$V$21:$AE$43,10,FALSE)*I41</f>
        <v>0</v>
      </c>
      <c r="R41" s="30"/>
      <c r="S41" s="33"/>
      <c r="T41" s="33"/>
      <c r="V41" s="60" t="s">
        <v>53</v>
      </c>
      <c r="W41" s="61"/>
      <c r="X41" s="61"/>
      <c r="Y41" s="61"/>
      <c r="Z41" s="62">
        <v>7.0000000000000007E-2</v>
      </c>
      <c r="AA41" s="62">
        <v>0.34</v>
      </c>
      <c r="AB41" s="62">
        <v>0.66</v>
      </c>
      <c r="AC41" s="62">
        <v>0.9</v>
      </c>
      <c r="AD41" s="62">
        <v>0.86</v>
      </c>
      <c r="AE41" s="63">
        <v>0.74</v>
      </c>
    </row>
    <row r="42" spans="4:36" s="35" customFormat="1" ht="28.5" customHeight="1" x14ac:dyDescent="0.5">
      <c r="D42" s="32"/>
      <c r="E42" s="142" t="s">
        <v>46</v>
      </c>
      <c r="F42" s="40"/>
      <c r="G42" s="30"/>
      <c r="H42" s="101"/>
      <c r="I42" s="126">
        <v>0</v>
      </c>
      <c r="J42" s="78" t="s">
        <v>92</v>
      </c>
      <c r="K42" s="30"/>
      <c r="L42" s="41">
        <f>VLOOKUP($E$42,$V$21:$AE$43,5,FALSE)*$I$42</f>
        <v>0</v>
      </c>
      <c r="M42" s="41">
        <f>VLOOKUP($E$42,$V$21:$AE$43,6,FALSE)*$I$42</f>
        <v>0</v>
      </c>
      <c r="N42" s="41">
        <f>VLOOKUP($E$42,$V$21:$AE$43,7,FALSE)*$I$42</f>
        <v>0</v>
      </c>
      <c r="O42" s="41">
        <f>VLOOKUP(E42,$V$21:$AE$43,8,FALSE)*I42</f>
        <v>0</v>
      </c>
      <c r="P42" s="41">
        <f>VLOOKUP(E42,$V$21:$AE$43,9,FALSE)*I42</f>
        <v>0</v>
      </c>
      <c r="Q42" s="41">
        <f>VLOOKUP(E42,$V$21:$AE$43,10,FALSE)*I42</f>
        <v>0</v>
      </c>
      <c r="R42" s="30"/>
      <c r="S42" s="33"/>
      <c r="T42" s="33"/>
      <c r="V42" s="56"/>
      <c r="W42" s="57"/>
      <c r="X42" s="57"/>
      <c r="Y42" s="57"/>
      <c r="Z42" s="58"/>
      <c r="AA42" s="58"/>
      <c r="AB42" s="58"/>
      <c r="AC42" s="58"/>
      <c r="AD42" s="58"/>
      <c r="AE42" s="59"/>
    </row>
    <row r="43" spans="4:36" s="35" customFormat="1" ht="28.5" customHeight="1" thickBot="1" x14ac:dyDescent="0.55000000000000004">
      <c r="D43" s="32"/>
      <c r="E43" s="142" t="s">
        <v>46</v>
      </c>
      <c r="F43" s="40"/>
      <c r="G43" s="30"/>
      <c r="H43" s="101"/>
      <c r="I43" s="126">
        <v>0</v>
      </c>
      <c r="J43" s="78" t="s">
        <v>92</v>
      </c>
      <c r="K43" s="30"/>
      <c r="L43" s="41">
        <f>VLOOKUP($E$43,$V$21:$AE$43,5,FALSE)*$I$43</f>
        <v>0</v>
      </c>
      <c r="M43" s="41">
        <f>VLOOKUP($E$43,$V$21:$AE$43,6,FALSE)*$I$43</f>
        <v>0</v>
      </c>
      <c r="N43" s="41">
        <f>VLOOKUP($E$43,$V$21:$AE$43,7,FALSE)*$I$43</f>
        <v>0</v>
      </c>
      <c r="O43" s="41">
        <f>VLOOKUP(E43,$V$21:$AE$43,8,FALSE)*I43</f>
        <v>0</v>
      </c>
      <c r="P43" s="41">
        <f>VLOOKUP(E43,$V$21:$AE$43,9,FALSE)*I43</f>
        <v>0</v>
      </c>
      <c r="Q43" s="41">
        <f>VLOOKUP(E43,$V$21:$AE$43,10,FALSE)*I43</f>
        <v>0</v>
      </c>
      <c r="R43" s="30"/>
      <c r="S43" s="33"/>
      <c r="T43" s="33"/>
      <c r="V43" s="60"/>
      <c r="W43" s="61"/>
      <c r="X43" s="61"/>
      <c r="Y43" s="61"/>
      <c r="Z43" s="62"/>
      <c r="AA43" s="62"/>
      <c r="AB43" s="62"/>
      <c r="AC43" s="62"/>
      <c r="AD43" s="62"/>
      <c r="AE43" s="63"/>
    </row>
    <row r="44" spans="4:36" s="35" customFormat="1" ht="28.5" customHeight="1" x14ac:dyDescent="0.5">
      <c r="D44" s="32"/>
      <c r="E44" s="142" t="s">
        <v>5</v>
      </c>
      <c r="F44" s="40"/>
      <c r="G44" s="30"/>
      <c r="H44" s="101"/>
      <c r="I44" s="126">
        <v>0</v>
      </c>
      <c r="J44" s="78" t="s">
        <v>92</v>
      </c>
      <c r="K44" s="30"/>
      <c r="L44" s="41">
        <f>VLOOKUP($E$44,$V$21:$AE$43,5,FALSE)*$I$44</f>
        <v>0</v>
      </c>
      <c r="M44" s="41">
        <f>VLOOKUP($E$44,$V$21:$AE$43,6,FALSE)*$I$44</f>
        <v>0</v>
      </c>
      <c r="N44" s="41">
        <f>VLOOKUP($E$44,$V$21:$AE$43,7,FALSE)*$I$44</f>
        <v>0</v>
      </c>
      <c r="O44" s="41">
        <f>VLOOKUP(E44,$V$21:$AE$43,8,FALSE)*I44</f>
        <v>0</v>
      </c>
      <c r="P44" s="41">
        <f>VLOOKUP(E44,$V$21:$AE$43,9,FALSE)*I44</f>
        <v>0</v>
      </c>
      <c r="Q44" s="41">
        <f>VLOOKUP(E44,$V$21:$AE$43,10,FALSE)*I44</f>
        <v>0</v>
      </c>
      <c r="R44" s="30"/>
      <c r="S44" s="33"/>
      <c r="T44" s="33"/>
      <c r="V44" s="30"/>
      <c r="W44" s="30"/>
      <c r="X44" s="30"/>
      <c r="Y44" s="30"/>
      <c r="Z44" s="30"/>
      <c r="AA44" s="30"/>
      <c r="AB44" s="30"/>
      <c r="AC44" s="30"/>
      <c r="AD44" s="30"/>
      <c r="AE44" s="30"/>
    </row>
    <row r="45" spans="4:36" s="35" customFormat="1" ht="28.5" customHeight="1" x14ac:dyDescent="0.5">
      <c r="D45" s="32"/>
      <c r="E45" s="142" t="s">
        <v>32</v>
      </c>
      <c r="F45" s="40"/>
      <c r="G45" s="30"/>
      <c r="H45" s="101"/>
      <c r="I45" s="126">
        <v>0</v>
      </c>
      <c r="J45" s="78" t="s">
        <v>92</v>
      </c>
      <c r="K45" s="30"/>
      <c r="L45" s="41">
        <f>VLOOKUP($E$45,$V$21:$AE$43,5,FALSE)*$I$45</f>
        <v>0</v>
      </c>
      <c r="M45" s="41">
        <f>VLOOKUP($E$45,$V$21:$AE$43,6,FALSE)*$I$45</f>
        <v>0</v>
      </c>
      <c r="N45" s="41">
        <f>VLOOKUP($E$45,$V$21:$AE$43,7,FALSE)*$I$45</f>
        <v>0</v>
      </c>
      <c r="O45" s="41">
        <f>VLOOKUP(E45,$V$21:$AE$43,8,FALSE)*I45</f>
        <v>0</v>
      </c>
      <c r="P45" s="41">
        <f>VLOOKUP(E45,$V$21:$AE$43,9,FALSE)*I45</f>
        <v>0</v>
      </c>
      <c r="Q45" s="41">
        <f>VLOOKUP(E45,$V$21:$AE$43,10,FALSE)*I45</f>
        <v>0</v>
      </c>
      <c r="R45" s="30"/>
      <c r="S45" s="33"/>
      <c r="T45" s="33"/>
      <c r="V45" s="30"/>
      <c r="W45" s="30"/>
      <c r="X45" s="30"/>
      <c r="Y45" s="30"/>
      <c r="Z45" s="30"/>
      <c r="AA45" s="30"/>
      <c r="AB45" s="30"/>
      <c r="AC45" s="30"/>
      <c r="AD45" s="30"/>
      <c r="AE45" s="30"/>
    </row>
    <row r="46" spans="4:36" s="35" customFormat="1" ht="28.5" customHeight="1" thickBot="1" x14ac:dyDescent="0.55000000000000004">
      <c r="D46" s="32"/>
      <c r="E46" s="143"/>
      <c r="F46" s="68"/>
      <c r="G46" s="68"/>
      <c r="H46" s="68"/>
      <c r="I46" s="83">
        <v>0</v>
      </c>
      <c r="J46" s="102"/>
      <c r="K46" s="30"/>
      <c r="L46" s="69"/>
      <c r="M46" s="69"/>
      <c r="N46" s="69"/>
      <c r="O46" s="69"/>
      <c r="P46" s="69"/>
      <c r="Q46" s="69"/>
      <c r="R46" s="68"/>
      <c r="S46" s="70"/>
      <c r="T46" s="33"/>
      <c r="V46" s="30"/>
      <c r="W46" s="30"/>
      <c r="X46" s="30"/>
      <c r="Y46" s="30"/>
      <c r="Z46" s="30"/>
      <c r="AA46" s="30"/>
      <c r="AB46" s="30"/>
      <c r="AC46" s="30"/>
      <c r="AD46" s="30"/>
      <c r="AE46" s="30"/>
    </row>
    <row r="47" spans="4:36" s="35" customFormat="1" ht="28.5" customHeight="1" thickBot="1" x14ac:dyDescent="0.55000000000000004">
      <c r="D47" s="32"/>
      <c r="E47" s="67" t="s">
        <v>47</v>
      </c>
      <c r="F47" s="44"/>
      <c r="G47" s="44"/>
      <c r="H47" s="44"/>
      <c r="I47" s="103">
        <f>SUM(I36:I46)</f>
        <v>407.5</v>
      </c>
      <c r="J47" s="102" t="s">
        <v>92</v>
      </c>
      <c r="K47" s="43"/>
      <c r="L47" s="104"/>
      <c r="M47" s="104"/>
      <c r="N47" s="104"/>
      <c r="O47" s="104"/>
      <c r="P47" s="104"/>
      <c r="Q47" s="104"/>
      <c r="R47" s="44"/>
      <c r="S47" s="45"/>
      <c r="T47" s="33"/>
      <c r="V47" s="30"/>
      <c r="W47" s="30"/>
      <c r="X47" s="30"/>
      <c r="Y47" s="30"/>
      <c r="Z47" s="30"/>
      <c r="AA47" s="30"/>
      <c r="AB47" s="30"/>
      <c r="AC47" s="30"/>
      <c r="AD47" s="30"/>
      <c r="AE47" s="30"/>
    </row>
    <row r="48" spans="4:36" s="35" customFormat="1" ht="28.5" customHeight="1" x14ac:dyDescent="0.5">
      <c r="D48" s="32"/>
      <c r="E48" s="343" t="s">
        <v>33</v>
      </c>
      <c r="F48" s="344"/>
      <c r="G48" s="344"/>
      <c r="H48" s="344"/>
      <c r="I48" s="344"/>
      <c r="J48" s="345"/>
      <c r="K48" s="349"/>
      <c r="L48" s="341">
        <f>SUM(L36:L45)</f>
        <v>82</v>
      </c>
      <c r="M48" s="341">
        <f>SUM(M36:M45)</f>
        <v>30.6875</v>
      </c>
      <c r="N48" s="341">
        <f>SUM(N36:N45)</f>
        <v>17.5</v>
      </c>
      <c r="O48" s="341">
        <f>SUM(O36:O46)</f>
        <v>14.862500000000001</v>
      </c>
      <c r="P48" s="341">
        <f>SUM(P36:P46)</f>
        <v>22.775000000000002</v>
      </c>
      <c r="Q48" s="341">
        <f>SUM(Q36:Q46)</f>
        <v>29.25</v>
      </c>
      <c r="R48" s="30"/>
      <c r="S48" s="30"/>
      <c r="T48" s="33"/>
      <c r="V48" s="30"/>
      <c r="W48" s="30"/>
      <c r="X48" s="30"/>
      <c r="Y48" s="30"/>
      <c r="Z48" s="30"/>
      <c r="AA48" s="30"/>
      <c r="AB48" s="30"/>
      <c r="AC48" s="30"/>
      <c r="AD48" s="30"/>
      <c r="AE48" s="30"/>
    </row>
    <row r="49" spans="4:39" s="35" customFormat="1" ht="28.5" customHeight="1" thickBot="1" x14ac:dyDescent="0.55000000000000004">
      <c r="D49" s="32"/>
      <c r="E49" s="346"/>
      <c r="F49" s="347"/>
      <c r="G49" s="347"/>
      <c r="H49" s="347"/>
      <c r="I49" s="347"/>
      <c r="J49" s="348"/>
      <c r="K49" s="350"/>
      <c r="L49" s="342"/>
      <c r="M49" s="342"/>
      <c r="N49" s="342"/>
      <c r="O49" s="342"/>
      <c r="P49" s="342"/>
      <c r="Q49" s="342"/>
      <c r="R49" s="30"/>
      <c r="S49" s="30"/>
      <c r="T49" s="33"/>
      <c r="V49" s="30"/>
      <c r="W49" s="30">
        <f>0.5*(3.2+5.7)*17</f>
        <v>75.650000000000006</v>
      </c>
      <c r="X49" s="30"/>
      <c r="Y49" s="30"/>
      <c r="Z49" s="30"/>
      <c r="AA49" s="30"/>
      <c r="AB49" s="30"/>
      <c r="AC49" s="30"/>
      <c r="AD49" s="30"/>
      <c r="AE49" s="30"/>
    </row>
    <row r="50" spans="4:39" s="35" customFormat="1" ht="28.5" customHeight="1" x14ac:dyDescent="0.5">
      <c r="D50" s="32"/>
      <c r="E50" s="95" t="s">
        <v>52</v>
      </c>
      <c r="F50" s="96"/>
      <c r="G50" s="96"/>
      <c r="H50" s="97"/>
      <c r="I50" s="98">
        <f>J25</f>
        <v>407.5</v>
      </c>
      <c r="J50" s="99" t="s">
        <v>92</v>
      </c>
      <c r="K50" s="73"/>
      <c r="L50" s="74"/>
      <c r="M50" s="74"/>
      <c r="N50" s="74"/>
      <c r="O50" s="74"/>
      <c r="P50" s="74"/>
      <c r="Q50" s="74"/>
      <c r="R50" s="73"/>
      <c r="S50" s="94"/>
      <c r="T50" s="33"/>
      <c r="V50" s="30"/>
      <c r="W50" s="30">
        <f>18*4.5</f>
        <v>81</v>
      </c>
      <c r="X50" s="30"/>
      <c r="Y50" s="30"/>
      <c r="Z50" s="30"/>
      <c r="AA50" s="30"/>
      <c r="AB50" s="30"/>
      <c r="AC50" s="30"/>
      <c r="AD50" s="30"/>
      <c r="AE50" s="30"/>
    </row>
    <row r="51" spans="4:39" s="35" customFormat="1" ht="28.5" customHeight="1" x14ac:dyDescent="0.5">
      <c r="D51" s="32"/>
      <c r="E51" s="100"/>
      <c r="F51" s="40"/>
      <c r="G51" s="40"/>
      <c r="H51" s="40"/>
      <c r="I51" s="77"/>
      <c r="J51" s="78"/>
      <c r="K51" s="30"/>
      <c r="L51" s="41"/>
      <c r="M51" s="41"/>
      <c r="N51" s="41"/>
      <c r="O51" s="41"/>
      <c r="P51" s="41"/>
      <c r="Q51" s="41"/>
      <c r="R51" s="30"/>
      <c r="S51" s="33"/>
      <c r="T51" s="33"/>
      <c r="V51" s="30"/>
      <c r="W51" s="30"/>
      <c r="X51" s="30"/>
      <c r="Y51" s="36"/>
      <c r="Z51" s="37"/>
      <c r="AA51" s="37"/>
      <c r="AB51" s="37"/>
      <c r="AC51" s="30"/>
      <c r="AD51" s="30"/>
      <c r="AE51" s="30"/>
    </row>
    <row r="52" spans="4:39" s="35" customFormat="1" ht="28.5" customHeight="1" x14ac:dyDescent="0.5">
      <c r="D52" s="32"/>
      <c r="E52" s="142" t="s">
        <v>96</v>
      </c>
      <c r="F52" s="40"/>
      <c r="G52" s="40" t="s">
        <v>75</v>
      </c>
      <c r="H52" s="101"/>
      <c r="I52" s="133">
        <f>G27-ar_2</f>
        <v>143.75</v>
      </c>
      <c r="J52" s="78" t="s">
        <v>92</v>
      </c>
      <c r="K52" s="30"/>
      <c r="L52" s="41">
        <f>VLOOKUP(mat_1,alpha1,5,FALSE)*ar_1</f>
        <v>1.4375</v>
      </c>
      <c r="M52" s="41">
        <f>VLOOKUP(mat_1,alpha1,6,FALSE)*I52</f>
        <v>14.375</v>
      </c>
      <c r="N52" s="41">
        <f>VLOOKUP(mat_1,alpha1,7,FALSE)*I52</f>
        <v>67.5625</v>
      </c>
      <c r="O52" s="41">
        <f>VLOOKUP(E52,alpha1,8,FALSE)*I52</f>
        <v>76.1875</v>
      </c>
      <c r="P52" s="41">
        <f>VLOOKUP(E52,alpha1,9,FALSE)*I52</f>
        <v>92</v>
      </c>
      <c r="Q52" s="41">
        <f>VLOOKUP(E52,alpha1,10,FALSE)*I52</f>
        <v>106.375</v>
      </c>
      <c r="R52" s="30"/>
      <c r="S52" s="33"/>
      <c r="T52" s="33"/>
      <c r="V52" s="30"/>
      <c r="W52" s="30"/>
      <c r="X52" s="30"/>
      <c r="Y52" s="30"/>
      <c r="Z52" s="37"/>
      <c r="AA52" s="37"/>
      <c r="AB52" s="37"/>
      <c r="AC52" s="30"/>
      <c r="AD52" s="30"/>
      <c r="AE52" s="30"/>
    </row>
    <row r="53" spans="4:39" s="35" customFormat="1" ht="28.5" customHeight="1" x14ac:dyDescent="0.5">
      <c r="D53" s="32"/>
      <c r="E53" s="142" t="s">
        <v>95</v>
      </c>
      <c r="F53" s="40"/>
      <c r="G53" s="40" t="s">
        <v>74</v>
      </c>
      <c r="H53" s="101"/>
      <c r="I53" s="126">
        <v>0</v>
      </c>
      <c r="J53" s="78" t="s">
        <v>92</v>
      </c>
      <c r="K53" s="30"/>
      <c r="L53" s="41">
        <f>VLOOKUP(mat_2,alpha,5,FALSE)*ar_2</f>
        <v>0</v>
      </c>
      <c r="M53" s="41">
        <f>VLOOKUP(E53,alpha1,6,FALSE)*I53</f>
        <v>0</v>
      </c>
      <c r="N53" s="41">
        <f>VLOOKUP(E53,alpha1,7,FALSE)*I53</f>
        <v>0</v>
      </c>
      <c r="O53" s="41">
        <f>VLOOKUP(E53,alpha1,8,FALSE)*I53</f>
        <v>0</v>
      </c>
      <c r="P53" s="41">
        <f>VLOOKUP(E53,alpha1,9,FALSE)*I53</f>
        <v>0</v>
      </c>
      <c r="Q53" s="41">
        <f>VLOOKUP(E53,alpha1,10,FALSE)*I53</f>
        <v>0</v>
      </c>
      <c r="R53" s="30"/>
      <c r="S53" s="33"/>
      <c r="T53" s="33"/>
      <c r="V53" s="30"/>
      <c r="W53" s="30"/>
      <c r="X53" s="30"/>
      <c r="Y53" s="30"/>
      <c r="Z53" s="37"/>
      <c r="AA53" s="37"/>
      <c r="AB53" s="37"/>
      <c r="AC53" s="30"/>
      <c r="AD53" s="30"/>
      <c r="AE53" s="30"/>
    </row>
    <row r="54" spans="4:39" s="35" customFormat="1" ht="28.5" customHeight="1" x14ac:dyDescent="0.5">
      <c r="D54" s="32"/>
      <c r="E54" s="142" t="s">
        <v>45</v>
      </c>
      <c r="F54" s="40"/>
      <c r="G54" s="40" t="s">
        <v>82</v>
      </c>
      <c r="H54" s="101"/>
      <c r="I54" s="133">
        <f>G25-ar_11</f>
        <v>28.75</v>
      </c>
      <c r="J54" s="78" t="s">
        <v>92</v>
      </c>
      <c r="K54" s="30"/>
      <c r="L54" s="41">
        <f>VLOOKUP(mat_3,alpha1,5,FALSE)*ar_3</f>
        <v>8.625</v>
      </c>
      <c r="M54" s="41">
        <f>VLOOKUP(mat_3,alpha1,6,FALSE)*ar_3</f>
        <v>2.875</v>
      </c>
      <c r="N54" s="41">
        <f>VLOOKUP(mat_3,alpha1,7,FALSE)*ar_3</f>
        <v>1.4375</v>
      </c>
      <c r="O54" s="41">
        <f>VLOOKUP(mat_3,alpha1,8,FALSE)*ar_3</f>
        <v>1.1500000000000001</v>
      </c>
      <c r="P54" s="41">
        <f>VLOOKUP(mat_3,alpha1,9,FALSE)*ar_3</f>
        <v>2.0125000000000002</v>
      </c>
      <c r="Q54" s="41">
        <f>VLOOKUP(mat_3,alpha1,10,FALSE)*ar_3</f>
        <v>2.875</v>
      </c>
      <c r="R54" s="30"/>
      <c r="S54" s="33"/>
      <c r="T54" s="33"/>
      <c r="V54" s="30"/>
      <c r="W54" s="30"/>
      <c r="X54" s="30"/>
      <c r="Y54" s="30"/>
      <c r="Z54" s="37"/>
      <c r="AA54" s="37"/>
      <c r="AB54" s="37"/>
      <c r="AC54" s="30"/>
      <c r="AD54" s="30"/>
      <c r="AE54" s="30"/>
    </row>
    <row r="55" spans="4:39" s="35" customFormat="1" ht="28.5" customHeight="1" x14ac:dyDescent="0.5">
      <c r="D55" s="32"/>
      <c r="E55" s="142" t="s">
        <v>95</v>
      </c>
      <c r="F55" s="40"/>
      <c r="G55" s="40" t="s">
        <v>83</v>
      </c>
      <c r="H55" s="101"/>
      <c r="I55" s="126">
        <v>0</v>
      </c>
      <c r="J55" s="78" t="s">
        <v>92</v>
      </c>
      <c r="K55" s="30"/>
      <c r="L55" s="41">
        <f>VLOOKUP(mat_11,alpha1,5,FALSE)*ar_11</f>
        <v>0</v>
      </c>
      <c r="M55" s="41">
        <f>VLOOKUP(mat_11,alpha1,6,FALSE)*ar_11</f>
        <v>0</v>
      </c>
      <c r="N55" s="41">
        <f>VLOOKUP(mat_11,alpha1,7,FALSE)*ar_11</f>
        <v>0</v>
      </c>
      <c r="O55" s="41">
        <f>VLOOKUP(mat_11,alpha1,8,FALSE)*ar_11</f>
        <v>0</v>
      </c>
      <c r="P55" s="41">
        <f>VLOOKUP(mat_11,alpha1,9,FALSE)*ar_11</f>
        <v>0</v>
      </c>
      <c r="Q55" s="41">
        <f>VLOOKUP(mat_11,alpha1,10,FALSE)*ar_11</f>
        <v>0</v>
      </c>
      <c r="R55" s="30"/>
      <c r="S55" s="33"/>
      <c r="T55" s="33"/>
      <c r="V55" s="30"/>
      <c r="W55" s="30"/>
      <c r="X55" s="30"/>
      <c r="Y55" s="30"/>
      <c r="Z55" s="37"/>
      <c r="AA55" s="37"/>
      <c r="AB55" s="37"/>
      <c r="AC55" s="30"/>
      <c r="AD55" s="30"/>
      <c r="AE55" s="30"/>
    </row>
    <row r="56" spans="4:39" s="35" customFormat="1" ht="28.5" customHeight="1" x14ac:dyDescent="0.5">
      <c r="D56" s="32"/>
      <c r="E56" s="142" t="s">
        <v>45</v>
      </c>
      <c r="F56" s="40"/>
      <c r="G56" s="40" t="s">
        <v>76</v>
      </c>
      <c r="H56" s="101"/>
      <c r="I56" s="133">
        <f>G26-ar_5</f>
        <v>28.75</v>
      </c>
      <c r="J56" s="78" t="s">
        <v>92</v>
      </c>
      <c r="K56" s="30"/>
      <c r="L56" s="41">
        <f>VLOOKUP(mat_4,alpha1,5,FALSE)*ar_4</f>
        <v>8.625</v>
      </c>
      <c r="M56" s="41">
        <f>VLOOKUP(mat_4,alpha1,6,FALSE)*ar_4</f>
        <v>2.875</v>
      </c>
      <c r="N56" s="41">
        <f>VLOOKUP(mat_4,alpha1,7,FALSE)*ar_4</f>
        <v>1.4375</v>
      </c>
      <c r="O56" s="41">
        <f>VLOOKUP(mat_4,alpha1,8,FALSE)*ar_4</f>
        <v>1.1500000000000001</v>
      </c>
      <c r="P56" s="41">
        <f>VLOOKUP(mat_4,alpha1,9,FALSE)*ar_4</f>
        <v>2.0125000000000002</v>
      </c>
      <c r="Q56" s="41">
        <f>VLOOKUP(mat_4,alpha1,10,FALSE)*ar_4</f>
        <v>2.875</v>
      </c>
      <c r="R56" s="30"/>
      <c r="S56" s="33"/>
      <c r="T56" s="33"/>
      <c r="V56" s="30"/>
      <c r="W56" s="30"/>
      <c r="X56" s="30"/>
      <c r="Y56" s="30"/>
      <c r="Z56" s="37"/>
      <c r="AA56" s="37"/>
      <c r="AB56" s="37"/>
      <c r="AC56" s="30"/>
      <c r="AD56" s="30"/>
      <c r="AE56" s="30"/>
    </row>
    <row r="57" spans="4:39" s="35" customFormat="1" ht="28.5" customHeight="1" x14ac:dyDescent="0.5">
      <c r="D57" s="32"/>
      <c r="E57" s="142" t="s">
        <v>118</v>
      </c>
      <c r="F57" s="40"/>
      <c r="G57" s="40" t="s">
        <v>77</v>
      </c>
      <c r="H57" s="101"/>
      <c r="I57" s="126">
        <v>0</v>
      </c>
      <c r="J57" s="78" t="s">
        <v>92</v>
      </c>
      <c r="K57" s="30"/>
      <c r="L57" s="41">
        <f>VLOOKUP(mat_5,alpha1,5,FALSE)*ar_5</f>
        <v>0</v>
      </c>
      <c r="M57" s="41">
        <f>VLOOKUP(mat_5,alpha1,6,FALSE)*ar_5</f>
        <v>0</v>
      </c>
      <c r="N57" s="41">
        <f>VLOOKUP(mat_5,alpha1,7,FALSE)*ar_5</f>
        <v>0</v>
      </c>
      <c r="O57" s="41">
        <f>VLOOKUP(mat_5,alpha1,8,FALSE)*ar_5</f>
        <v>0</v>
      </c>
      <c r="P57" s="41">
        <f>VLOOKUP(mat_5,alpha1,9,FALSE)*ar_5</f>
        <v>0</v>
      </c>
      <c r="Q57" s="41">
        <f>VLOOKUP(mat_5,alpha1,10,FALSE)*ar_5</f>
        <v>0</v>
      </c>
      <c r="R57" s="30"/>
      <c r="S57" s="33"/>
      <c r="T57" s="33"/>
      <c r="V57" s="144"/>
      <c r="W57" s="145"/>
      <c r="X57" s="145"/>
      <c r="Y57" s="145"/>
      <c r="Z57" s="146"/>
      <c r="AA57" s="37"/>
      <c r="AB57" s="37"/>
      <c r="AC57" s="30"/>
      <c r="AD57" s="30"/>
      <c r="AE57" s="30"/>
    </row>
    <row r="58" spans="4:39" s="35" customFormat="1" ht="28.5" customHeight="1" x14ac:dyDescent="0.5">
      <c r="D58" s="32"/>
      <c r="E58" s="142" t="s">
        <v>45</v>
      </c>
      <c r="F58" s="40"/>
      <c r="G58" s="40" t="s">
        <v>78</v>
      </c>
      <c r="H58" s="101"/>
      <c r="I58" s="133">
        <f>SUM(G29,G30)-ar_7</f>
        <v>62.5</v>
      </c>
      <c r="J58" s="78" t="s">
        <v>92</v>
      </c>
      <c r="K58" s="30"/>
      <c r="L58" s="41">
        <f>VLOOKUP(mat_6,alpha1,5,FALSE)*ar_6</f>
        <v>18.75</v>
      </c>
      <c r="M58" s="41">
        <f>VLOOKUP(mat_6,alpha1,6,FALSE)*ar_6</f>
        <v>6.25</v>
      </c>
      <c r="N58" s="41">
        <f>VLOOKUP(mat_6,alpha1,7,FALSE)*ar_6</f>
        <v>3.125</v>
      </c>
      <c r="O58" s="41">
        <f>VLOOKUP(mat_6,alpha1,8,FALSE)*ar_6</f>
        <v>2.5</v>
      </c>
      <c r="P58" s="41">
        <f>VLOOKUP(mat_6,alpha1,9,FALSE)*ar_6</f>
        <v>4.375</v>
      </c>
      <c r="Q58" s="41">
        <f>VLOOKUP(mat_6,alpha1,10,FALSE)*ar_6</f>
        <v>6.25</v>
      </c>
      <c r="R58" s="30"/>
      <c r="S58" s="33"/>
      <c r="T58" s="33"/>
      <c r="V58" s="144"/>
      <c r="W58" s="145"/>
      <c r="X58" s="145"/>
      <c r="Y58" s="145"/>
      <c r="Z58" s="149"/>
      <c r="AA58" s="37"/>
      <c r="AB58" s="37"/>
      <c r="AC58" s="30"/>
      <c r="AD58" s="30"/>
      <c r="AE58" s="30"/>
    </row>
    <row r="59" spans="4:39" s="35" customFormat="1" ht="28.5" customHeight="1" x14ac:dyDescent="0.5">
      <c r="D59" s="32"/>
      <c r="E59" s="142" t="s">
        <v>43</v>
      </c>
      <c r="F59" s="40"/>
      <c r="G59" s="40" t="s">
        <v>79</v>
      </c>
      <c r="H59" s="101"/>
      <c r="I59" s="126">
        <v>0</v>
      </c>
      <c r="J59" s="78" t="s">
        <v>92</v>
      </c>
      <c r="K59" s="30"/>
      <c r="L59" s="41">
        <f>VLOOKUP(mat_7,alpha1,5,FALSE)*ar_7</f>
        <v>0</v>
      </c>
      <c r="M59" s="41">
        <f>VLOOKUP(mat_7,alpha1,6,FALSE)*ar_7</f>
        <v>0</v>
      </c>
      <c r="N59" s="41">
        <f>VLOOKUP(mat_7,alpha1,7,FALSE)*ar_7</f>
        <v>0</v>
      </c>
      <c r="O59" s="41">
        <f>VLOOKUP(mat_7,alpha1,8,FALSE)*ar_7</f>
        <v>0</v>
      </c>
      <c r="P59" s="41">
        <f>VLOOKUP(mat_7,alpha1,9,FALSE)*ar_7</f>
        <v>0</v>
      </c>
      <c r="Q59" s="41">
        <f>VLOOKUP(mat_7,alpha1,10,FALSE)*ar_7</f>
        <v>0</v>
      </c>
      <c r="R59" s="30"/>
      <c r="S59" s="33"/>
      <c r="T59" s="33"/>
      <c r="V59" s="144"/>
      <c r="W59" s="145"/>
      <c r="X59" s="145"/>
      <c r="Y59" s="145"/>
      <c r="Z59" s="149"/>
      <c r="AA59" s="37"/>
      <c r="AB59" s="37"/>
      <c r="AC59" s="30"/>
      <c r="AD59" s="30"/>
      <c r="AE59" s="30"/>
    </row>
    <row r="60" spans="4:39" s="35" customFormat="1" ht="28.5" customHeight="1" x14ac:dyDescent="0.5">
      <c r="D60" s="32"/>
      <c r="E60" s="142" t="s">
        <v>44</v>
      </c>
      <c r="F60" s="40"/>
      <c r="G60" s="40" t="s">
        <v>81</v>
      </c>
      <c r="H60" s="101"/>
      <c r="I60" s="77">
        <f>G28-ar_9</f>
        <v>143.75</v>
      </c>
      <c r="J60" s="78" t="s">
        <v>92</v>
      </c>
      <c r="K60" s="30"/>
      <c r="L60" s="41">
        <f>VLOOKUP(mat_8,alpha1,5,FALSE)*ar_8</f>
        <v>2.875</v>
      </c>
      <c r="M60" s="41">
        <f>VLOOKUP(mat_8,alpha1,6,FALSE)*ar_8</f>
        <v>4.3125</v>
      </c>
      <c r="N60" s="41">
        <f>VLOOKUP(mat_8,alpha1,7,FALSE)*ar_8</f>
        <v>4.3125</v>
      </c>
      <c r="O60" s="41">
        <f>VLOOKUP(mat_8,alpha1,8,FALSE)*ar_8</f>
        <v>4.3125</v>
      </c>
      <c r="P60" s="41">
        <f>VLOOKUP(mat_8,alpha1,9,FALSE)*ar_8</f>
        <v>4.3125</v>
      </c>
      <c r="Q60" s="41">
        <f>VLOOKUP(mat_8,alpha1,10,FALSE)*ar_8</f>
        <v>2.875</v>
      </c>
      <c r="R60" s="30"/>
      <c r="S60" s="33"/>
      <c r="T60" s="33"/>
      <c r="V60" s="147"/>
      <c r="W60" s="148"/>
      <c r="X60" s="148"/>
      <c r="Y60" s="148"/>
      <c r="Z60" s="149"/>
      <c r="AA60" s="128"/>
      <c r="AB60" s="128"/>
      <c r="AC60" s="127"/>
      <c r="AD60" s="127"/>
      <c r="AE60" s="127"/>
    </row>
    <row r="61" spans="4:39" s="35" customFormat="1" ht="28.5" customHeight="1" x14ac:dyDescent="0.5">
      <c r="D61" s="32"/>
      <c r="E61" s="142" t="s">
        <v>95</v>
      </c>
      <c r="F61" s="40"/>
      <c r="G61" s="40" t="s">
        <v>117</v>
      </c>
      <c r="H61" s="101"/>
      <c r="I61" s="297"/>
      <c r="J61" s="78"/>
      <c r="K61" s="30"/>
      <c r="L61" s="41">
        <f>VLOOKUP(mat_9,alpha1,5,FALSE)*ar_9</f>
        <v>0</v>
      </c>
      <c r="M61" s="41">
        <f>VLOOKUP(mat_9,alpha1,6,FALSE)*ar_9</f>
        <v>0</v>
      </c>
      <c r="N61" s="41">
        <f>VLOOKUP(mat_9,alpha1,7,FALSE)*ar_9</f>
        <v>0</v>
      </c>
      <c r="O61" s="41">
        <f>VLOOKUP(mat_9,alpha1,8,FALSE)*ar_9</f>
        <v>0</v>
      </c>
      <c r="P61" s="41">
        <f>VLOOKUP(mat_9,alpha1,9,FALSE)*ar_9</f>
        <v>0</v>
      </c>
      <c r="Q61" s="41">
        <f>VLOOKUP(mat_9,alpha1,10,FALSE)*ar_9</f>
        <v>0</v>
      </c>
      <c r="R61" s="30"/>
      <c r="S61" s="33"/>
      <c r="T61" s="33"/>
      <c r="V61" s="147"/>
      <c r="W61" s="147"/>
      <c r="X61" s="147"/>
      <c r="Y61" s="147"/>
      <c r="Z61" s="150"/>
      <c r="AA61" s="128"/>
      <c r="AB61" s="128"/>
      <c r="AC61" s="127"/>
      <c r="AD61" s="127"/>
      <c r="AE61" s="127"/>
      <c r="AF61" s="129"/>
      <c r="AG61" s="129"/>
      <c r="AH61" s="129"/>
      <c r="AI61" s="129"/>
      <c r="AJ61" s="129"/>
      <c r="AK61" s="129"/>
      <c r="AL61" s="129"/>
      <c r="AM61" s="129"/>
    </row>
    <row r="62" spans="4:39" s="35" customFormat="1" ht="28.5" customHeight="1" thickBot="1" x14ac:dyDescent="0.55000000000000004">
      <c r="D62" s="32"/>
      <c r="E62" s="142"/>
      <c r="F62" s="30"/>
      <c r="G62" s="30"/>
      <c r="H62" s="30"/>
      <c r="I62" s="77"/>
      <c r="J62" s="78"/>
      <c r="K62" s="30"/>
      <c r="L62" s="41"/>
      <c r="M62" s="41"/>
      <c r="N62" s="41"/>
      <c r="O62" s="41"/>
      <c r="P62" s="41"/>
      <c r="Q62" s="41"/>
      <c r="R62" s="30"/>
      <c r="S62" s="33"/>
      <c r="T62" s="33"/>
      <c r="V62" s="147"/>
      <c r="W62" s="147"/>
      <c r="X62" s="147"/>
      <c r="Y62" s="147"/>
      <c r="Z62" s="150"/>
      <c r="AA62" s="128"/>
      <c r="AB62" s="128"/>
      <c r="AC62" s="127"/>
      <c r="AD62" s="127"/>
      <c r="AE62" s="127"/>
      <c r="AF62" s="129"/>
      <c r="AG62" s="129"/>
      <c r="AH62" s="129"/>
      <c r="AI62" s="129"/>
      <c r="AJ62" s="129"/>
      <c r="AK62" s="129"/>
      <c r="AL62" s="129"/>
      <c r="AM62" s="129"/>
    </row>
    <row r="63" spans="4:39" s="35" customFormat="1" ht="28.5" customHeight="1" thickBot="1" x14ac:dyDescent="0.55000000000000004">
      <c r="D63" s="32"/>
      <c r="E63" s="43" t="s">
        <v>47</v>
      </c>
      <c r="F63" s="44"/>
      <c r="G63" s="44"/>
      <c r="H63" s="44"/>
      <c r="I63" s="103">
        <f>SUM(I52:I61)</f>
        <v>407.5</v>
      </c>
      <c r="J63" s="105" t="s">
        <v>92</v>
      </c>
      <c r="K63" s="43"/>
      <c r="L63" s="104"/>
      <c r="M63" s="104"/>
      <c r="N63" s="104"/>
      <c r="O63" s="104"/>
      <c r="P63" s="104"/>
      <c r="Q63" s="104"/>
      <c r="R63" s="44"/>
      <c r="S63" s="45"/>
      <c r="T63" s="33"/>
      <c r="V63" s="147"/>
      <c r="W63" s="147"/>
      <c r="X63" s="147"/>
      <c r="Y63" s="147"/>
      <c r="Z63" s="150"/>
      <c r="AA63" s="128"/>
      <c r="AB63" s="128"/>
      <c r="AC63" s="127"/>
      <c r="AD63" s="127"/>
      <c r="AE63" s="127"/>
      <c r="AF63" s="129"/>
      <c r="AG63" s="129"/>
      <c r="AH63" s="129"/>
      <c r="AI63" s="129"/>
      <c r="AJ63" s="129"/>
      <c r="AK63" s="129"/>
      <c r="AL63" s="129"/>
      <c r="AM63" s="129"/>
    </row>
    <row r="64" spans="4:39" s="35" customFormat="1" ht="28.5" customHeight="1" thickBot="1" x14ac:dyDescent="0.55000000000000004">
      <c r="D64" s="32"/>
      <c r="E64" s="71"/>
      <c r="F64" s="73"/>
      <c r="G64" s="73"/>
      <c r="H64" s="73"/>
      <c r="I64" s="75"/>
      <c r="J64" s="76"/>
      <c r="K64" s="71"/>
      <c r="L64" s="74"/>
      <c r="M64" s="74"/>
      <c r="N64" s="74"/>
      <c r="O64" s="74"/>
      <c r="P64" s="74"/>
      <c r="Q64" s="74"/>
      <c r="R64" s="73"/>
      <c r="S64" s="94"/>
      <c r="T64" s="33"/>
      <c r="V64" s="147"/>
      <c r="W64" s="147"/>
      <c r="X64" s="147"/>
      <c r="Y64" s="147"/>
      <c r="Z64" s="150"/>
      <c r="AA64" s="128"/>
      <c r="AB64" s="128"/>
      <c r="AC64" s="127"/>
      <c r="AD64" s="127"/>
      <c r="AE64" s="127"/>
      <c r="AF64" s="129"/>
      <c r="AG64" s="129"/>
      <c r="AH64" s="129"/>
      <c r="AI64" s="129"/>
      <c r="AJ64" s="129"/>
      <c r="AK64" s="129"/>
      <c r="AL64" s="129"/>
      <c r="AM64" s="129"/>
    </row>
    <row r="65" spans="4:39" s="35" customFormat="1" ht="28.5" customHeight="1" thickBot="1" x14ac:dyDescent="0.55000000000000004">
      <c r="D65" s="32"/>
      <c r="E65" s="380" t="s">
        <v>33</v>
      </c>
      <c r="F65" s="381"/>
      <c r="G65" s="381"/>
      <c r="H65" s="381"/>
      <c r="I65" s="381"/>
      <c r="J65" s="382"/>
      <c r="K65" s="71"/>
      <c r="L65" s="74">
        <f t="shared" ref="L65:Q65" si="0">SUM(L52:L61)</f>
        <v>40.3125</v>
      </c>
      <c r="M65" s="74">
        <f t="shared" si="0"/>
        <v>30.6875</v>
      </c>
      <c r="N65" s="74">
        <f t="shared" si="0"/>
        <v>77.875</v>
      </c>
      <c r="O65" s="74">
        <f t="shared" si="0"/>
        <v>85.300000000000011</v>
      </c>
      <c r="P65" s="74">
        <f t="shared" si="0"/>
        <v>104.71250000000001</v>
      </c>
      <c r="Q65" s="74">
        <f t="shared" si="0"/>
        <v>121.25</v>
      </c>
      <c r="R65" s="73"/>
      <c r="S65" s="94"/>
      <c r="T65" s="33"/>
      <c r="V65" s="127"/>
      <c r="W65" s="127"/>
      <c r="X65" s="127"/>
      <c r="Y65" s="127"/>
      <c r="Z65" s="128"/>
      <c r="AA65" s="128"/>
      <c r="AB65" s="128"/>
      <c r="AC65" s="127"/>
      <c r="AD65" s="127"/>
      <c r="AE65" s="127"/>
      <c r="AF65" s="129"/>
      <c r="AG65" s="129"/>
      <c r="AH65" s="129"/>
      <c r="AI65" s="129"/>
      <c r="AJ65" s="129"/>
      <c r="AK65" s="129"/>
      <c r="AL65" s="129"/>
      <c r="AM65" s="129"/>
    </row>
    <row r="66" spans="4:39" s="35" customFormat="1" ht="28.5" customHeight="1" x14ac:dyDescent="0.5">
      <c r="D66" s="32"/>
      <c r="E66" s="343"/>
      <c r="F66" s="344"/>
      <c r="G66" s="344"/>
      <c r="H66" s="344"/>
      <c r="I66" s="344"/>
      <c r="J66" s="345"/>
      <c r="K66" s="349"/>
      <c r="L66" s="341"/>
      <c r="M66" s="341"/>
      <c r="N66" s="341"/>
      <c r="O66" s="341"/>
      <c r="P66" s="341"/>
      <c r="Q66" s="341"/>
      <c r="R66" s="73"/>
      <c r="S66" s="94"/>
      <c r="T66" s="106"/>
      <c r="V66" s="127"/>
      <c r="W66" s="127"/>
      <c r="X66" s="127"/>
      <c r="Y66" s="127"/>
      <c r="Z66" s="128"/>
      <c r="AA66" s="128"/>
      <c r="AB66" s="128"/>
      <c r="AC66" s="127"/>
      <c r="AD66" s="127"/>
      <c r="AE66" s="127"/>
      <c r="AF66" s="129"/>
      <c r="AG66" s="129"/>
      <c r="AH66" s="129"/>
      <c r="AI66" s="129"/>
      <c r="AJ66" s="129"/>
      <c r="AK66" s="129"/>
      <c r="AL66" s="129"/>
      <c r="AM66" s="129"/>
    </row>
    <row r="67" spans="4:39" s="35" customFormat="1" ht="28.5" customHeight="1" thickBot="1" x14ac:dyDescent="0.55000000000000004">
      <c r="D67" s="106"/>
      <c r="E67" s="346"/>
      <c r="F67" s="347"/>
      <c r="G67" s="347"/>
      <c r="H67" s="347"/>
      <c r="I67" s="347"/>
      <c r="J67" s="348"/>
      <c r="K67" s="350"/>
      <c r="L67" s="342"/>
      <c r="M67" s="342"/>
      <c r="N67" s="342"/>
      <c r="O67" s="342"/>
      <c r="P67" s="342"/>
      <c r="Q67" s="342"/>
      <c r="R67" s="68"/>
      <c r="S67" s="70"/>
      <c r="T67" s="106"/>
      <c r="V67" s="127"/>
      <c r="W67" s="127"/>
      <c r="X67" s="127"/>
      <c r="Y67" s="127"/>
      <c r="Z67" s="128"/>
      <c r="AA67" s="128"/>
      <c r="AB67" s="128"/>
      <c r="AC67" s="127"/>
      <c r="AD67" s="127"/>
      <c r="AE67" s="127"/>
      <c r="AF67" s="129"/>
      <c r="AG67" s="129"/>
      <c r="AH67" s="129"/>
      <c r="AI67" s="129"/>
      <c r="AJ67" s="129"/>
      <c r="AK67" s="129"/>
      <c r="AL67" s="129"/>
      <c r="AM67" s="129"/>
    </row>
    <row r="68" spans="4:39" s="35" customFormat="1" ht="28.5" customHeight="1" x14ac:dyDescent="0.5">
      <c r="D68" s="32"/>
      <c r="E68" s="107"/>
      <c r="F68" s="107"/>
      <c r="G68" s="107"/>
      <c r="H68" s="107"/>
      <c r="I68" s="107"/>
      <c r="J68" s="107"/>
      <c r="K68" s="40"/>
      <c r="L68" s="108"/>
      <c r="M68" s="108"/>
      <c r="N68" s="108"/>
      <c r="O68" s="108"/>
      <c r="P68" s="108"/>
      <c r="Q68" s="108"/>
      <c r="R68" s="30"/>
      <c r="S68" s="30"/>
      <c r="T68" s="33"/>
      <c r="V68" s="127"/>
      <c r="W68" s="127"/>
      <c r="X68" s="127"/>
      <c r="Y68" s="127"/>
      <c r="Z68" s="128"/>
      <c r="AA68" s="128"/>
      <c r="AB68" s="128"/>
      <c r="AC68" s="127"/>
      <c r="AD68" s="127"/>
      <c r="AE68" s="127"/>
      <c r="AF68" s="129"/>
      <c r="AG68" s="129"/>
      <c r="AH68" s="129"/>
      <c r="AI68" s="129"/>
      <c r="AJ68" s="129"/>
      <c r="AK68" s="129"/>
      <c r="AL68" s="129"/>
      <c r="AM68" s="129"/>
    </row>
    <row r="69" spans="4:39" s="35" customFormat="1" ht="28.5" customHeight="1" thickBot="1" x14ac:dyDescent="0.65">
      <c r="D69" s="32"/>
      <c r="E69" s="377" t="s">
        <v>48</v>
      </c>
      <c r="F69" s="377"/>
      <c r="G69" s="377"/>
      <c r="H69" s="377"/>
      <c r="I69" s="377"/>
      <c r="J69" s="377"/>
      <c r="K69" s="30"/>
      <c r="L69" s="109">
        <v>125</v>
      </c>
      <c r="M69" s="109">
        <v>250</v>
      </c>
      <c r="N69" s="109">
        <v>500</v>
      </c>
      <c r="O69" s="109" t="s">
        <v>1</v>
      </c>
      <c r="P69" s="109" t="s">
        <v>2</v>
      </c>
      <c r="Q69" s="109" t="s">
        <v>3</v>
      </c>
      <c r="R69" s="30"/>
      <c r="S69" s="30"/>
      <c r="T69" s="33"/>
      <c r="V69" s="127"/>
      <c r="W69" s="127"/>
      <c r="X69" s="127"/>
      <c r="Y69" s="127"/>
      <c r="Z69" s="128"/>
      <c r="AA69" s="128"/>
      <c r="AB69" s="128"/>
      <c r="AC69" s="127"/>
      <c r="AD69" s="127"/>
      <c r="AE69" s="127"/>
      <c r="AF69" s="129"/>
      <c r="AG69" s="129"/>
      <c r="AH69" s="129"/>
      <c r="AI69" s="129"/>
      <c r="AJ69" s="129"/>
      <c r="AK69" s="129"/>
      <c r="AL69" s="129"/>
      <c r="AM69" s="129"/>
    </row>
    <row r="70" spans="4:39" s="35" customFormat="1" ht="28.5" customHeight="1" x14ac:dyDescent="0.5">
      <c r="D70" s="32"/>
      <c r="E70" s="110" t="s">
        <v>56</v>
      </c>
      <c r="F70" s="73"/>
      <c r="G70" s="73"/>
      <c r="H70" s="73"/>
      <c r="I70" s="73"/>
      <c r="J70" s="74"/>
      <c r="K70" s="134"/>
      <c r="L70" s="135">
        <f>1.6*N70</f>
        <v>1.2217220857959756</v>
      </c>
      <c r="M70" s="135">
        <f>1.15*N70</f>
        <v>0.87811274916585735</v>
      </c>
      <c r="N70" s="135">
        <f>4*(0.0118*vol_^(1/3)+0.107)</f>
        <v>0.76357630362248474</v>
      </c>
      <c r="O70" s="135">
        <f>N70</f>
        <v>0.76357630362248474</v>
      </c>
      <c r="P70" s="135">
        <f>N70</f>
        <v>0.76357630362248474</v>
      </c>
      <c r="Q70" s="135">
        <f>N70</f>
        <v>0.76357630362248474</v>
      </c>
      <c r="R70" s="136"/>
      <c r="S70" s="137"/>
      <c r="T70" s="33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9"/>
      <c r="AG70" s="129"/>
      <c r="AH70" s="129"/>
      <c r="AI70" s="129"/>
      <c r="AJ70" s="129"/>
      <c r="AK70" s="129"/>
      <c r="AL70" s="129"/>
      <c r="AM70" s="129"/>
    </row>
    <row r="71" spans="4:39" s="35" customFormat="1" ht="28.5" customHeight="1" x14ac:dyDescent="0.5">
      <c r="D71" s="32"/>
      <c r="E71" s="111" t="s">
        <v>64</v>
      </c>
      <c r="F71" s="30"/>
      <c r="G71" s="30"/>
      <c r="H71" s="30"/>
      <c r="I71" s="30"/>
      <c r="J71" s="41"/>
      <c r="K71" s="138"/>
      <c r="L71" s="139">
        <f t="shared" ref="L71:Q71" si="1">L70*1.2</f>
        <v>1.4660665029551707</v>
      </c>
      <c r="M71" s="139">
        <f t="shared" si="1"/>
        <v>1.0537352989990287</v>
      </c>
      <c r="N71" s="139">
        <f t="shared" si="1"/>
        <v>0.91629156434698167</v>
      </c>
      <c r="O71" s="139">
        <f t="shared" si="1"/>
        <v>0.91629156434698167</v>
      </c>
      <c r="P71" s="139">
        <f t="shared" si="1"/>
        <v>0.91629156434698167</v>
      </c>
      <c r="Q71" s="139">
        <f t="shared" si="1"/>
        <v>0.91629156434698167</v>
      </c>
      <c r="R71" s="140"/>
      <c r="S71" s="141"/>
      <c r="T71" s="33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9"/>
      <c r="AG71" s="129"/>
      <c r="AH71" s="129"/>
      <c r="AI71" s="129"/>
      <c r="AJ71" s="129"/>
      <c r="AK71" s="129"/>
      <c r="AL71" s="129"/>
      <c r="AM71" s="129"/>
    </row>
    <row r="72" spans="4:39" s="35" customFormat="1" ht="28.5" customHeight="1" x14ac:dyDescent="0.5">
      <c r="D72" s="32"/>
      <c r="E72" s="111" t="s">
        <v>65</v>
      </c>
      <c r="F72" s="30"/>
      <c r="G72" s="30"/>
      <c r="H72" s="30"/>
      <c r="I72" s="30"/>
      <c r="J72" s="41"/>
      <c r="K72" s="138"/>
      <c r="L72" s="139">
        <f t="shared" ref="L72:Q72" si="2">L70*0.8</f>
        <v>0.97737766863678055</v>
      </c>
      <c r="M72" s="139">
        <f t="shared" si="2"/>
        <v>0.70249019933268597</v>
      </c>
      <c r="N72" s="139">
        <f t="shared" si="2"/>
        <v>0.61086104289798782</v>
      </c>
      <c r="O72" s="139">
        <f t="shared" si="2"/>
        <v>0.61086104289798782</v>
      </c>
      <c r="P72" s="139">
        <f t="shared" si="2"/>
        <v>0.61086104289798782</v>
      </c>
      <c r="Q72" s="139">
        <f t="shared" si="2"/>
        <v>0.61086104289798782</v>
      </c>
      <c r="R72" s="140"/>
      <c r="S72" s="141"/>
      <c r="T72" s="33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9"/>
      <c r="AG72" s="129"/>
      <c r="AH72" s="129"/>
      <c r="AI72" s="129"/>
      <c r="AJ72" s="129"/>
      <c r="AK72" s="129"/>
      <c r="AL72" s="129"/>
      <c r="AM72" s="129"/>
    </row>
    <row r="73" spans="4:39" s="35" customFormat="1" ht="28.5" customHeight="1" x14ac:dyDescent="0.5">
      <c r="D73" s="32"/>
      <c r="E73" s="111" t="s">
        <v>80</v>
      </c>
      <c r="F73" s="30"/>
      <c r="G73" s="30"/>
      <c r="H73" s="30"/>
      <c r="I73" s="30"/>
      <c r="J73" s="41"/>
      <c r="K73" s="56"/>
      <c r="L73" s="123">
        <v>1.31</v>
      </c>
      <c r="M73" s="123">
        <v>1.45</v>
      </c>
      <c r="N73" s="123">
        <v>1.43</v>
      </c>
      <c r="O73" s="123">
        <v>1.87</v>
      </c>
      <c r="P73" s="123">
        <v>1.82</v>
      </c>
      <c r="Q73" s="123">
        <v>1.61</v>
      </c>
      <c r="R73" s="112"/>
      <c r="S73" s="113"/>
      <c r="T73" s="33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9"/>
      <c r="AG73" s="129"/>
      <c r="AH73" s="129"/>
      <c r="AI73" s="129"/>
      <c r="AJ73" s="129"/>
      <c r="AK73" s="129"/>
      <c r="AL73" s="129"/>
      <c r="AM73" s="129"/>
    </row>
    <row r="74" spans="4:39" s="35" customFormat="1" ht="28.5" customHeight="1" x14ac:dyDescent="0.5">
      <c r="D74" s="32"/>
      <c r="E74" s="111" t="s">
        <v>94</v>
      </c>
      <c r="F74" s="30"/>
      <c r="G74" s="30"/>
      <c r="H74" s="30"/>
      <c r="I74" s="30"/>
      <c r="J74" s="41"/>
      <c r="K74" s="56"/>
      <c r="L74" s="123"/>
      <c r="M74" s="123"/>
      <c r="N74" s="123"/>
      <c r="O74" s="123"/>
      <c r="P74" s="123"/>
      <c r="Q74" s="123"/>
      <c r="R74" s="112"/>
      <c r="S74" s="113"/>
      <c r="T74" s="33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9"/>
      <c r="AG74" s="129"/>
      <c r="AH74" s="129"/>
      <c r="AI74" s="129"/>
      <c r="AJ74" s="129"/>
      <c r="AK74" s="129"/>
      <c r="AL74" s="129"/>
      <c r="AM74" s="129"/>
    </row>
    <row r="75" spans="4:39" s="35" customFormat="1" ht="28.5" customHeight="1" x14ac:dyDescent="0.5">
      <c r="D75" s="32"/>
      <c r="E75" s="32" t="s">
        <v>57</v>
      </c>
      <c r="F75" s="30"/>
      <c r="G75" s="30"/>
      <c r="H75" s="30"/>
      <c r="I75" s="30"/>
      <c r="J75" s="33"/>
      <c r="K75" s="32"/>
      <c r="L75" s="108">
        <f t="shared" ref="L75:Q75" si="3">0.16*$L$22/L48</f>
        <v>0.70121951219512191</v>
      </c>
      <c r="M75" s="108">
        <f t="shared" si="3"/>
        <v>1.8737270875763747</v>
      </c>
      <c r="N75" s="108">
        <f t="shared" si="3"/>
        <v>3.2857142857142856</v>
      </c>
      <c r="O75" s="108">
        <f t="shared" si="3"/>
        <v>3.8687973086627414</v>
      </c>
      <c r="P75" s="108">
        <f t="shared" si="3"/>
        <v>2.5246981339187702</v>
      </c>
      <c r="Q75" s="108">
        <f t="shared" si="3"/>
        <v>1.9658119658119657</v>
      </c>
      <c r="R75" s="40"/>
      <c r="S75" s="78"/>
      <c r="T75" s="33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9"/>
      <c r="AG75" s="129"/>
      <c r="AH75" s="129"/>
      <c r="AI75" s="129"/>
      <c r="AJ75" s="129"/>
      <c r="AK75" s="129"/>
      <c r="AL75" s="129"/>
      <c r="AM75" s="129"/>
    </row>
    <row r="76" spans="4:39" s="35" customFormat="1" ht="28.5" hidden="1" customHeight="1" x14ac:dyDescent="0.5">
      <c r="D76" s="32"/>
      <c r="E76" s="32" t="s">
        <v>67</v>
      </c>
      <c r="F76" s="30"/>
      <c r="G76" s="30"/>
      <c r="H76" s="30"/>
      <c r="I76" s="30"/>
      <c r="J76" s="30"/>
      <c r="K76" s="32"/>
      <c r="L76" s="108">
        <v>1.62</v>
      </c>
      <c r="M76" s="108">
        <v>2.39</v>
      </c>
      <c r="N76" s="108">
        <v>3.01</v>
      </c>
      <c r="O76" s="108">
        <v>2.6</v>
      </c>
      <c r="P76" s="108">
        <v>2.4</v>
      </c>
      <c r="Q76" s="108">
        <v>2.2999999999999998</v>
      </c>
      <c r="R76" s="40"/>
      <c r="S76" s="78"/>
      <c r="T76" s="33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9"/>
      <c r="AG76" s="129"/>
      <c r="AH76" s="129"/>
      <c r="AI76" s="129"/>
      <c r="AJ76" s="129"/>
      <c r="AK76" s="129"/>
      <c r="AL76" s="129"/>
      <c r="AM76" s="129"/>
    </row>
    <row r="77" spans="4:39" s="35" customFormat="1" ht="28.5" customHeight="1" thickBot="1" x14ac:dyDescent="0.55000000000000004">
      <c r="D77" s="32"/>
      <c r="E77" s="378" t="s">
        <v>72</v>
      </c>
      <c r="F77" s="379"/>
      <c r="G77" s="379"/>
      <c r="H77" s="379"/>
      <c r="I77" s="379"/>
      <c r="J77" s="379"/>
      <c r="K77" s="114"/>
      <c r="L77" s="115">
        <f>0.16*$L$22/L65</f>
        <v>1.4263565891472869</v>
      </c>
      <c r="M77" s="298">
        <f t="shared" ref="M77:Q77" si="4">0.16*$L$22/M65</f>
        <v>1.8737270875763747</v>
      </c>
      <c r="N77" s="298">
        <f t="shared" si="4"/>
        <v>0.73836276083467089</v>
      </c>
      <c r="O77" s="298">
        <f t="shared" si="4"/>
        <v>0.6740914419695192</v>
      </c>
      <c r="P77" s="298">
        <f t="shared" si="4"/>
        <v>0.54912259758863557</v>
      </c>
      <c r="Q77" s="298">
        <f t="shared" si="4"/>
        <v>0.47422680412371132</v>
      </c>
      <c r="R77" s="298"/>
      <c r="S77" s="298"/>
      <c r="T77" s="33"/>
      <c r="V77" s="127"/>
      <c r="W77" s="127"/>
      <c r="X77" s="127"/>
      <c r="Y77" s="127"/>
      <c r="Z77" s="127"/>
      <c r="AA77" s="127"/>
      <c r="AB77" s="127"/>
      <c r="AC77" s="127"/>
      <c r="AD77" s="127"/>
      <c r="AE77" s="127"/>
      <c r="AF77" s="129"/>
      <c r="AG77" s="129"/>
      <c r="AH77" s="129"/>
      <c r="AI77" s="129"/>
      <c r="AJ77" s="129"/>
      <c r="AK77" s="129"/>
      <c r="AL77" s="129"/>
      <c r="AM77" s="129"/>
    </row>
    <row r="78" spans="4:39" s="38" customFormat="1" ht="28.5" customHeight="1" x14ac:dyDescent="0.5">
      <c r="D78" s="116"/>
      <c r="E78" s="117"/>
      <c r="F78" s="117"/>
      <c r="G78" s="117"/>
      <c r="H78" s="117"/>
      <c r="I78" s="117"/>
      <c r="J78" s="117"/>
      <c r="K78" s="118"/>
      <c r="L78" s="118"/>
      <c r="M78" s="118"/>
      <c r="N78" s="118"/>
      <c r="O78" s="118"/>
      <c r="P78" s="118"/>
      <c r="Q78" s="118"/>
      <c r="R78" s="118"/>
      <c r="S78" s="118"/>
      <c r="T78" s="119"/>
      <c r="V78" s="127"/>
      <c r="W78" s="127"/>
      <c r="X78" s="127"/>
      <c r="Y78" s="127"/>
      <c r="Z78" s="127"/>
      <c r="AA78" s="127"/>
      <c r="AB78" s="127"/>
      <c r="AC78" s="127"/>
      <c r="AD78" s="127"/>
      <c r="AE78" s="127"/>
      <c r="AF78" s="130"/>
      <c r="AG78" s="130"/>
      <c r="AH78" s="130"/>
      <c r="AI78" s="130"/>
      <c r="AJ78" s="130"/>
      <c r="AK78" s="130"/>
      <c r="AL78" s="130"/>
      <c r="AM78" s="130"/>
    </row>
    <row r="79" spans="4:39" s="38" customFormat="1" ht="23" x14ac:dyDescent="0.5">
      <c r="D79" s="116"/>
      <c r="E79" s="117" t="s">
        <v>64</v>
      </c>
      <c r="F79" s="117"/>
      <c r="G79" s="117"/>
      <c r="H79" s="117"/>
      <c r="I79" s="117"/>
      <c r="J79" s="117"/>
      <c r="K79" s="118"/>
      <c r="L79" s="118">
        <f t="shared" ref="L79:Q79" si="5">L70*1.1</f>
        <v>1.3438942943755734</v>
      </c>
      <c r="M79" s="118">
        <f t="shared" si="5"/>
        <v>0.96592402408244316</v>
      </c>
      <c r="N79" s="118">
        <f t="shared" si="5"/>
        <v>0.83993393398473326</v>
      </c>
      <c r="O79" s="118">
        <f t="shared" si="5"/>
        <v>0.83993393398473326</v>
      </c>
      <c r="P79" s="118">
        <f t="shared" si="5"/>
        <v>0.83993393398473326</v>
      </c>
      <c r="Q79" s="118">
        <f t="shared" si="5"/>
        <v>0.83993393398473326</v>
      </c>
      <c r="R79" s="118"/>
      <c r="S79" s="118"/>
      <c r="T79" s="119"/>
      <c r="V79" s="127"/>
      <c r="W79" s="127"/>
      <c r="X79" s="127"/>
      <c r="Y79" s="127"/>
      <c r="Z79" s="127"/>
      <c r="AA79" s="127"/>
      <c r="AB79" s="127"/>
      <c r="AC79" s="127"/>
      <c r="AD79" s="127"/>
      <c r="AE79" s="127"/>
      <c r="AF79" s="130"/>
      <c r="AG79" s="130"/>
      <c r="AH79" s="130"/>
      <c r="AI79" s="130"/>
      <c r="AJ79" s="130"/>
      <c r="AK79" s="130"/>
      <c r="AL79" s="130"/>
      <c r="AM79" s="130"/>
    </row>
    <row r="80" spans="4:39" s="38" customFormat="1" ht="22.5" customHeight="1" x14ac:dyDescent="0.5">
      <c r="D80" s="116"/>
      <c r="E80" s="38" t="s">
        <v>65</v>
      </c>
      <c r="J80" s="120"/>
      <c r="K80" s="120"/>
      <c r="L80" s="120">
        <f t="shared" ref="L80:Q80" si="6">L70*0.9</f>
        <v>1.0995498772163781</v>
      </c>
      <c r="M80" s="120">
        <f t="shared" si="6"/>
        <v>0.79030147424927166</v>
      </c>
      <c r="N80" s="120">
        <f t="shared" si="6"/>
        <v>0.68721867326023633</v>
      </c>
      <c r="O80" s="120">
        <f t="shared" si="6"/>
        <v>0.68721867326023633</v>
      </c>
      <c r="P80" s="120">
        <f t="shared" si="6"/>
        <v>0.68721867326023633</v>
      </c>
      <c r="Q80" s="120">
        <f t="shared" si="6"/>
        <v>0.68721867326023633</v>
      </c>
      <c r="T80" s="119"/>
      <c r="V80" s="127"/>
      <c r="W80" s="127"/>
      <c r="X80" s="127"/>
      <c r="Y80" s="127"/>
      <c r="Z80" s="127"/>
      <c r="AA80" s="127"/>
      <c r="AB80" s="127"/>
      <c r="AC80" s="127"/>
      <c r="AD80" s="127"/>
      <c r="AE80" s="127"/>
      <c r="AF80" s="130"/>
      <c r="AG80" s="130"/>
      <c r="AH80" s="130"/>
      <c r="AI80" s="130"/>
      <c r="AJ80" s="130"/>
      <c r="AK80" s="130"/>
      <c r="AL80" s="130"/>
      <c r="AM80" s="130"/>
    </row>
    <row r="81" spans="4:39" ht="22.5" customHeight="1" x14ac:dyDescent="0.5">
      <c r="D81" s="32"/>
      <c r="P81" s="42"/>
      <c r="T81" s="33"/>
      <c r="V81" s="127"/>
      <c r="W81" s="127"/>
      <c r="X81" s="127"/>
      <c r="Y81" s="127"/>
      <c r="Z81" s="127"/>
      <c r="AA81" s="127"/>
      <c r="AB81" s="127"/>
      <c r="AC81" s="127"/>
      <c r="AD81" s="127"/>
      <c r="AE81" s="127"/>
      <c r="AF81" s="127"/>
      <c r="AG81" s="127"/>
      <c r="AH81" s="127"/>
      <c r="AI81" s="127"/>
      <c r="AJ81" s="127"/>
      <c r="AK81" s="127"/>
      <c r="AL81" s="127"/>
      <c r="AM81" s="127"/>
    </row>
    <row r="82" spans="4:39" ht="22.5" customHeight="1" x14ac:dyDescent="0.5">
      <c r="D82" s="32"/>
      <c r="P82" s="42"/>
      <c r="T82" s="33"/>
      <c r="V82" s="127"/>
      <c r="W82" s="127"/>
      <c r="X82" s="127"/>
      <c r="Y82" s="127"/>
      <c r="Z82" s="127"/>
      <c r="AA82" s="131"/>
      <c r="AB82" s="127"/>
      <c r="AC82" s="127"/>
      <c r="AD82" s="127"/>
      <c r="AE82" s="127"/>
      <c r="AF82" s="127"/>
      <c r="AG82" s="127"/>
      <c r="AH82" s="127"/>
      <c r="AI82" s="127"/>
      <c r="AJ82" s="127"/>
      <c r="AK82" s="127"/>
      <c r="AL82" s="127"/>
      <c r="AM82" s="127"/>
    </row>
    <row r="83" spans="4:39" ht="22.5" customHeight="1" x14ac:dyDescent="0.5">
      <c r="D83" s="32"/>
      <c r="P83" s="42"/>
      <c r="T83" s="33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27"/>
      <c r="AG83" s="127"/>
      <c r="AH83" s="127"/>
      <c r="AI83" s="127"/>
      <c r="AJ83" s="127"/>
      <c r="AK83" s="127"/>
      <c r="AL83" s="127"/>
      <c r="AM83" s="127"/>
    </row>
    <row r="84" spans="4:39" ht="22.5" customHeight="1" x14ac:dyDescent="0.5">
      <c r="D84" s="32"/>
      <c r="P84" s="42"/>
      <c r="T84" s="33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27"/>
      <c r="AG84" s="127"/>
      <c r="AH84" s="127"/>
      <c r="AI84" s="127"/>
      <c r="AJ84" s="127"/>
      <c r="AK84" s="127"/>
      <c r="AL84" s="127"/>
      <c r="AM84" s="127"/>
    </row>
    <row r="85" spans="4:39" ht="22.5" customHeight="1" x14ac:dyDescent="0.5">
      <c r="D85" s="32"/>
      <c r="P85" s="42"/>
      <c r="T85" s="33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27"/>
      <c r="AG85" s="127"/>
      <c r="AH85" s="127"/>
      <c r="AI85" s="127"/>
      <c r="AJ85" s="127"/>
      <c r="AK85" s="127"/>
      <c r="AL85" s="127"/>
      <c r="AM85" s="127"/>
    </row>
    <row r="86" spans="4:39" ht="22.5" customHeight="1" x14ac:dyDescent="0.5">
      <c r="D86" s="32"/>
      <c r="P86" s="42"/>
      <c r="T86" s="33"/>
      <c r="V86" s="127"/>
      <c r="W86" s="132"/>
      <c r="X86" s="132"/>
      <c r="Y86" s="127"/>
      <c r="Z86" s="127"/>
      <c r="AA86" s="127"/>
      <c r="AB86" s="127"/>
      <c r="AC86" s="127"/>
      <c r="AD86" s="127"/>
      <c r="AE86" s="127"/>
      <c r="AF86" s="127"/>
      <c r="AG86" s="127"/>
      <c r="AH86" s="127"/>
      <c r="AI86" s="127"/>
      <c r="AJ86" s="127"/>
      <c r="AK86" s="127"/>
      <c r="AL86" s="127"/>
      <c r="AM86" s="127"/>
    </row>
    <row r="87" spans="4:39" ht="22.5" customHeight="1" thickBot="1" x14ac:dyDescent="0.55000000000000004">
      <c r="D87" s="32"/>
      <c r="E87" s="68"/>
      <c r="F87" s="68"/>
      <c r="G87" s="68"/>
      <c r="H87" s="68"/>
      <c r="I87" s="68"/>
      <c r="J87" s="69"/>
      <c r="K87" s="69"/>
      <c r="L87" s="69"/>
      <c r="M87" s="69"/>
      <c r="N87" s="69"/>
      <c r="O87" s="69"/>
      <c r="P87" s="121"/>
      <c r="Q87" s="68"/>
      <c r="R87" s="68"/>
      <c r="S87" s="68"/>
      <c r="T87" s="33"/>
      <c r="V87" s="127"/>
      <c r="W87" s="132"/>
      <c r="X87" s="132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</row>
    <row r="88" spans="4:39" ht="22.5" customHeight="1" x14ac:dyDescent="0.5">
      <c r="D88" s="32"/>
      <c r="P88" s="42"/>
      <c r="T88" s="33"/>
      <c r="V88" s="127"/>
      <c r="W88" s="132"/>
      <c r="X88" s="132"/>
      <c r="Y88" s="127"/>
      <c r="Z88" s="127"/>
      <c r="AA88" s="127"/>
      <c r="AB88" s="127"/>
      <c r="AC88" s="127"/>
      <c r="AD88" s="127"/>
      <c r="AE88" s="127"/>
      <c r="AF88" s="127"/>
      <c r="AG88" s="127"/>
      <c r="AH88" s="127"/>
      <c r="AI88" s="127"/>
      <c r="AJ88" s="127"/>
      <c r="AK88" s="127"/>
      <c r="AL88" s="127"/>
      <c r="AM88" s="127"/>
    </row>
    <row r="89" spans="4:39" ht="22.5" customHeight="1" x14ac:dyDescent="0.5">
      <c r="D89" s="32"/>
      <c r="P89" s="42"/>
      <c r="T89" s="33"/>
      <c r="V89" s="127"/>
      <c r="W89" s="132"/>
      <c r="X89" s="132"/>
      <c r="Y89" s="127"/>
      <c r="Z89" s="127"/>
      <c r="AA89" s="127"/>
      <c r="AB89" s="127"/>
      <c r="AC89" s="127"/>
      <c r="AD89" s="127"/>
      <c r="AE89" s="127"/>
      <c r="AF89" s="127"/>
      <c r="AG89" s="127"/>
      <c r="AH89" s="127"/>
      <c r="AI89" s="127"/>
      <c r="AJ89" s="127"/>
      <c r="AK89" s="127"/>
      <c r="AL89" s="127"/>
      <c r="AM89" s="127"/>
    </row>
    <row r="90" spans="4:39" ht="22.5" customHeight="1" x14ac:dyDescent="0.5">
      <c r="D90" s="32"/>
      <c r="P90" s="42"/>
      <c r="T90" s="33"/>
      <c r="V90" s="127"/>
      <c r="W90" s="132"/>
      <c r="X90" s="132"/>
      <c r="Y90" s="127"/>
      <c r="Z90" s="127"/>
      <c r="AA90" s="127"/>
      <c r="AB90" s="127"/>
      <c r="AC90" s="127"/>
      <c r="AD90" s="127"/>
      <c r="AE90" s="127"/>
      <c r="AF90" s="127"/>
      <c r="AG90" s="127"/>
      <c r="AH90" s="127"/>
      <c r="AI90" s="127"/>
      <c r="AJ90" s="127"/>
      <c r="AK90" s="127"/>
      <c r="AL90" s="127"/>
      <c r="AM90" s="127"/>
    </row>
    <row r="91" spans="4:39" ht="23" x14ac:dyDescent="0.5">
      <c r="D91" s="32"/>
      <c r="P91" s="42"/>
      <c r="T91" s="33"/>
      <c r="V91" s="127"/>
      <c r="W91" s="132"/>
      <c r="X91" s="132"/>
      <c r="Y91" s="127"/>
      <c r="Z91" s="127"/>
      <c r="AA91" s="127"/>
      <c r="AB91" s="127"/>
      <c r="AC91" s="127"/>
      <c r="AD91" s="127"/>
      <c r="AE91" s="127"/>
      <c r="AF91" s="127"/>
      <c r="AG91" s="127"/>
      <c r="AH91" s="127"/>
      <c r="AI91" s="127"/>
      <c r="AJ91" s="127"/>
      <c r="AK91" s="127"/>
      <c r="AL91" s="127"/>
      <c r="AM91" s="127"/>
    </row>
    <row r="92" spans="4:39" ht="23" x14ac:dyDescent="0.5">
      <c r="D92" s="32"/>
      <c r="P92" s="42"/>
      <c r="T92" s="33"/>
      <c r="V92" s="127"/>
      <c r="W92" s="132"/>
      <c r="X92" s="132"/>
      <c r="Y92" s="127"/>
      <c r="Z92" s="127"/>
      <c r="AA92" s="127"/>
      <c r="AB92" s="127"/>
      <c r="AC92" s="127"/>
      <c r="AD92" s="127"/>
      <c r="AE92" s="127"/>
      <c r="AF92" s="127"/>
      <c r="AG92" s="127"/>
      <c r="AH92" s="127"/>
      <c r="AI92" s="127"/>
      <c r="AJ92" s="127"/>
      <c r="AK92" s="127"/>
      <c r="AL92" s="127"/>
      <c r="AM92" s="127"/>
    </row>
    <row r="93" spans="4:39" ht="23" x14ac:dyDescent="0.5">
      <c r="D93" s="32"/>
      <c r="P93" s="42"/>
      <c r="T93" s="33"/>
      <c r="V93" s="127"/>
      <c r="W93" s="132"/>
      <c r="X93" s="132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</row>
    <row r="94" spans="4:39" ht="23" x14ac:dyDescent="0.5">
      <c r="D94" s="32"/>
      <c r="P94" s="42"/>
      <c r="T94" s="33"/>
      <c r="V94" s="127"/>
      <c r="W94" s="132"/>
      <c r="X94" s="132"/>
      <c r="Y94" s="127"/>
      <c r="Z94" s="127"/>
      <c r="AA94" s="127"/>
      <c r="AB94" s="127"/>
      <c r="AC94" s="127"/>
      <c r="AD94" s="127"/>
      <c r="AE94" s="127"/>
      <c r="AF94" s="127"/>
      <c r="AG94" s="127"/>
      <c r="AH94" s="127"/>
      <c r="AI94" s="127"/>
      <c r="AJ94" s="127"/>
      <c r="AK94" s="127"/>
      <c r="AL94" s="127"/>
      <c r="AM94" s="127"/>
    </row>
    <row r="95" spans="4:39" ht="23" x14ac:dyDescent="0.5">
      <c r="D95" s="32"/>
      <c r="P95" s="42"/>
      <c r="T95" s="33"/>
      <c r="V95" s="127"/>
      <c r="W95" s="132"/>
      <c r="X95" s="132"/>
      <c r="Y95" s="127"/>
      <c r="Z95" s="127"/>
      <c r="AA95" s="127"/>
      <c r="AB95" s="127"/>
      <c r="AC95" s="127"/>
      <c r="AD95" s="127"/>
      <c r="AE95" s="127"/>
      <c r="AF95" s="127"/>
      <c r="AG95" s="127"/>
      <c r="AH95" s="127"/>
      <c r="AI95" s="127"/>
      <c r="AJ95" s="127"/>
      <c r="AK95" s="127"/>
      <c r="AL95" s="127"/>
      <c r="AM95" s="127"/>
    </row>
    <row r="96" spans="4:39" ht="23" x14ac:dyDescent="0.5">
      <c r="D96" s="32"/>
      <c r="P96" s="42"/>
      <c r="T96" s="33"/>
      <c r="V96" s="127"/>
      <c r="W96" s="132"/>
      <c r="X96" s="132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</row>
    <row r="97" spans="3:39" ht="23" x14ac:dyDescent="0.5">
      <c r="D97" s="32"/>
      <c r="P97" s="42"/>
      <c r="T97" s="33"/>
      <c r="V97" s="127"/>
      <c r="W97" s="132"/>
      <c r="X97" s="132"/>
      <c r="Y97" s="127"/>
      <c r="Z97" s="127"/>
      <c r="AA97" s="127"/>
      <c r="AB97" s="127"/>
      <c r="AC97" s="127"/>
      <c r="AD97" s="127"/>
      <c r="AE97" s="127"/>
      <c r="AF97" s="127"/>
      <c r="AG97" s="127"/>
      <c r="AH97" s="127"/>
      <c r="AI97" s="127"/>
      <c r="AJ97" s="127"/>
      <c r="AK97" s="127"/>
      <c r="AL97" s="127"/>
      <c r="AM97" s="127"/>
    </row>
    <row r="98" spans="3:39" ht="23" x14ac:dyDescent="0.5">
      <c r="D98" s="32"/>
      <c r="P98" s="42"/>
      <c r="T98" s="33"/>
      <c r="V98" s="127"/>
      <c r="W98" s="132"/>
      <c r="X98" s="132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</row>
    <row r="99" spans="3:39" ht="23" x14ac:dyDescent="0.5">
      <c r="D99" s="32"/>
      <c r="P99" s="42"/>
      <c r="T99" s="33"/>
      <c r="V99" s="127"/>
      <c r="W99" s="132"/>
      <c r="X99" s="132"/>
      <c r="Y99" s="127"/>
      <c r="Z99" s="127"/>
      <c r="AA99" s="127"/>
      <c r="AB99" s="127"/>
      <c r="AC99" s="127"/>
      <c r="AD99" s="127"/>
      <c r="AE99" s="127"/>
      <c r="AF99" s="127"/>
      <c r="AG99" s="127"/>
      <c r="AH99" s="127"/>
      <c r="AI99" s="127"/>
      <c r="AJ99" s="127"/>
      <c r="AK99" s="127"/>
      <c r="AL99" s="127"/>
      <c r="AM99" s="127"/>
    </row>
    <row r="100" spans="3:39" ht="22.5" customHeight="1" x14ac:dyDescent="0.5">
      <c r="C100" s="33"/>
      <c r="D100" s="32"/>
      <c r="P100" s="42"/>
      <c r="T100" s="33"/>
      <c r="V100" s="127"/>
      <c r="W100" s="132"/>
      <c r="X100" s="132"/>
      <c r="Y100" s="127"/>
      <c r="Z100" s="127"/>
      <c r="AA100" s="127"/>
      <c r="AB100" s="127"/>
      <c r="AC100" s="127"/>
      <c r="AD100" s="127"/>
      <c r="AE100" s="127"/>
      <c r="AF100" s="127"/>
      <c r="AG100" s="127"/>
      <c r="AH100" s="127"/>
      <c r="AI100" s="127"/>
      <c r="AJ100" s="127"/>
      <c r="AK100" s="127"/>
      <c r="AL100" s="127"/>
      <c r="AM100" s="127"/>
    </row>
    <row r="101" spans="3:39" ht="22.5" customHeight="1" x14ac:dyDescent="0.5">
      <c r="C101" s="33"/>
      <c r="D101" s="32"/>
      <c r="P101" s="42"/>
      <c r="T101" s="33"/>
      <c r="V101" s="127"/>
      <c r="W101" s="132"/>
      <c r="X101" s="132"/>
      <c r="Y101" s="127"/>
      <c r="Z101" s="127"/>
      <c r="AA101" s="127"/>
      <c r="AB101" s="127"/>
      <c r="AC101" s="127"/>
      <c r="AD101" s="127"/>
      <c r="AE101" s="127"/>
      <c r="AF101" s="127"/>
      <c r="AG101" s="127"/>
      <c r="AH101" s="127"/>
      <c r="AI101" s="127"/>
      <c r="AJ101" s="127"/>
      <c r="AK101" s="127"/>
      <c r="AL101" s="127"/>
      <c r="AM101" s="127"/>
    </row>
    <row r="102" spans="3:39" ht="22.5" customHeight="1" x14ac:dyDescent="0.5">
      <c r="C102" s="33"/>
      <c r="D102" s="32"/>
      <c r="P102" s="42"/>
      <c r="T102" s="33"/>
      <c r="V102" s="127"/>
      <c r="W102" s="132"/>
      <c r="X102" s="132"/>
      <c r="Y102" s="127"/>
      <c r="Z102" s="127"/>
      <c r="AA102" s="127"/>
      <c r="AB102" s="127"/>
      <c r="AC102" s="127"/>
      <c r="AD102" s="127"/>
      <c r="AE102" s="127"/>
      <c r="AF102" s="127"/>
      <c r="AG102" s="127"/>
      <c r="AH102" s="127"/>
      <c r="AI102" s="127"/>
      <c r="AJ102" s="127"/>
      <c r="AK102" s="127"/>
      <c r="AL102" s="127"/>
      <c r="AM102" s="127"/>
    </row>
    <row r="103" spans="3:39" ht="22.5" customHeight="1" x14ac:dyDescent="0.5">
      <c r="C103" s="33"/>
      <c r="D103" s="32"/>
      <c r="P103" s="42"/>
      <c r="T103" s="33"/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/>
      <c r="AF103" s="127"/>
      <c r="AG103" s="127"/>
      <c r="AH103" s="127"/>
      <c r="AI103" s="127"/>
      <c r="AJ103" s="127"/>
      <c r="AK103" s="127"/>
      <c r="AL103" s="127"/>
      <c r="AM103" s="127"/>
    </row>
    <row r="104" spans="3:39" ht="23" x14ac:dyDescent="0.5">
      <c r="C104" s="33"/>
      <c r="D104" s="32"/>
      <c r="P104" s="42"/>
      <c r="T104" s="33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/>
      <c r="AF104" s="127"/>
      <c r="AG104" s="127"/>
      <c r="AH104" s="127"/>
      <c r="AI104" s="127"/>
      <c r="AJ104" s="127"/>
      <c r="AK104" s="127"/>
      <c r="AL104" s="127"/>
      <c r="AM104" s="127"/>
    </row>
    <row r="105" spans="3:39" ht="23" x14ac:dyDescent="0.5">
      <c r="C105" s="33"/>
      <c r="D105" s="32"/>
      <c r="T105" s="33"/>
      <c r="U105" s="32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/>
      <c r="AF105" s="127"/>
      <c r="AG105" s="127"/>
      <c r="AH105" s="127"/>
      <c r="AI105" s="127"/>
      <c r="AJ105" s="127"/>
      <c r="AK105" s="127"/>
      <c r="AL105" s="127"/>
      <c r="AM105" s="127"/>
    </row>
    <row r="106" spans="3:39" ht="22.5" customHeight="1" x14ac:dyDescent="0.5">
      <c r="D106" s="32"/>
      <c r="T106" s="33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/>
      <c r="AF106" s="127"/>
      <c r="AG106" s="127"/>
      <c r="AH106" s="127"/>
      <c r="AI106" s="127"/>
      <c r="AJ106" s="127"/>
      <c r="AK106" s="127"/>
      <c r="AL106" s="127"/>
      <c r="AM106" s="127"/>
    </row>
    <row r="107" spans="3:39" ht="22.5" customHeight="1" x14ac:dyDescent="0.5">
      <c r="D107" s="32"/>
      <c r="T107" s="33"/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/>
      <c r="AF107" s="127"/>
      <c r="AG107" s="127"/>
      <c r="AH107" s="127"/>
      <c r="AI107" s="127"/>
      <c r="AJ107" s="127"/>
      <c r="AK107" s="127"/>
      <c r="AL107" s="127"/>
      <c r="AM107" s="127"/>
    </row>
    <row r="108" spans="3:39" ht="22.5" customHeight="1" x14ac:dyDescent="0.5">
      <c r="D108" s="32"/>
      <c r="T108" s="33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/>
      <c r="AF108" s="127"/>
      <c r="AG108" s="127"/>
      <c r="AH108" s="127"/>
      <c r="AI108" s="127"/>
      <c r="AJ108" s="127"/>
      <c r="AK108" s="127"/>
      <c r="AL108" s="127"/>
      <c r="AM108" s="127"/>
    </row>
    <row r="109" spans="3:39" ht="23" x14ac:dyDescent="0.5">
      <c r="D109" s="32"/>
      <c r="T109" s="33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/>
      <c r="AF109" s="127"/>
      <c r="AG109" s="127"/>
      <c r="AH109" s="127"/>
      <c r="AI109" s="127"/>
      <c r="AJ109" s="127"/>
      <c r="AK109" s="127"/>
      <c r="AL109" s="127"/>
      <c r="AM109" s="127"/>
    </row>
    <row r="110" spans="3:39" ht="30.5" thickBot="1" x14ac:dyDescent="0.55000000000000004">
      <c r="D110" s="351"/>
      <c r="E110" s="352"/>
      <c r="F110" s="352"/>
      <c r="G110" s="352"/>
      <c r="H110" s="352"/>
      <c r="I110" s="352"/>
      <c r="J110" s="352"/>
      <c r="K110" s="352"/>
      <c r="L110" s="352"/>
      <c r="M110" s="352"/>
      <c r="N110" s="352"/>
      <c r="O110" s="352"/>
      <c r="P110" s="352"/>
      <c r="Q110" s="352"/>
      <c r="R110" s="352"/>
      <c r="S110" s="352"/>
      <c r="T110" s="353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/>
      <c r="AF110" s="127"/>
      <c r="AG110" s="127"/>
      <c r="AH110" s="127"/>
      <c r="AI110" s="127"/>
      <c r="AJ110" s="127"/>
      <c r="AK110" s="127"/>
      <c r="AL110" s="127"/>
      <c r="AM110" s="127"/>
    </row>
    <row r="111" spans="3:39" ht="22.5" customHeight="1" x14ac:dyDescent="0.5">
      <c r="D111" s="71"/>
      <c r="E111" s="73"/>
      <c r="F111" s="73"/>
      <c r="G111" s="73"/>
      <c r="H111" s="73"/>
      <c r="I111" s="73"/>
      <c r="J111" s="74"/>
      <c r="K111" s="74"/>
      <c r="L111" s="74"/>
      <c r="M111" s="74"/>
      <c r="N111" s="74"/>
      <c r="O111" s="74"/>
      <c r="P111" s="73"/>
      <c r="Q111" s="73"/>
      <c r="R111" s="73"/>
      <c r="S111" s="73"/>
      <c r="T111" s="94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/>
      <c r="AF111" s="127"/>
      <c r="AG111" s="127"/>
      <c r="AH111" s="127"/>
      <c r="AI111" s="127"/>
      <c r="AJ111" s="127"/>
      <c r="AK111" s="127"/>
      <c r="AL111" s="127"/>
      <c r="AM111" s="127"/>
    </row>
    <row r="112" spans="3:39" ht="22.5" customHeight="1" x14ac:dyDescent="0.5"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/>
      <c r="AF112" s="127"/>
      <c r="AG112" s="127"/>
      <c r="AH112" s="127"/>
      <c r="AI112" s="127"/>
      <c r="AJ112" s="127"/>
      <c r="AK112" s="127"/>
      <c r="AL112" s="127"/>
      <c r="AM112" s="127"/>
    </row>
    <row r="113" spans="9:39" ht="22.5" customHeight="1" x14ac:dyDescent="0.5"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/>
      <c r="AF113" s="127"/>
      <c r="AG113" s="127"/>
      <c r="AH113" s="127"/>
      <c r="AI113" s="127"/>
      <c r="AJ113" s="127"/>
      <c r="AK113" s="127"/>
      <c r="AL113" s="127"/>
      <c r="AM113" s="127"/>
    </row>
    <row r="114" spans="9:39" ht="22.5" customHeight="1" x14ac:dyDescent="0.5">
      <c r="I114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/>
      <c r="AF114" s="127"/>
      <c r="AG114" s="127"/>
      <c r="AH114" s="127"/>
      <c r="AI114" s="127"/>
      <c r="AJ114" s="127"/>
      <c r="AK114" s="127"/>
      <c r="AL114" s="127"/>
      <c r="AM114" s="127"/>
    </row>
    <row r="115" spans="9:39" ht="22.5" customHeight="1" x14ac:dyDescent="0.5"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/>
      <c r="AF115" s="127"/>
      <c r="AG115" s="127"/>
      <c r="AH115" s="127"/>
      <c r="AI115" s="127"/>
      <c r="AJ115" s="127"/>
      <c r="AK115" s="127"/>
      <c r="AL115" s="127"/>
      <c r="AM115" s="127"/>
    </row>
    <row r="116" spans="9:39" ht="22.5" customHeight="1" x14ac:dyDescent="0.5"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/>
      <c r="AF116" s="127"/>
      <c r="AG116" s="127"/>
      <c r="AH116" s="127"/>
      <c r="AI116" s="127"/>
      <c r="AJ116" s="127"/>
      <c r="AK116" s="127"/>
      <c r="AL116" s="127"/>
      <c r="AM116" s="127"/>
    </row>
    <row r="117" spans="9:39" ht="22.5" customHeight="1" x14ac:dyDescent="0.5"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/>
      <c r="AF117" s="127"/>
      <c r="AG117" s="127"/>
      <c r="AH117" s="127"/>
      <c r="AI117" s="127"/>
      <c r="AJ117" s="127"/>
      <c r="AK117" s="127"/>
      <c r="AL117" s="127"/>
      <c r="AM117" s="127"/>
    </row>
    <row r="118" spans="9:39" ht="22.5" customHeight="1" x14ac:dyDescent="0.5"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/>
      <c r="AF118" s="127"/>
      <c r="AG118" s="127"/>
      <c r="AH118" s="127"/>
      <c r="AI118" s="127"/>
      <c r="AJ118" s="127"/>
      <c r="AK118" s="127"/>
      <c r="AL118" s="127"/>
      <c r="AM118" s="127"/>
    </row>
    <row r="119" spans="9:39" ht="22.5" customHeight="1" x14ac:dyDescent="0.5"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  <c r="AF119" s="127"/>
      <c r="AG119" s="127"/>
      <c r="AH119" s="127"/>
      <c r="AI119" s="127"/>
      <c r="AJ119" s="127"/>
      <c r="AK119" s="127"/>
      <c r="AL119" s="127"/>
      <c r="AM119" s="127"/>
    </row>
    <row r="120" spans="9:39" ht="22.5" customHeight="1" x14ac:dyDescent="0.5"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/>
      <c r="AF120" s="127"/>
      <c r="AG120" s="127"/>
      <c r="AH120" s="127"/>
      <c r="AI120" s="127"/>
      <c r="AJ120" s="127"/>
      <c r="AK120" s="127"/>
      <c r="AL120" s="127"/>
      <c r="AM120" s="127"/>
    </row>
    <row r="121" spans="9:39" ht="22.5" customHeight="1" x14ac:dyDescent="0.5">
      <c r="V121" s="127"/>
      <c r="W121" s="127"/>
      <c r="X121" s="127"/>
      <c r="Y121" s="127"/>
      <c r="Z121" s="127"/>
      <c r="AA121" s="127"/>
      <c r="AB121" s="127"/>
      <c r="AC121" s="127"/>
      <c r="AD121" s="127"/>
      <c r="AE121" s="127"/>
      <c r="AF121" s="127"/>
      <c r="AG121" s="127"/>
      <c r="AH121" s="127"/>
      <c r="AI121" s="127"/>
      <c r="AJ121" s="127"/>
      <c r="AK121" s="127"/>
      <c r="AL121" s="127"/>
      <c r="AM121" s="127"/>
    </row>
    <row r="122" spans="9:39" ht="22.5" customHeight="1" x14ac:dyDescent="0.5"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  <c r="AF122" s="127"/>
      <c r="AG122" s="127"/>
      <c r="AH122" s="127"/>
      <c r="AI122" s="127"/>
      <c r="AJ122" s="127"/>
      <c r="AK122" s="127"/>
      <c r="AL122" s="127"/>
      <c r="AM122" s="127"/>
    </row>
    <row r="123" spans="9:39" ht="22.5" customHeight="1" x14ac:dyDescent="0.5"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  <c r="AF123" s="127"/>
      <c r="AG123" s="127"/>
      <c r="AH123" s="127"/>
      <c r="AI123" s="127"/>
      <c r="AJ123" s="127"/>
      <c r="AK123" s="127"/>
      <c r="AL123" s="127"/>
      <c r="AM123" s="127"/>
    </row>
    <row r="124" spans="9:39" ht="22.5" customHeight="1" x14ac:dyDescent="0.5"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  <c r="AF124" s="127"/>
      <c r="AG124" s="127"/>
      <c r="AH124" s="127"/>
      <c r="AI124" s="127"/>
      <c r="AJ124" s="127"/>
      <c r="AK124" s="127"/>
      <c r="AL124" s="127"/>
      <c r="AM124" s="127"/>
    </row>
    <row r="125" spans="9:39" ht="22.5" customHeight="1" x14ac:dyDescent="0.5"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/>
      <c r="AF125" s="127"/>
      <c r="AG125" s="127"/>
      <c r="AH125" s="127"/>
      <c r="AI125" s="127"/>
      <c r="AJ125" s="127"/>
      <c r="AK125" s="127"/>
      <c r="AL125" s="127"/>
      <c r="AM125" s="127"/>
    </row>
    <row r="126" spans="9:39" ht="22.5" customHeight="1" x14ac:dyDescent="0.5"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</row>
    <row r="127" spans="9:39" ht="22.5" customHeight="1" x14ac:dyDescent="0.5"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/>
      <c r="AF127" s="127"/>
      <c r="AG127" s="127"/>
      <c r="AH127" s="127"/>
      <c r="AI127" s="127"/>
      <c r="AJ127" s="127"/>
      <c r="AK127" s="127"/>
      <c r="AL127" s="127"/>
      <c r="AM127" s="127"/>
    </row>
    <row r="128" spans="9:39" ht="22.5" customHeight="1" x14ac:dyDescent="0.5"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/>
      <c r="AF128" s="127"/>
      <c r="AG128" s="127"/>
      <c r="AH128" s="127"/>
      <c r="AI128" s="127"/>
      <c r="AJ128" s="127"/>
      <c r="AK128" s="127"/>
      <c r="AL128" s="127"/>
      <c r="AM128" s="127"/>
    </row>
    <row r="129" spans="22:39" ht="22.5" customHeight="1" x14ac:dyDescent="0.5"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/>
      <c r="AF129" s="127"/>
      <c r="AG129" s="127"/>
      <c r="AH129" s="127"/>
      <c r="AI129" s="127"/>
      <c r="AJ129" s="127"/>
      <c r="AK129" s="127"/>
      <c r="AL129" s="127"/>
      <c r="AM129" s="127"/>
    </row>
    <row r="130" spans="22:39" ht="22.5" customHeight="1" x14ac:dyDescent="0.5"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/>
      <c r="AF130" s="127"/>
      <c r="AG130" s="127"/>
      <c r="AH130" s="127"/>
      <c r="AI130" s="127"/>
      <c r="AJ130" s="127"/>
      <c r="AK130" s="127"/>
      <c r="AL130" s="127"/>
      <c r="AM130" s="127"/>
    </row>
    <row r="131" spans="22:39" ht="22.5" customHeight="1" x14ac:dyDescent="0.5"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/>
      <c r="AF131" s="127"/>
      <c r="AG131" s="127"/>
      <c r="AH131" s="127"/>
      <c r="AI131" s="127"/>
      <c r="AJ131" s="127"/>
      <c r="AK131" s="127"/>
      <c r="AL131" s="127"/>
      <c r="AM131" s="127"/>
    </row>
    <row r="132" spans="22:39" ht="22.5" customHeight="1" x14ac:dyDescent="0.5"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/>
      <c r="AF132" s="127"/>
      <c r="AG132" s="127"/>
      <c r="AH132" s="127"/>
      <c r="AI132" s="127"/>
      <c r="AJ132" s="127"/>
      <c r="AK132" s="127"/>
      <c r="AL132" s="127"/>
      <c r="AM132" s="127"/>
    </row>
    <row r="133" spans="22:39" ht="22.5" customHeight="1" x14ac:dyDescent="0.5"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/>
      <c r="AF133" s="127"/>
      <c r="AG133" s="127"/>
      <c r="AH133" s="127"/>
      <c r="AI133" s="127"/>
      <c r="AJ133" s="127"/>
      <c r="AK133" s="127"/>
      <c r="AL133" s="127"/>
      <c r="AM133" s="127"/>
    </row>
    <row r="134" spans="22:39" ht="22.5" customHeight="1" x14ac:dyDescent="0.5"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  <c r="AH134" s="127"/>
      <c r="AI134" s="127"/>
      <c r="AJ134" s="127"/>
      <c r="AK134" s="127"/>
      <c r="AL134" s="127"/>
      <c r="AM134" s="127"/>
    </row>
    <row r="135" spans="22:39" ht="22.5" customHeight="1" x14ac:dyDescent="0.5"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  <c r="AH135" s="127"/>
      <c r="AI135" s="127"/>
      <c r="AJ135" s="127"/>
      <c r="AK135" s="127"/>
      <c r="AL135" s="127"/>
      <c r="AM135" s="127"/>
    </row>
    <row r="136" spans="22:39" ht="22.5" customHeight="1" x14ac:dyDescent="0.5"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  <c r="AH136" s="127"/>
      <c r="AI136" s="127"/>
      <c r="AJ136" s="127"/>
      <c r="AK136" s="127"/>
      <c r="AL136" s="127"/>
      <c r="AM136" s="127"/>
    </row>
    <row r="137" spans="22:39" ht="22.5" customHeight="1" x14ac:dyDescent="0.5"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  <c r="AH137" s="127"/>
      <c r="AI137" s="127"/>
      <c r="AJ137" s="127"/>
      <c r="AK137" s="127"/>
      <c r="AL137" s="127"/>
      <c r="AM137" s="127"/>
    </row>
    <row r="138" spans="22:39" ht="22.5" customHeight="1" x14ac:dyDescent="0.5"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  <c r="AH138" s="127"/>
      <c r="AI138" s="127"/>
      <c r="AJ138" s="127"/>
      <c r="AK138" s="127"/>
      <c r="AL138" s="127"/>
      <c r="AM138" s="127"/>
    </row>
    <row r="139" spans="22:39" ht="22.5" customHeight="1" x14ac:dyDescent="0.5"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  <c r="AH139" s="127"/>
      <c r="AI139" s="127"/>
      <c r="AJ139" s="127"/>
      <c r="AK139" s="127"/>
      <c r="AL139" s="127"/>
      <c r="AM139" s="127"/>
    </row>
    <row r="140" spans="22:39" ht="22.5" customHeight="1" x14ac:dyDescent="0.5"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/>
      <c r="AF140" s="127"/>
      <c r="AG140" s="127"/>
      <c r="AH140" s="127"/>
      <c r="AI140" s="127"/>
      <c r="AJ140" s="127"/>
      <c r="AK140" s="127"/>
      <c r="AL140" s="127"/>
      <c r="AM140" s="127"/>
    </row>
    <row r="141" spans="22:39" ht="22.5" customHeight="1" x14ac:dyDescent="0.5"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AF141" s="127"/>
      <c r="AG141" s="127"/>
      <c r="AH141" s="127"/>
      <c r="AI141" s="127"/>
      <c r="AJ141" s="127"/>
      <c r="AK141" s="127"/>
      <c r="AL141" s="127"/>
      <c r="AM141" s="127"/>
    </row>
    <row r="142" spans="22:39" ht="22.5" customHeight="1" x14ac:dyDescent="0.5"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/>
      <c r="AF142" s="127"/>
      <c r="AG142" s="127"/>
      <c r="AH142" s="127"/>
      <c r="AI142" s="127"/>
      <c r="AJ142" s="127"/>
      <c r="AK142" s="127"/>
      <c r="AL142" s="127"/>
      <c r="AM142" s="127"/>
    </row>
    <row r="143" spans="22:39" ht="22.5" customHeight="1" x14ac:dyDescent="0.5"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AF143" s="127"/>
      <c r="AG143" s="127"/>
      <c r="AH143" s="127"/>
      <c r="AI143" s="127"/>
      <c r="AJ143" s="127"/>
      <c r="AK143" s="127"/>
      <c r="AL143" s="127"/>
      <c r="AM143" s="127"/>
    </row>
    <row r="144" spans="22:39" ht="22.5" customHeight="1" x14ac:dyDescent="0.5"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/>
      <c r="AF144" s="127"/>
      <c r="AG144" s="127"/>
      <c r="AH144" s="127"/>
      <c r="AI144" s="127"/>
      <c r="AJ144" s="127"/>
      <c r="AK144" s="127"/>
      <c r="AL144" s="127"/>
      <c r="AM144" s="127"/>
    </row>
    <row r="145" spans="22:39" ht="22.5" customHeight="1" x14ac:dyDescent="0.5"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/>
      <c r="AF145" s="127"/>
      <c r="AG145" s="127"/>
      <c r="AH145" s="127"/>
      <c r="AI145" s="127"/>
      <c r="AJ145" s="127"/>
      <c r="AK145" s="127"/>
      <c r="AL145" s="127"/>
      <c r="AM145" s="127"/>
    </row>
    <row r="146" spans="22:39" ht="22.5" customHeight="1" x14ac:dyDescent="0.5">
      <c r="AF146" s="127"/>
      <c r="AG146" s="127"/>
      <c r="AH146" s="127"/>
      <c r="AI146" s="127"/>
      <c r="AJ146" s="127"/>
      <c r="AK146" s="127"/>
      <c r="AL146" s="127"/>
      <c r="AM146" s="127"/>
    </row>
  </sheetData>
  <mergeCells count="30">
    <mergeCell ref="D110:T110"/>
    <mergeCell ref="N48:N49"/>
    <mergeCell ref="O48:O49"/>
    <mergeCell ref="D10:T12"/>
    <mergeCell ref="G14:O14"/>
    <mergeCell ref="G15:O15"/>
    <mergeCell ref="G16:O16"/>
    <mergeCell ref="G17:O17"/>
    <mergeCell ref="J25:J30"/>
    <mergeCell ref="K25:K30"/>
    <mergeCell ref="L25:L30"/>
    <mergeCell ref="M25:M30"/>
    <mergeCell ref="N25:N30"/>
    <mergeCell ref="E69:J69"/>
    <mergeCell ref="E77:J77"/>
    <mergeCell ref="P48:P49"/>
    <mergeCell ref="Q48:Q49"/>
    <mergeCell ref="E66:J67"/>
    <mergeCell ref="K66:K67"/>
    <mergeCell ref="L66:L67"/>
    <mergeCell ref="M66:M67"/>
    <mergeCell ref="N66:N67"/>
    <mergeCell ref="O66:O67"/>
    <mergeCell ref="P66:P67"/>
    <mergeCell ref="Q66:Q67"/>
    <mergeCell ref="E48:J49"/>
    <mergeCell ref="K48:K49"/>
    <mergeCell ref="L48:L49"/>
    <mergeCell ref="M48:M49"/>
    <mergeCell ref="E65:J65"/>
  </mergeCells>
  <dataValidations count="1">
    <dataValidation type="list" allowBlank="1" showInputMessage="1" showErrorMessage="1" sqref="E36:E45 E52:E61" xr:uid="{00000000-0002-0000-0100-000000000000}">
      <formula1>$V$22:$V$43</formula1>
    </dataValidation>
  </dataValidations>
  <printOptions horizontalCentered="1" verticalCentered="1"/>
  <pageMargins left="0.25" right="0.25" top="0.75" bottom="0.75" header="0.3" footer="0.3"/>
  <pageSetup paperSize="9" scale="2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9:AC14"/>
  <sheetViews>
    <sheetView topLeftCell="A25" workbookViewId="0">
      <selection activeCell="W12" sqref="W12:AC13"/>
    </sheetView>
  </sheetViews>
  <sheetFormatPr defaultRowHeight="12.5" x14ac:dyDescent="0.25"/>
  <cols>
    <col min="3" max="3" width="17" bestFit="1" customWidth="1"/>
    <col min="23" max="23" width="13.81640625" bestFit="1" customWidth="1"/>
  </cols>
  <sheetData>
    <row r="9" spans="3:29" x14ac:dyDescent="0.25">
      <c r="D9">
        <v>125</v>
      </c>
      <c r="E9">
        <v>250</v>
      </c>
      <c r="F9">
        <v>500</v>
      </c>
      <c r="G9" t="s">
        <v>1</v>
      </c>
      <c r="H9" t="s">
        <v>2</v>
      </c>
      <c r="I9" t="s">
        <v>3</v>
      </c>
    </row>
    <row r="10" spans="3:29" x14ac:dyDescent="0.25">
      <c r="C10" t="s">
        <v>58</v>
      </c>
      <c r="D10">
        <v>0.02</v>
      </c>
      <c r="E10">
        <v>0.03</v>
      </c>
      <c r="F10">
        <v>0.03</v>
      </c>
      <c r="G10">
        <v>0.03</v>
      </c>
      <c r="H10">
        <v>0.03</v>
      </c>
      <c r="I10">
        <v>0.02</v>
      </c>
    </row>
    <row r="11" spans="3:29" x14ac:dyDescent="0.25">
      <c r="C11" t="s">
        <v>59</v>
      </c>
      <c r="D11">
        <v>0.05</v>
      </c>
      <c r="E11">
        <v>0.24</v>
      </c>
      <c r="F11">
        <v>0.68</v>
      </c>
      <c r="G11">
        <v>0.89</v>
      </c>
      <c r="H11">
        <v>0.83</v>
      </c>
      <c r="I11">
        <v>0.77</v>
      </c>
    </row>
    <row r="12" spans="3:29" x14ac:dyDescent="0.25">
      <c r="C12" t="s">
        <v>60</v>
      </c>
      <c r="D12">
        <v>0.4</v>
      </c>
      <c r="E12">
        <v>0.3</v>
      </c>
      <c r="F12">
        <v>0.2</v>
      </c>
      <c r="G12">
        <v>0.2</v>
      </c>
      <c r="H12">
        <v>0.15</v>
      </c>
      <c r="I12">
        <v>0.1</v>
      </c>
      <c r="W12" s="29"/>
      <c r="X12" s="29">
        <v>125</v>
      </c>
      <c r="Y12" s="29">
        <v>250</v>
      </c>
      <c r="Z12" s="29">
        <v>500</v>
      </c>
      <c r="AA12" s="29" t="s">
        <v>1</v>
      </c>
      <c r="AB12" s="29" t="s">
        <v>2</v>
      </c>
      <c r="AC12" s="29" t="s">
        <v>3</v>
      </c>
    </row>
    <row r="13" spans="3:29" x14ac:dyDescent="0.25">
      <c r="C13" t="s">
        <v>61</v>
      </c>
      <c r="D13">
        <v>0.05</v>
      </c>
      <c r="E13">
        <v>0.03</v>
      </c>
      <c r="F13">
        <v>0.06</v>
      </c>
      <c r="G13">
        <v>0.09</v>
      </c>
      <c r="H13">
        <v>0.1</v>
      </c>
      <c r="I13">
        <v>0.2</v>
      </c>
      <c r="W13" s="29" t="s">
        <v>43</v>
      </c>
      <c r="X13" s="29">
        <v>0.67</v>
      </c>
      <c r="Y13" s="29">
        <v>0.96</v>
      </c>
      <c r="Z13" s="29">
        <v>0.81</v>
      </c>
      <c r="AA13" s="29">
        <v>0.66</v>
      </c>
      <c r="AB13" s="29">
        <v>0.53</v>
      </c>
      <c r="AC13" s="29">
        <v>0.49</v>
      </c>
    </row>
    <row r="14" spans="3:29" x14ac:dyDescent="0.25">
      <c r="C14" t="s">
        <v>62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E7280A-77FE-4D21-90EE-8D740444D7FD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50</vt:i4>
      </vt:variant>
    </vt:vector>
  </HeadingPairs>
  <TitlesOfParts>
    <vt:vector size="55" baseType="lpstr">
      <vt:lpstr>สรุปผลการวัด ฑธ</vt:lpstr>
      <vt:lpstr>Sheet6</vt:lpstr>
      <vt:lpstr>ห้องชั้น 1</vt:lpstr>
      <vt:lpstr>Sheet1</vt:lpstr>
      <vt:lpstr>Sheet2</vt:lpstr>
      <vt:lpstr>'สรุปผลการวัด ฑธ'!alpha</vt:lpstr>
      <vt:lpstr>alpha</vt:lpstr>
      <vt:lpstr>'สรุปผลการวัด ฑธ'!alpha1</vt:lpstr>
      <vt:lpstr>alpha1</vt:lpstr>
      <vt:lpstr>'สรุปผลการวัด ฑธ'!ar_1</vt:lpstr>
      <vt:lpstr>ar_1</vt:lpstr>
      <vt:lpstr>'สรุปผลการวัด ฑธ'!ar_11</vt:lpstr>
      <vt:lpstr>ar_11</vt:lpstr>
      <vt:lpstr>'สรุปผลการวัด ฑธ'!ar_2</vt:lpstr>
      <vt:lpstr>ar_2</vt:lpstr>
      <vt:lpstr>'สรุปผลการวัด ฑธ'!ar_3</vt:lpstr>
      <vt:lpstr>ar_3</vt:lpstr>
      <vt:lpstr>'สรุปผลการวัด ฑธ'!ar_4</vt:lpstr>
      <vt:lpstr>ar_4</vt:lpstr>
      <vt:lpstr>'สรุปผลการวัด ฑธ'!ar_5</vt:lpstr>
      <vt:lpstr>ar_5</vt:lpstr>
      <vt:lpstr>'สรุปผลการวัด ฑธ'!ar_6</vt:lpstr>
      <vt:lpstr>ar_6</vt:lpstr>
      <vt:lpstr>'สรุปผลการวัด ฑธ'!ar_7</vt:lpstr>
      <vt:lpstr>ar_7</vt:lpstr>
      <vt:lpstr>'สรุปผลการวัด ฑธ'!ar_8</vt:lpstr>
      <vt:lpstr>ar_8</vt:lpstr>
      <vt:lpstr>'สรุปผลการวัด ฑธ'!ar_9</vt:lpstr>
      <vt:lpstr>ar_9</vt:lpstr>
      <vt:lpstr>'สรุปผลการวัด ฑธ'!mat_1</vt:lpstr>
      <vt:lpstr>mat_1</vt:lpstr>
      <vt:lpstr>'สรุปผลการวัด ฑธ'!mat_10</vt:lpstr>
      <vt:lpstr>mat_10</vt:lpstr>
      <vt:lpstr>'สรุปผลการวัด ฑธ'!mat_11</vt:lpstr>
      <vt:lpstr>mat_11</vt:lpstr>
      <vt:lpstr>'สรุปผลการวัด ฑธ'!mat_2</vt:lpstr>
      <vt:lpstr>mat_2</vt:lpstr>
      <vt:lpstr>'สรุปผลการวัด ฑธ'!mat_3</vt:lpstr>
      <vt:lpstr>mat_3</vt:lpstr>
      <vt:lpstr>'สรุปผลการวัด ฑธ'!mat_4</vt:lpstr>
      <vt:lpstr>mat_4</vt:lpstr>
      <vt:lpstr>'สรุปผลการวัด ฑธ'!mat_5</vt:lpstr>
      <vt:lpstr>mat_5</vt:lpstr>
      <vt:lpstr>'สรุปผลการวัด ฑธ'!mat_6</vt:lpstr>
      <vt:lpstr>mat_6</vt:lpstr>
      <vt:lpstr>'สรุปผลการวัด ฑธ'!mat_7</vt:lpstr>
      <vt:lpstr>mat_7</vt:lpstr>
      <vt:lpstr>'สรุปผลการวัด ฑธ'!mat_8</vt:lpstr>
      <vt:lpstr>mat_8</vt:lpstr>
      <vt:lpstr>'สรุปผลการวัด ฑธ'!mat_9</vt:lpstr>
      <vt:lpstr>mat_9</vt:lpstr>
      <vt:lpstr>'สรุปผลการวัด ฑธ'!Print_Area</vt:lpstr>
      <vt:lpstr>'ห้องชั้น 1'!Print_Area</vt:lpstr>
      <vt:lpstr>'สรุปผลการวัด ฑธ'!vol_</vt:lpstr>
      <vt:lpstr>vol_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</dc:creator>
  <cp:lastModifiedBy>Poomchai</cp:lastModifiedBy>
  <cp:lastPrinted>2019-08-05T14:03:11Z</cp:lastPrinted>
  <dcterms:created xsi:type="dcterms:W3CDTF">2007-04-11T07:06:17Z</dcterms:created>
  <dcterms:modified xsi:type="dcterms:W3CDTF">2020-07-14T07:47:06Z</dcterms:modified>
</cp:coreProperties>
</file>